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r:id="rId8"/>
    <sheet name="CF" sheetId="61" r:id="rId9"/>
    <sheet name="LUV" sheetId="62" r:id="rId10"/>
    <sheet name="AKAM" sheetId="63" state="hidden" r:id="rId11"/>
    <sheet name="MRO" sheetId="25" r:id="rId12"/>
    <sheet name="KR" sheetId="51" r:id="rId13"/>
    <sheet name="F" sheetId="54" r:id="rId14"/>
    <sheet name="CPN" sheetId="7" r:id="rId15"/>
    <sheet name="NKE" sheetId="50" state="hidden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r:id="rId37"/>
    <sheet name="DIS" sheetId="34" r:id="rId38"/>
    <sheet name="FTR" sheetId="40" state="hidden" r:id="rId39"/>
    <sheet name="GILD" sheetId="31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IP!$W$1:$AC$70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59" i="51"/>
  <c r="G59" i="51"/>
  <c r="H59" i="51"/>
  <c r="F74" i="31"/>
  <c r="G74" i="31"/>
  <c r="H74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F345" i="25"/>
  <c r="H345" i="25"/>
  <c r="G345" i="25"/>
  <c r="D258" i="38"/>
  <c r="E258" i="38"/>
  <c r="G258" i="38"/>
  <c r="H258" i="38"/>
  <c r="K258" i="38"/>
  <c r="L258" i="38" s="1"/>
  <c r="M258" i="38"/>
  <c r="T258" i="38" s="1"/>
  <c r="R258" i="38"/>
  <c r="U258" i="38"/>
  <c r="F167" i="25"/>
  <c r="O258" i="38" l="1"/>
  <c r="P258" i="38" s="1"/>
  <c r="V258" i="38"/>
  <c r="N258" i="38"/>
  <c r="F60" i="45" l="1"/>
  <c r="G60" i="45"/>
  <c r="H60" i="45"/>
  <c r="F35" i="62"/>
  <c r="G35" i="62"/>
  <c r="H35" i="62"/>
  <c r="F58" i="51"/>
  <c r="G58" i="51"/>
  <c r="H58" i="51"/>
  <c r="F73" i="31"/>
  <c r="G73" i="31"/>
  <c r="H73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D257" i="38"/>
  <c r="E257" i="38"/>
  <c r="G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G250" i="38"/>
  <c r="G251" i="38"/>
  <c r="G252" i="38"/>
  <c r="G253" i="38"/>
  <c r="G254" i="38"/>
  <c r="G255" i="38"/>
  <c r="G256" i="38"/>
  <c r="D249" i="38"/>
  <c r="D250" i="38"/>
  <c r="D251" i="38"/>
  <c r="D252" i="38"/>
  <c r="D253" i="38"/>
  <c r="D254" i="38"/>
  <c r="D255" i="38"/>
  <c r="D256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K79" i="41" s="1"/>
  <c r="M61" i="41" s="1"/>
  <c r="F63" i="41"/>
  <c r="F79" i="41" s="1"/>
  <c r="F145" i="7"/>
  <c r="H145" i="7"/>
  <c r="G145" i="7"/>
  <c r="F73" i="7"/>
  <c r="F341" i="25"/>
  <c r="H341" i="25"/>
  <c r="G341" i="25"/>
  <c r="F166" i="25"/>
  <c r="F340" i="25"/>
  <c r="H340" i="25"/>
  <c r="G340" i="25"/>
  <c r="F165" i="25"/>
  <c r="C80" i="41"/>
  <c r="F80" i="41"/>
  <c r="H80" i="41"/>
  <c r="K80" i="41"/>
  <c r="M80" i="41"/>
  <c r="N256" i="38" l="1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72" i="31"/>
  <c r="G72" i="31"/>
  <c r="H72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F72" i="7" l="1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71" i="31"/>
  <c r="G71" i="31"/>
  <c r="H71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70" i="31"/>
  <c r="G70" i="31"/>
  <c r="H70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4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C82" i="50"/>
  <c r="H94" i="52"/>
  <c r="F82" i="50"/>
  <c r="C94" i="52"/>
  <c r="M94" i="52"/>
  <c r="F94" i="52"/>
  <c r="K82" i="50"/>
  <c r="K94" i="52"/>
  <c r="H82" i="50"/>
  <c r="M82" i="50"/>
  <c r="K81" i="50" l="1"/>
  <c r="F93" i="52"/>
  <c r="K93" i="52"/>
  <c r="M75" i="52" s="1"/>
  <c r="Q10" i="52" s="1"/>
  <c r="F81" i="50"/>
  <c r="I252" i="38"/>
  <c r="E252" i="38"/>
  <c r="H252" i="38"/>
  <c r="F336" i="25"/>
  <c r="H336" i="25"/>
  <c r="G336" i="25"/>
  <c r="K163" i="25"/>
  <c r="K252" i="38" l="1"/>
  <c r="K253" i="38"/>
  <c r="M252" i="38"/>
  <c r="M63" i="50"/>
  <c r="Q10" i="50" s="1"/>
  <c r="F41" i="41"/>
  <c r="H41" i="41"/>
  <c r="G41" i="41"/>
  <c r="L253" i="38" l="1"/>
  <c r="O253" i="38" s="1"/>
  <c r="L252" i="38"/>
  <c r="O252" i="38" s="1"/>
  <c r="N252" i="38"/>
  <c r="F236" i="17"/>
  <c r="G236" i="17"/>
  <c r="H236" i="17"/>
  <c r="F335" i="25"/>
  <c r="H335" i="25"/>
  <c r="G335" i="25"/>
  <c r="F52" i="51"/>
  <c r="G52" i="51"/>
  <c r="H52" i="51"/>
  <c r="F69" i="31"/>
  <c r="G69" i="31"/>
  <c r="H69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3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68" i="31"/>
  <c r="G68" i="31"/>
  <c r="H68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K8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2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M75" i="58"/>
  <c r="F75" i="58"/>
  <c r="C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C74" i="57"/>
  <c r="H74" i="57"/>
  <c r="F74" i="57"/>
  <c r="K74" i="57"/>
  <c r="M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59" i="25"/>
  <c r="F123" i="17"/>
  <c r="G134" i="7"/>
  <c r="K12" i="49"/>
  <c r="F66" i="7"/>
  <c r="K156" i="25"/>
  <c r="F44" i="34"/>
  <c r="G44" i="34"/>
  <c r="H44" i="34"/>
  <c r="F82" i="53"/>
  <c r="H82" i="53"/>
  <c r="F72" i="59"/>
  <c r="C82" i="53"/>
  <c r="K82" i="53"/>
  <c r="H67" i="60"/>
  <c r="M82" i="53"/>
  <c r="M67" i="60"/>
  <c r="K67" i="60"/>
  <c r="M72" i="59"/>
  <c r="F67" i="60"/>
  <c r="C67" i="60"/>
  <c r="C72" i="59"/>
  <c r="K72" i="59"/>
  <c r="H72" i="59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H19" i="57"/>
  <c r="M19" i="57"/>
  <c r="I240" i="38" l="1"/>
  <c r="K241" i="38" s="1"/>
  <c r="L241" i="38" s="1"/>
  <c r="F3" i="63"/>
  <c r="F325" i="25"/>
  <c r="H325" i="25"/>
  <c r="G325" i="25"/>
  <c r="F158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F18" i="63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M19" i="63"/>
  <c r="F19" i="63"/>
  <c r="C19" i="63"/>
  <c r="K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6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H19" i="62"/>
  <c r="K19" i="62"/>
  <c r="C19" i="62"/>
  <c r="F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6" i="45" l="1"/>
  <c r="F225" i="17"/>
  <c r="G225" i="17"/>
  <c r="H225" i="17"/>
  <c r="F315" i="25"/>
  <c r="G315" i="25"/>
  <c r="H315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K19" i="59"/>
  <c r="F19" i="60"/>
  <c r="C19" i="51"/>
  <c r="H19" i="52"/>
  <c r="M19" i="54"/>
  <c r="C19" i="54"/>
  <c r="H19" i="58"/>
  <c r="F19" i="61"/>
  <c r="H19" i="53"/>
  <c r="M30" i="49"/>
  <c r="H19" i="45"/>
  <c r="H19" i="59"/>
  <c r="H19" i="31"/>
  <c r="F19" i="59"/>
  <c r="C19" i="60"/>
  <c r="H19" i="3"/>
  <c r="M19" i="58"/>
  <c r="H19" i="34"/>
  <c r="M19" i="60"/>
  <c r="M19" i="41"/>
  <c r="C19" i="59"/>
  <c r="C19" i="3"/>
  <c r="C19" i="61"/>
  <c r="M19" i="31"/>
  <c r="M19" i="59"/>
  <c r="M19" i="51"/>
  <c r="M19" i="34"/>
  <c r="F19" i="3"/>
  <c r="F19" i="58"/>
  <c r="K19" i="58"/>
  <c r="H19" i="61"/>
  <c r="C19" i="41"/>
  <c r="C19" i="31"/>
  <c r="H19" i="54"/>
  <c r="M19" i="55"/>
  <c r="K19" i="60"/>
  <c r="H19" i="60"/>
  <c r="C30" i="49"/>
  <c r="C19" i="53"/>
  <c r="K19" i="52"/>
  <c r="C19" i="55"/>
  <c r="K19" i="3"/>
  <c r="H19" i="55"/>
  <c r="M19" i="52"/>
  <c r="M19" i="61"/>
  <c r="C19" i="34"/>
  <c r="C19" i="52"/>
  <c r="H19" i="51"/>
  <c r="M19" i="53"/>
  <c r="K19" i="61"/>
  <c r="M19" i="45"/>
  <c r="H19" i="41"/>
  <c r="M19" i="3"/>
  <c r="H30" i="49"/>
  <c r="C19" i="58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M19" i="50"/>
  <c r="H19" i="50"/>
  <c r="C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53" i="31"/>
  <c r="H53" i="31"/>
  <c r="G53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45" i="31"/>
  <c r="F10" i="31"/>
  <c r="F5" i="45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3"/>
  <c r="F19" i="54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60" i="25" l="1"/>
  <c r="H260" i="25"/>
  <c r="G260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18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57" i="38" l="1"/>
  <c r="U256" i="38"/>
  <c r="U254" i="38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57" i="38" l="1"/>
  <c r="V256" i="38"/>
  <c r="V254" i="38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57" i="38" l="1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19" i="31"/>
  <c r="K135" i="17"/>
  <c r="F19" i="34"/>
  <c r="K19" i="31"/>
  <c r="K186" i="25"/>
  <c r="F81" i="7"/>
  <c r="Q9" i="15" l="1"/>
  <c r="Q9" i="26"/>
  <c r="Q5" i="17"/>
  <c r="Q9" i="28"/>
  <c r="Q9" i="10"/>
  <c r="Q9" i="20"/>
  <c r="Q9" i="29"/>
  <c r="Q9" i="13"/>
  <c r="Q9" i="16"/>
  <c r="K18" i="31"/>
  <c r="K185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<sst xmlns="http://schemas.openxmlformats.org/spreadsheetml/2006/main" count="3973" uniqueCount="584">
  <si>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</si>
  <si>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</si>
  <si>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</si>
  <si>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</si>
  <si>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</si>
  <si>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</si>
  <si>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</si>
  <si>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</si>
  <si>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</si>
  <si>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</si>
  <si>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</si>
  <si>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</si>
  <si>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</si>
  <si>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</si>
  <si>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</si>
  <si>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</si>
  <si>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</si>
  <si>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</si>
  <si>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</si>
  <si>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</si>
  <si>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</si>
  <si>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</si>
  <si>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</si>
  <si>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</si>
  <si>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</si>
  <si>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</si>
  <si>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</si>
  <si>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</si>
  <si>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</si>
  <si>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</si>
  <si>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</si>
  <si>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</si>
  <si>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</si>
  <si>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</si>
  <si>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</si>
  <si>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</si>
  <si>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</si>
  <si>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</si>
  <si>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</si>
  <si>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</si>
  <si>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</si>
  <si>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</si>
  <si>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</si>
  <si>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</si>
  <si>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</si>
  <si>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</si>
  <si>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</si>
  <si>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</si>
  <si>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</si>
  <si>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</si>
  <si>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</si>
  <si>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</si>
  <si>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</si>
  <si>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</si>
  <si>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</si>
  <si>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</si>
  <si>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</si>
  <si>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</si>
  <si>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</si>
  <si>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</si>
  <si>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</si>
  <si>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</si>
  <si>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</si>
  <si>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</si>
  <si>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</si>
  <si>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</si>
  <si>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</si>
  <si>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</si>
  <si>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</si>
  <si>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</si>
  <si>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</si>
  <si>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</si>
  <si>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</si>
  <si>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</si>
  <si>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</si>
  <si>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</si>
  <si>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</si>
  <si>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</si>
  <si>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</si>
  <si>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</si>
  <si>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</si>
  <si>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</si>
  <si>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</si>
  <si>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</si>
  <si>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</si>
  <si>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</si>
  <si>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</si>
  <si>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</si>
  <si>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</si>
  <si>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</si>
  <si>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</si>
  <si>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</si>
  <si>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</si>
  <si>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</si>
  <si>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</si>
  <si>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</si>
  <si>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</si>
  <si>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</si>
  <si>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</si>
  <si>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</si>
  <si>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</si>
  <si>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</si>
  <si>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</si>
  <si>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</si>
  <si>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</si>
  <si>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</si>
  <si>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</si>
  <si>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</si>
  <si>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</si>
  <si>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</si>
  <si>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</si>
  <si>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</si>
  <si>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</si>
  <si>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</si>
  <si>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</si>
  <si>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</si>
  <si>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</si>
  <si>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</si>
  <si>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</si>
  <si>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</si>
  <si>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</si>
  <si>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</si>
  <si>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</si>
  <si>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</si>
  <si>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</si>
  <si>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</si>
  <si>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</si>
  <si>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</si>
  <si>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</si>
  <si>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</si>
  <si>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</si>
  <si>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</si>
  <si>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</si>
  <si>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</si>
  <si>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</si>
  <si>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</si>
  <si>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</si>
  <si>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</si>
  <si>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</si>
  <si>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</si>
  <si>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</si>
  <si>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</si>
  <si>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</si>
  <si>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</si>
  <si>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</si>
  <si>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</si>
  <si>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</si>
  <si>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</si>
  <si>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</si>
  <si>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</si>
  <si>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</si>
  <si>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</si>
  <si>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</si>
  <si>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</si>
  <si>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</si>
  <si>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</si>
  <si>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</si>
  <si>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</si>
  <si>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</si>
  <si>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</si>
  <si>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</si>
  <si>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</si>
  <si>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</si>
  <si>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</si>
  <si>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</si>
  <si>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</si>
  <si>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</si>
  <si>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</si>
  <si>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</si>
  <si>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</si>
  <si>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</si>
  <si>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</si>
  <si>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</si>
  <si>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</si>
  <si>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</si>
  <si>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</si>
  <si>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</si>
  <si>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</si>
  <si>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</si>
  <si>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</si>
  <si>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</si>
  <si>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</si>
  <si>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</si>
  <si>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</si>
  <si>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</si>
  <si>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</si>
  <si>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</si>
  <si>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</si>
  <si>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</si>
  <si>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</si>
  <si>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</si>
  <si>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</si>
  <si>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</si>
  <si>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</si>
  <si>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</si>
  <si>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</si>
  <si>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</si>
  <si>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</si>
  <si>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</si>
  <si>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</si>
  <si>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</si>
  <si>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</si>
  <si>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</si>
  <si>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</si>
  <si>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</si>
  <si>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</si>
  <si>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</si>
  <si>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</si>
  <si>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</si>
  <si>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</si>
  <si>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</si>
  <si>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</si>
  <si>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</si>
  <si>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</si>
  <si>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</si>
  <si>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</si>
  <si>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</si>
  <si>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</si>
  <si>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</si>
  <si>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</si>
  <si>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</si>
  <si>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</si>
  <si>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</si>
  <si>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</si>
  <si>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</si>
  <si>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</si>
  <si>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</si>
  <si>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</si>
  <si>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</si>
  <si>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</si>
  <si>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</si>
  <si>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</si>
  <si>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</si>
  <si>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</si>
  <si>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</si>
  <si>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</si>
  <si>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</si>
  <si>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</si>
  <si>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</si>
  <si>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</si>
  <si>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</si>
  <si>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</si>
  <si>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</si>
  <si>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</si>
  <si>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</si>
  <si>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</si>
  <si>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</si>
  <si>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</si>
  <si>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</si>
  <si>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</si>
  <si>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</si>
  <si>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</si>
  <si>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</si>
  <si>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</si>
  <si>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</si>
  <si>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</si>
  <si>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</si>
  <si>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</si>
  <si>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</si>
  <si>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</si>
  <si>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</si>
  <si>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</si>
  <si>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</si>
  <si>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</si>
  <si>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</si>
  <si>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</si>
  <si>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</si>
  <si>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</si>
  <si>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</si>
  <si>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</si>
  <si>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</si>
  <si>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</si>
  <si>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</si>
  <si>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</si>
  <si>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</si>
  <si>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</si>
  <si>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</si>
  <si>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</si>
  <si>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</si>
  <si>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</si>
  <si>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</si>
  <si>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</si>
  <si>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</si>
  <si>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</si>
  <si>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</si>
  <si>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</si>
  <si>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</si>
  <si>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</si>
  <si>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</si>
  <si>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</si>
  <si>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</si>
  <si>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</si>
  <si>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</si>
  <si>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</si>
  <si>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</si>
  <si>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</si>
  <si>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</si>
  <si>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</si>
  <si>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</si>
  <si>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</si>
  <si>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</si>
  <si>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</si>
  <si>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</si>
  <si>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</si>
  <si>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</si>
  <si>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</si>
  <si>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</si>
  <si>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</si>
  <si>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</si>
  <si>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</si>
  <si>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</si>
  <si>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</si>
  <si>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</si>
  <si>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</si>
  <si>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</si>
  <si>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</si>
  <si>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</si>
  <si>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</si>
  <si>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</si>
  <si>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</si>
  <si>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</si>
  <si>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</si>
  <si>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</si>
  <si>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</si>
  <si>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</si>
  <si>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</si>
  <si>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</si>
  <si>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</si>
  <si>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</si>
  <si>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</si>
  <si>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</si>
  <si>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</si>
  <si>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</si>
  <si>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</si>
  <si>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</si>
  <si>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</si>
  <si>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</si>
  <si>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</si>
  <si>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</si>
  <si>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</si>
  <si>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</si>
  <si>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</si>
  <si>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</si>
  <si>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</si>
  <si>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</si>
  <si>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</si>
  <si>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</si>
  <si>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</si>
  <si>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</si>
  <si>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</si>
  <si>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</si>
  <si>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</si>
  <si>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</si>
  <si>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</si>
  <si>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</si>
  <si>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</si>
  <si>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25-Aug-16SIG Earnings announcement</t>
  </si>
  <si>
    <t>Nov 7 - Nov 11 (Est.)</t>
  </si>
  <si>
    <t>0.203 Dividend</t>
  </si>
  <si>
    <t>缺两天</t>
  </si>
  <si>
    <t>0.12 Dividend</t>
  </si>
  <si>
    <t>33.26 - 55.45</t>
  </si>
  <si>
    <t>1.32 (1.91%)</t>
  </si>
  <si>
    <t>83.39 - 109.83</t>
  </si>
  <si>
    <t>2000 @ 14.94</t>
  </si>
  <si>
    <t>37.59 - 55.51</t>
  </si>
  <si>
    <t>32.50 - 47.70</t>
  </si>
  <si>
    <t>1.42 (1.47%)</t>
  </si>
  <si>
    <t>77.92 - 113.31</t>
  </si>
  <si>
    <t>0.60 (0.39%)</t>
  </si>
  <si>
    <t>22.02 - 41.35</t>
  </si>
  <si>
    <t>42.73 - 52.77</t>
  </si>
  <si>
    <t>44.50 - 56.34</t>
  </si>
  <si>
    <t>8/18/2016 1678@    16.43</t>
  </si>
  <si>
    <t>9/29 ex</t>
  </si>
  <si>
    <t>0.60 (4.84%)</t>
  </si>
  <si>
    <t>0.76 (1.41%)</t>
  </si>
  <si>
    <t>27.50 x 100</t>
  </si>
  <si>
    <t>35.01 x 200</t>
  </si>
  <si>
    <t>2.64 (2.42%)</t>
  </si>
  <si>
    <t>2.50 (1.76%)</t>
  </si>
  <si>
    <t>50.27 - 78.40</t>
  </si>
  <si>
    <t>1.16 (1.77%)</t>
  </si>
  <si>
    <t>2000 @ 12.78; 2500 @ 12.64</t>
  </si>
  <si>
    <t>1.20 (5.21%)</t>
  </si>
  <si>
    <t>11.02 - 15.84</t>
  </si>
  <si>
    <t>1.76 (3.71%)</t>
  </si>
  <si>
    <t>1.04 (2.95%)</t>
  </si>
  <si>
    <t>1.00 (1.75%)</t>
  </si>
  <si>
    <t>2.36 (2.58%)</t>
  </si>
  <si>
    <t>1.12 (1.55%)</t>
  </si>
  <si>
    <t>1.14 (1.76%)</t>
  </si>
  <si>
    <t>0.12 (1.17%)</t>
  </si>
  <si>
    <t>56.03 - 70.38</t>
  </si>
  <si>
    <t>2.00 (1.14%)</t>
  </si>
  <si>
    <t>0.81 (2.20%)</t>
  </si>
  <si>
    <t>0.42 (8.96%)</t>
  </si>
  <si>
    <t>1.88 (2.32%)</t>
  </si>
  <si>
    <t>0.44 (0.71%)</t>
  </si>
  <si>
    <t>26.69 - 36.88</t>
  </si>
  <si>
    <t>1.52 (4.78%)</t>
  </si>
  <si>
    <t>1.04 (3.08%)</t>
  </si>
  <si>
    <t>107.51 - 144.48</t>
  </si>
  <si>
    <t>1.04 (1.12%)</t>
  </si>
  <si>
    <t>2.28 (2.08%)</t>
  </si>
  <si>
    <t>33.96 - 51.34</t>
  </si>
  <si>
    <t>0.40 (1.10%)</t>
  </si>
  <si>
    <t>31.45 - 42.75</t>
  </si>
  <si>
    <t>0.48 (1.47%)</t>
  </si>
  <si>
    <t>51.48 - 68.19</t>
  </si>
  <si>
    <t>0.64 (1.09%)</t>
  </si>
  <si>
    <t>1.52 (3.12%)</t>
  </si>
  <si>
    <t>1.80 (2.20%)</t>
  </si>
  <si>
    <t>53.53 - 72.95</t>
  </si>
  <si>
    <t>1.92 (2.69%)</t>
  </si>
  <si>
    <t>11.53 - 16.60</t>
  </si>
  <si>
    <t>39.68 - 62.59</t>
  </si>
  <si>
    <t>20.77 - 58.90</t>
  </si>
  <si>
    <t>52.01 x 100</t>
  </si>
  <si>
    <t>54.97 x 200</t>
  </si>
  <si>
    <t>181.02 - 219.60</t>
  </si>
  <si>
    <t>309.00 x 100</t>
  </si>
  <si>
    <t>309.32 x 1500</t>
  </si>
  <si>
    <t>306.73 - 321.74</t>
  </si>
  <si>
    <t>67.78B</t>
  </si>
  <si>
    <t>12.30 x 1000</t>
  </si>
  <si>
    <t>12.32 x 1400</t>
  </si>
  <si>
    <t>12.28 - 12.44</t>
  </si>
  <si>
    <t>49.77B</t>
  </si>
  <si>
    <t>12.46 x 200</t>
  </si>
  <si>
    <t>12.52 x 400</t>
  </si>
  <si>
    <t>12.40 - 12.64</t>
  </si>
  <si>
    <t>4.47B</t>
  </si>
  <si>
    <t>46.00 x 500</t>
  </si>
  <si>
    <t>47.50 x 200</t>
  </si>
  <si>
    <t>46.48 - 47.00</t>
  </si>
  <si>
    <t>19.15B</t>
  </si>
  <si>
    <t>35.09 x 200</t>
  </si>
  <si>
    <t>35.18 x 100</t>
  </si>
  <si>
    <t>35.02 - 35.41</t>
  </si>
  <si>
    <t>27.01 - 35.93</t>
  </si>
  <si>
    <t>166.29B</t>
  </si>
  <si>
    <t>56.02 x 200</t>
  </si>
  <si>
    <t>56.69 x 400</t>
  </si>
  <si>
    <t>55.84 - 56.92</t>
  </si>
  <si>
    <t>17.68B</t>
  </si>
  <si>
    <t>68.00 x 300</t>
  </si>
  <si>
    <t>93.50 x 200</t>
  </si>
  <si>
    <t>91.79 - 92.33</t>
  </si>
  <si>
    <t>27.04B</t>
  </si>
  <si>
    <t>73.00 x 400</t>
  </si>
  <si>
    <t>73.99 x 200</t>
  </si>
  <si>
    <t>72.98 - 74.31</t>
  </si>
  <si>
    <t>13.74B</t>
  </si>
  <si>
    <t>57.15 x 200</t>
  </si>
  <si>
    <t>64.94 x 400</t>
  </si>
  <si>
    <t>64.88 - 65.49</t>
  </si>
  <si>
    <t>50.12B</t>
  </si>
  <si>
    <t>10.09 x 1000</t>
  </si>
  <si>
    <t>10.10 x 600</t>
  </si>
  <si>
    <t>10.01 - 10.45</t>
  </si>
  <si>
    <t>13.21B</t>
  </si>
  <si>
    <t>19.35 x 100</t>
  </si>
  <si>
    <t>19.44 x 500</t>
  </si>
  <si>
    <t>19.32 - 19.79</t>
  </si>
  <si>
    <t>2.48B</t>
  </si>
  <si>
    <t>53.75 x 100</t>
  </si>
  <si>
    <t>53.92 x 100</t>
  </si>
  <si>
    <t>53.53 - 54.53</t>
  </si>
  <si>
    <t>25.96B</t>
  </si>
  <si>
    <t>50.33 x 3600</t>
  </si>
  <si>
    <t>50.34 x 5700</t>
  </si>
  <si>
    <t>49.99 - 51.00</t>
  </si>
  <si>
    <t>8.51B</t>
  </si>
  <si>
    <t>68.16 x 200</t>
  </si>
  <si>
    <t>68.38 x 100</t>
  </si>
  <si>
    <t>68.15 - 68.45</t>
  </si>
  <si>
    <t>25.36B</t>
  </si>
  <si>
    <t>175.50 x 100</t>
  </si>
  <si>
    <t>176.99 x 100</t>
  </si>
  <si>
    <t>174.37 - 177.69</t>
  </si>
  <si>
    <t>111.53 - 177.69</t>
  </si>
  <si>
    <t>69.33B</t>
  </si>
  <si>
    <t>36.72 x 300</t>
  </si>
  <si>
    <t>36.77 x 2000</t>
  </si>
  <si>
    <t>36.47 - 37.05</t>
  </si>
  <si>
    <t>27.47B</t>
  </si>
  <si>
    <t>95.76 x 500</t>
  </si>
  <si>
    <t>95.85 x 2100</t>
  </si>
  <si>
    <t>95.51 - 96.22</t>
  </si>
  <si>
    <t>153.99B</t>
  </si>
  <si>
    <t>4.65 x 2000</t>
  </si>
  <si>
    <t>4.69 x 400</t>
  </si>
  <si>
    <t>4.64 - 4.70</t>
  </si>
  <si>
    <t>5.47B</t>
  </si>
  <si>
    <t>80.31 x 200</t>
  </si>
  <si>
    <t>80.39 x 300</t>
  </si>
  <si>
    <t>80.18 - 82.10</t>
  </si>
  <si>
    <t>106.23B</t>
  </si>
  <si>
    <t>61.51 x 1600</t>
  </si>
  <si>
    <t>61.54 x 300</t>
  </si>
  <si>
    <t>61.34 - 62.30</t>
  </si>
  <si>
    <t>3.78B</t>
  </si>
  <si>
    <t>31.78 x 500</t>
  </si>
  <si>
    <t>31.82 x 300</t>
  </si>
  <si>
    <t>31.76 - 32.09</t>
  </si>
  <si>
    <t>49.64B</t>
  </si>
  <si>
    <t>149.68 x 200</t>
  </si>
  <si>
    <t>152.96 x 100</t>
  </si>
  <si>
    <t>150.78 - 154.50</t>
  </si>
  <si>
    <t>59.64B</t>
  </si>
  <si>
    <t>34.01 - 34.41</t>
  </si>
  <si>
    <t>2.67B</t>
  </si>
  <si>
    <t>107.75 x 1000</t>
  </si>
  <si>
    <t>108.48 x 100</t>
  </si>
  <si>
    <t>107.60 - 108.32</t>
  </si>
  <si>
    <t>90.35B</t>
  </si>
  <si>
    <t>139.30 x 200</t>
  </si>
  <si>
    <t>140.38 x 100</t>
  </si>
  <si>
    <t>139.51 - 142.08</t>
  </si>
  <si>
    <t>133.21B</t>
  </si>
  <si>
    <t>43.07 x 200</t>
  </si>
  <si>
    <t>43.22 x 300</t>
  </si>
  <si>
    <t>42.78 - 45.99</t>
  </si>
  <si>
    <t>23.08B</t>
  </si>
  <si>
    <t>95.60 x 100</t>
  </si>
  <si>
    <t>96.80 x 100</t>
  </si>
  <si>
    <t>94.32 - 96.20</t>
  </si>
  <si>
    <t>7.45B</t>
  </si>
  <si>
    <t>107.85 x 3900</t>
  </si>
  <si>
    <t>107.90 x 900</t>
  </si>
  <si>
    <t>107.68 - 108.75</t>
  </si>
  <si>
    <t>582.11B</t>
  </si>
  <si>
    <t>64.92 x 400</t>
  </si>
  <si>
    <t>65.18 x 200</t>
  </si>
  <si>
    <t>65.05 - 66.12</t>
  </si>
  <si>
    <t>60.19B</t>
  </si>
  <si>
    <t>24.05 x 1500</t>
  </si>
  <si>
    <t>24.82 x 200</t>
  </si>
  <si>
    <t>23.97 - 24.95</t>
  </si>
  <si>
    <t>5.60B</t>
  </si>
  <si>
    <t>36.63 x 200</t>
  </si>
  <si>
    <t>36.74 x 300</t>
  </si>
  <si>
    <t>36.42 - 36.84</t>
  </si>
  <si>
    <t>22.74B</t>
  </si>
  <si>
    <t>33.02 x 300</t>
  </si>
  <si>
    <t>33.18 x 400</t>
  </si>
  <si>
    <t>32.21 - 33.24</t>
  </si>
  <si>
    <t>31.31B</t>
  </si>
  <si>
    <t>60.09 x 400</t>
  </si>
  <si>
    <t>60.30 x 200</t>
  </si>
  <si>
    <t>59.72 - 60.33</t>
  </si>
  <si>
    <t>101.04B</t>
  </si>
  <si>
    <t>28.40 x 100</t>
  </si>
  <si>
    <t>28.52 x 100</t>
  </si>
  <si>
    <t>28.39 - 29.38</t>
  </si>
  <si>
    <t>9.96B</t>
  </si>
  <si>
    <t>49.07 x 700</t>
  </si>
  <si>
    <t>49.15 x 700</t>
  </si>
  <si>
    <t>49.07 - 49.38</t>
  </si>
  <si>
    <t>15.65 x 12200</t>
  </si>
  <si>
    <t>15.83 x 1000</t>
  </si>
  <si>
    <t>15.38 - 16.24</t>
  </si>
  <si>
    <t>16.11B</t>
  </si>
  <si>
    <t>217.92 x 100</t>
  </si>
  <si>
    <t>217.93 x 400</t>
  </si>
  <si>
    <t>217.36 - 218.91</t>
  </si>
  <si>
    <t>48.63 x 100</t>
  </si>
  <si>
    <t>48.71 x 200</t>
  </si>
  <si>
    <t>48.35 - 48.77</t>
  </si>
  <si>
    <t>245.37B</t>
  </si>
  <si>
    <t>47.98 x 100</t>
  </si>
  <si>
    <t>47.27 - 47.94</t>
  </si>
  <si>
    <t>15.35B</t>
  </si>
  <si>
    <t>80.31 x 100</t>
  </si>
  <si>
    <t>84.74 x 100</t>
  </si>
  <si>
    <t>80.87 - 82.01</t>
  </si>
  <si>
    <t>25.83B</t>
  </si>
  <si>
    <t>70.35 x 200</t>
  </si>
  <si>
    <t>71.40 x 200</t>
  </si>
  <si>
    <t>70.46 - 71.06</t>
  </si>
  <si>
    <t>42.39B</t>
  </si>
  <si>
    <t>53.63 - 54.44</t>
  </si>
  <si>
    <t>9.43B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</si>
</sst>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0" fontId="0" fillId="20" borderId="0" xfId="0" applyFill="1" applyAlignment="1">
      <alignment horizont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11" borderId="0" xfId="0" applyNumberForma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8"/>
      <tableStyleElement type="headerRow" dxfId="697"/>
    </tableStyle>
  </tableStyles>
  <colors>
    <mruColors>
      <color rgb="FF00221A"/>
      <color rgb="FFED5C55"/>
      <color rgb="FFFBDBD9"/>
      <color rgb="FFF6F6DE"/>
      <color rgb="FFE7271D"/>
      <color rgb="FFF9DEDB"/>
      <color rgb="FFFF7C5D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58712"/>
        <c:axId val="467956360"/>
      </c:scatterChart>
      <c:valAx>
        <c:axId val="4679587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6360"/>
        <c:crosses val="autoZero"/>
        <c:crossBetween val="midCat"/>
      </c:valAx>
      <c:valAx>
        <c:axId val="4679563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8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957536"/>
        <c:axId val="467957928"/>
      </c:scatterChart>
      <c:valAx>
        <c:axId val="4679575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7928"/>
        <c:crosses val="autoZero"/>
        <c:crossBetween val="midCat"/>
      </c:valAx>
      <c:valAx>
        <c:axId val="46795792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5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76264"/>
        <c:axId val="485673128"/>
      </c:scatterChart>
      <c:valAx>
        <c:axId val="485676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3128"/>
        <c:crosses val="autoZero"/>
        <c:crossBetween val="midCat"/>
      </c:valAx>
      <c:valAx>
        <c:axId val="48567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6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79792"/>
        <c:axId val="485672344"/>
      </c:scatterChart>
      <c:valAx>
        <c:axId val="485679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2344"/>
        <c:crosses val="autoZero"/>
        <c:crossBetween val="midCat"/>
      </c:valAx>
      <c:valAx>
        <c:axId val="48567234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309.33</c:v>
                </c:pt>
                <c:pt idx="1">
                  <c:v>318.17</c:v>
                </c:pt>
                <c:pt idx="2">
                  <c:v>316.81</c:v>
                </c:pt>
                <c:pt idx="3">
                  <c:v>316.81</c:v>
                </c:pt>
                <c:pt idx="4">
                  <c:v>313.38</c:v>
                </c:pt>
                <c:pt idx="5">
                  <c:v>313.82</c:v>
                </c:pt>
                <c:pt idx="6">
                  <c:v>313.42</c:v>
                </c:pt>
                <c:pt idx="7">
                  <c:v>313.39</c:v>
                </c:pt>
                <c:pt idx="8">
                  <c:v>313.94</c:v>
                </c:pt>
                <c:pt idx="9">
                  <c:v>314.49</c:v>
                </c:pt>
                <c:pt idx="10">
                  <c:v>308.87</c:v>
                </c:pt>
                <c:pt idx="11">
                  <c:v>314.42</c:v>
                </c:pt>
                <c:pt idx="12">
                  <c:v>313.64999999999998</c:v>
                </c:pt>
                <c:pt idx="13">
                  <c:v>315.95999999999998</c:v>
                </c:pt>
                <c:pt idx="14">
                  <c:v>314.56</c:v>
                </c:pt>
                <c:pt idx="15">
                  <c:v>321.33999999999997</c:v>
                </c:pt>
                <c:pt idx="16">
                  <c:v>330.11</c:v>
                </c:pt>
                <c:pt idx="17">
                  <c:v>301.83</c:v>
                </c:pt>
                <c:pt idx="18">
                  <c:v>289.93</c:v>
                </c:pt>
                <c:pt idx="19">
                  <c:v>289.02999999999997</c:v>
                </c:pt>
                <c:pt idx="20">
                  <c:v>288.35000000000002</c:v>
                </c:pt>
                <c:pt idx="21">
                  <c:v>287.04000000000002</c:v>
                </c:pt>
                <c:pt idx="22">
                  <c:v>287.35000000000002</c:v>
                </c:pt>
                <c:pt idx="23">
                  <c:v>287.77999999999997</c:v>
                </c:pt>
                <c:pt idx="24">
                  <c:v>282.45</c:v>
                </c:pt>
                <c:pt idx="25">
                  <c:v>262.41000000000003</c:v>
                </c:pt>
                <c:pt idx="26">
                  <c:v>259.82</c:v>
                </c:pt>
                <c:pt idx="27">
                  <c:v>261.5</c:v>
                </c:pt>
                <c:pt idx="28">
                  <c:v>260.3</c:v>
                </c:pt>
                <c:pt idx="29">
                  <c:v>252.87</c:v>
                </c:pt>
                <c:pt idx="30">
                  <c:v>251.19</c:v>
                </c:pt>
                <c:pt idx="31">
                  <c:v>253.36</c:v>
                </c:pt>
                <c:pt idx="32">
                  <c:v>252.54</c:v>
                </c:pt>
                <c:pt idx="33">
                  <c:v>251.3</c:v>
                </c:pt>
                <c:pt idx="34">
                  <c:v>247.27</c:v>
                </c:pt>
                <c:pt idx="35">
                  <c:v>247.48</c:v>
                </c:pt>
                <c:pt idx="36">
                  <c:v>242.03</c:v>
                </c:pt>
                <c:pt idx="37">
                  <c:v>245.06</c:v>
                </c:pt>
                <c:pt idx="38">
                  <c:v>241.82</c:v>
                </c:pt>
                <c:pt idx="39">
                  <c:v>238.91</c:v>
                </c:pt>
                <c:pt idx="40">
                  <c:v>228.52</c:v>
                </c:pt>
                <c:pt idx="41">
                  <c:v>224.6</c:v>
                </c:pt>
                <c:pt idx="42">
                  <c:v>229.02</c:v>
                </c:pt>
                <c:pt idx="43">
                  <c:v>238.62</c:v>
                </c:pt>
                <c:pt idx="44">
                  <c:v>234.6</c:v>
                </c:pt>
                <c:pt idx="45">
                  <c:v>233</c:v>
                </c:pt>
                <c:pt idx="46">
                  <c:v>237.39</c:v>
                </c:pt>
                <c:pt idx="47">
                  <c:v>238.21</c:v>
                </c:pt>
                <c:pt idx="48">
                  <c:v>242.19</c:v>
                </c:pt>
                <c:pt idx="49">
                  <c:v>238.91</c:v>
                </c:pt>
                <c:pt idx="50">
                  <c:v>241.7</c:v>
                </c:pt>
                <c:pt idx="51">
                  <c:v>244.35</c:v>
                </c:pt>
                <c:pt idx="52">
                  <c:v>246.13</c:v>
                </c:pt>
                <c:pt idx="53">
                  <c:v>250.46</c:v>
                </c:pt>
                <c:pt idx="54">
                  <c:v>254.17</c:v>
                </c:pt>
                <c:pt idx="55">
                  <c:v>252.86</c:v>
                </c:pt>
                <c:pt idx="56">
                  <c:v>289.83999999999997</c:v>
                </c:pt>
                <c:pt idx="57">
                  <c:v>290.23</c:v>
                </c:pt>
                <c:pt idx="58">
                  <c:v>289.73</c:v>
                </c:pt>
                <c:pt idx="59">
                  <c:v>286.82</c:v>
                </c:pt>
                <c:pt idx="60">
                  <c:v>289.73</c:v>
                </c:pt>
                <c:pt idx="61">
                  <c:v>282.79000000000002</c:v>
                </c:pt>
                <c:pt idx="62">
                  <c:v>282</c:v>
                </c:pt>
                <c:pt idx="63">
                  <c:v>279.7</c:v>
                </c:pt>
                <c:pt idx="64">
                  <c:v>272.94</c:v>
                </c:pt>
                <c:pt idx="65">
                  <c:v>264.85000000000002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71952"/>
        <c:axId val="485684104"/>
      </c:lineChart>
      <c:dateAx>
        <c:axId val="48567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4104"/>
        <c:crosses val="autoZero"/>
        <c:auto val="1"/>
        <c:lblOffset val="100"/>
        <c:baseTimeUnit val="days"/>
      </c:dateAx>
      <c:valAx>
        <c:axId val="4856841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43.15</c:v>
                </c:pt>
                <c:pt idx="1">
                  <c:v>45.62</c:v>
                </c:pt>
                <c:pt idx="2">
                  <c:v>47.9</c:v>
                </c:pt>
                <c:pt idx="3">
                  <c:v>48.66</c:v>
                </c:pt>
                <c:pt idx="4">
                  <c:v>49.32</c:v>
                </c:pt>
                <c:pt idx="5">
                  <c:v>48.9</c:v>
                </c:pt>
                <c:pt idx="6">
                  <c:v>48.53</c:v>
                </c:pt>
                <c:pt idx="7">
                  <c:v>48.75</c:v>
                </c:pt>
                <c:pt idx="8">
                  <c:v>48.46</c:v>
                </c:pt>
                <c:pt idx="9">
                  <c:v>48.71</c:v>
                </c:pt>
                <c:pt idx="10">
                  <c:v>48.79</c:v>
                </c:pt>
                <c:pt idx="11">
                  <c:v>49.92</c:v>
                </c:pt>
                <c:pt idx="12">
                  <c:v>48.53</c:v>
                </c:pt>
                <c:pt idx="13">
                  <c:v>48.46</c:v>
                </c:pt>
                <c:pt idx="14">
                  <c:v>48.55</c:v>
                </c:pt>
                <c:pt idx="15">
                  <c:v>48.41</c:v>
                </c:pt>
                <c:pt idx="16">
                  <c:v>46.53</c:v>
                </c:pt>
                <c:pt idx="17">
                  <c:v>46.74</c:v>
                </c:pt>
                <c:pt idx="18">
                  <c:v>46.79</c:v>
                </c:pt>
                <c:pt idx="19">
                  <c:v>46.72</c:v>
                </c:pt>
                <c:pt idx="20">
                  <c:v>46.93</c:v>
                </c:pt>
                <c:pt idx="21">
                  <c:v>46.48</c:v>
                </c:pt>
                <c:pt idx="22">
                  <c:v>47.28</c:v>
                </c:pt>
                <c:pt idx="23">
                  <c:v>46.59</c:v>
                </c:pt>
                <c:pt idx="24">
                  <c:v>46.86</c:v>
                </c:pt>
                <c:pt idx="25">
                  <c:v>47.2</c:v>
                </c:pt>
                <c:pt idx="26">
                  <c:v>44.93</c:v>
                </c:pt>
                <c:pt idx="27">
                  <c:v>45.53</c:v>
                </c:pt>
                <c:pt idx="28">
                  <c:v>45.45</c:v>
                </c:pt>
                <c:pt idx="29">
                  <c:v>45.38</c:v>
                </c:pt>
                <c:pt idx="30">
                  <c:v>45.3</c:v>
                </c:pt>
                <c:pt idx="31">
                  <c:v>45.16</c:v>
                </c:pt>
                <c:pt idx="32">
                  <c:v>44.55</c:v>
                </c:pt>
                <c:pt idx="33">
                  <c:v>44.54</c:v>
                </c:pt>
                <c:pt idx="34">
                  <c:v>43.7</c:v>
                </c:pt>
                <c:pt idx="35">
                  <c:v>43.54</c:v>
                </c:pt>
                <c:pt idx="36">
                  <c:v>42.67</c:v>
                </c:pt>
                <c:pt idx="37">
                  <c:v>43.48</c:v>
                </c:pt>
                <c:pt idx="38">
                  <c:v>43.24</c:v>
                </c:pt>
                <c:pt idx="39">
                  <c:v>43.22</c:v>
                </c:pt>
                <c:pt idx="40">
                  <c:v>42.82</c:v>
                </c:pt>
                <c:pt idx="41">
                  <c:v>41.81</c:v>
                </c:pt>
                <c:pt idx="42">
                  <c:v>43.56</c:v>
                </c:pt>
                <c:pt idx="43">
                  <c:v>46.16</c:v>
                </c:pt>
                <c:pt idx="44">
                  <c:v>45</c:v>
                </c:pt>
                <c:pt idx="45">
                  <c:v>44.88</c:v>
                </c:pt>
                <c:pt idx="46">
                  <c:v>45.38</c:v>
                </c:pt>
                <c:pt idx="47">
                  <c:v>45.01</c:v>
                </c:pt>
                <c:pt idx="48">
                  <c:v>45.05</c:v>
                </c:pt>
                <c:pt idx="49">
                  <c:v>44.74</c:v>
                </c:pt>
                <c:pt idx="50">
                  <c:v>44.87</c:v>
                </c:pt>
                <c:pt idx="51">
                  <c:v>44.77</c:v>
                </c:pt>
                <c:pt idx="52">
                  <c:v>44.53</c:v>
                </c:pt>
                <c:pt idx="53">
                  <c:v>45.76</c:v>
                </c:pt>
                <c:pt idx="54">
                  <c:v>46.51</c:v>
                </c:pt>
                <c:pt idx="55">
                  <c:v>46.61</c:v>
                </c:pt>
                <c:pt idx="56">
                  <c:v>46.52</c:v>
                </c:pt>
                <c:pt idx="57">
                  <c:v>44.52</c:v>
                </c:pt>
                <c:pt idx="58">
                  <c:v>44.96</c:v>
                </c:pt>
                <c:pt idx="59">
                  <c:v>44.46</c:v>
                </c:pt>
                <c:pt idx="60">
                  <c:v>43.34</c:v>
                </c:pt>
                <c:pt idx="61">
                  <c:v>43.06</c:v>
                </c:pt>
                <c:pt idx="62">
                  <c:v>42.86</c:v>
                </c:pt>
                <c:pt idx="63">
                  <c:v>42.68</c:v>
                </c:pt>
                <c:pt idx="64">
                  <c:v>42.44</c:v>
                </c:pt>
                <c:pt idx="65">
                  <c:v>41.21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72736"/>
        <c:axId val="485680576"/>
      </c:lineChart>
      <c:dateAx>
        <c:axId val="48567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0576"/>
        <c:crosses val="autoZero"/>
        <c:auto val="1"/>
        <c:lblOffset val="100"/>
        <c:baseTimeUnit val="days"/>
      </c:dateAx>
      <c:valAx>
        <c:axId val="4856805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95.5</c:v>
                </c:pt>
                <c:pt idx="1">
                  <c:v>94.99</c:v>
                </c:pt>
                <c:pt idx="2">
                  <c:v>92.41</c:v>
                </c:pt>
                <c:pt idx="3">
                  <c:v>93.05</c:v>
                </c:pt>
                <c:pt idx="4">
                  <c:v>92.94</c:v>
                </c:pt>
                <c:pt idx="5">
                  <c:v>90.96</c:v>
                </c:pt>
                <c:pt idx="6">
                  <c:v>92.43</c:v>
                </c:pt>
                <c:pt idx="7">
                  <c:v>92.67</c:v>
                </c:pt>
                <c:pt idx="8">
                  <c:v>91.22</c:v>
                </c:pt>
                <c:pt idx="9">
                  <c:v>90.62</c:v>
                </c:pt>
                <c:pt idx="10">
                  <c:v>87.07</c:v>
                </c:pt>
                <c:pt idx="11">
                  <c:v>87.67</c:v>
                </c:pt>
                <c:pt idx="12">
                  <c:v>87.9</c:v>
                </c:pt>
                <c:pt idx="13">
                  <c:v>87</c:v>
                </c:pt>
                <c:pt idx="14">
                  <c:v>86.21</c:v>
                </c:pt>
                <c:pt idx="15">
                  <c:v>84.39</c:v>
                </c:pt>
                <c:pt idx="16">
                  <c:v>83.59</c:v>
                </c:pt>
                <c:pt idx="17">
                  <c:v>86.69</c:v>
                </c:pt>
                <c:pt idx="18">
                  <c:v>87.91</c:v>
                </c:pt>
                <c:pt idx="19">
                  <c:v>86.92</c:v>
                </c:pt>
                <c:pt idx="20">
                  <c:v>87.22</c:v>
                </c:pt>
                <c:pt idx="22">
                  <c:v>89.46</c:v>
                </c:pt>
                <c:pt idx="23">
                  <c:v>88.86</c:v>
                </c:pt>
                <c:pt idx="24">
                  <c:v>89.53</c:v>
                </c:pt>
                <c:pt idx="25">
                  <c:v>87.46</c:v>
                </c:pt>
                <c:pt idx="26">
                  <c:v>89.55</c:v>
                </c:pt>
                <c:pt idx="27">
                  <c:v>90.39</c:v>
                </c:pt>
                <c:pt idx="28">
                  <c:v>92.26</c:v>
                </c:pt>
                <c:pt idx="29">
                  <c:v>90.34</c:v>
                </c:pt>
                <c:pt idx="30">
                  <c:v>91.59</c:v>
                </c:pt>
                <c:pt idx="31">
                  <c:v>88.77</c:v>
                </c:pt>
                <c:pt idx="32">
                  <c:v>89.07</c:v>
                </c:pt>
                <c:pt idx="33">
                  <c:v>87.78</c:v>
                </c:pt>
                <c:pt idx="34">
                  <c:v>84.23</c:v>
                </c:pt>
                <c:pt idx="35">
                  <c:v>82.47</c:v>
                </c:pt>
                <c:pt idx="36">
                  <c:v>82.08</c:v>
                </c:pt>
                <c:pt idx="37">
                  <c:v>81.290000000000006</c:v>
                </c:pt>
                <c:pt idx="38">
                  <c:v>84.15</c:v>
                </c:pt>
                <c:pt idx="39">
                  <c:v>82.41</c:v>
                </c:pt>
                <c:pt idx="40">
                  <c:v>82</c:v>
                </c:pt>
                <c:pt idx="41">
                  <c:v>80.72</c:v>
                </c:pt>
                <c:pt idx="42">
                  <c:v>79.260000000000005</c:v>
                </c:pt>
                <c:pt idx="43">
                  <c:v>82.02</c:v>
                </c:pt>
                <c:pt idx="44">
                  <c:v>86.56</c:v>
                </c:pt>
                <c:pt idx="45">
                  <c:v>85.47</c:v>
                </c:pt>
                <c:pt idx="46">
                  <c:v>85.23</c:v>
                </c:pt>
                <c:pt idx="47">
                  <c:v>86.01</c:v>
                </c:pt>
                <c:pt idx="48">
                  <c:v>84.9</c:v>
                </c:pt>
                <c:pt idx="49">
                  <c:v>82.02</c:v>
                </c:pt>
                <c:pt idx="50">
                  <c:v>82.99</c:v>
                </c:pt>
                <c:pt idx="51">
                  <c:v>83.87</c:v>
                </c:pt>
                <c:pt idx="52">
                  <c:v>85.51</c:v>
                </c:pt>
                <c:pt idx="53">
                  <c:v>89.13</c:v>
                </c:pt>
                <c:pt idx="54">
                  <c:v>89.6</c:v>
                </c:pt>
                <c:pt idx="55">
                  <c:v>89.31</c:v>
                </c:pt>
                <c:pt idx="56">
                  <c:v>85.9</c:v>
                </c:pt>
                <c:pt idx="57">
                  <c:v>86.39</c:v>
                </c:pt>
                <c:pt idx="58">
                  <c:v>88.19</c:v>
                </c:pt>
                <c:pt idx="59">
                  <c:v>92.23</c:v>
                </c:pt>
                <c:pt idx="60">
                  <c:v>98.73</c:v>
                </c:pt>
                <c:pt idx="61">
                  <c:v>98.97</c:v>
                </c:pt>
                <c:pt idx="62">
                  <c:v>99.58</c:v>
                </c:pt>
                <c:pt idx="63">
                  <c:v>97</c:v>
                </c:pt>
                <c:pt idx="64">
                  <c:v>108.37</c:v>
                </c:pt>
                <c:pt idx="65">
                  <c:v>105.78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75088"/>
        <c:axId val="485677832"/>
      </c:lineChart>
      <c:dateAx>
        <c:axId val="48567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7832"/>
        <c:crosses val="autoZero"/>
        <c:auto val="1"/>
        <c:lblOffset val="100"/>
        <c:baseTimeUnit val="days"/>
      </c:dateAx>
      <c:valAx>
        <c:axId val="485677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108.03</c:v>
                </c:pt>
                <c:pt idx="1">
                  <c:v>108.85</c:v>
                </c:pt>
                <c:pt idx="2">
                  <c:v>108.51</c:v>
                </c:pt>
                <c:pt idx="3">
                  <c:v>109.36</c:v>
                </c:pt>
                <c:pt idx="4">
                  <c:v>109.08</c:v>
                </c:pt>
                <c:pt idx="5">
                  <c:v>109.22</c:v>
                </c:pt>
                <c:pt idx="6">
                  <c:v>109.38</c:v>
                </c:pt>
                <c:pt idx="7">
                  <c:v>109.48</c:v>
                </c:pt>
                <c:pt idx="8">
                  <c:v>108.18</c:v>
                </c:pt>
                <c:pt idx="9">
                  <c:v>107.93</c:v>
                </c:pt>
                <c:pt idx="10">
                  <c:v>108</c:v>
                </c:pt>
                <c:pt idx="11">
                  <c:v>108.81</c:v>
                </c:pt>
                <c:pt idx="12">
                  <c:v>108.37</c:v>
                </c:pt>
                <c:pt idx="13">
                  <c:v>107.48</c:v>
                </c:pt>
                <c:pt idx="14">
                  <c:v>105.87</c:v>
                </c:pt>
                <c:pt idx="16">
                  <c:v>105.79</c:v>
                </c:pt>
                <c:pt idx="17">
                  <c:v>104.48</c:v>
                </c:pt>
                <c:pt idx="18">
                  <c:v>106.05</c:v>
                </c:pt>
                <c:pt idx="19">
                  <c:v>104.21</c:v>
                </c:pt>
                <c:pt idx="20">
                  <c:v>104.34</c:v>
                </c:pt>
                <c:pt idx="21">
                  <c:v>102.95</c:v>
                </c:pt>
                <c:pt idx="22">
                  <c:v>96.67</c:v>
                </c:pt>
                <c:pt idx="23">
                  <c:v>97.34</c:v>
                </c:pt>
                <c:pt idx="24">
                  <c:v>98.66</c:v>
                </c:pt>
                <c:pt idx="25">
                  <c:v>99.43</c:v>
                </c:pt>
                <c:pt idx="26">
                  <c:v>99.96</c:v>
                </c:pt>
                <c:pt idx="27">
                  <c:v>99.87</c:v>
                </c:pt>
                <c:pt idx="28">
                  <c:v>99.83</c:v>
                </c:pt>
                <c:pt idx="29">
                  <c:v>98.78</c:v>
                </c:pt>
                <c:pt idx="30">
                  <c:v>98.79</c:v>
                </c:pt>
                <c:pt idx="31">
                  <c:v>96.87</c:v>
                </c:pt>
                <c:pt idx="32">
                  <c:v>97.42</c:v>
                </c:pt>
                <c:pt idx="33">
                  <c:v>96.98</c:v>
                </c:pt>
                <c:pt idx="34">
                  <c:v>96.68</c:v>
                </c:pt>
                <c:pt idx="35">
                  <c:v>95.94</c:v>
                </c:pt>
                <c:pt idx="36">
                  <c:v>95.53</c:v>
                </c:pt>
                <c:pt idx="37">
                  <c:v>94.99</c:v>
                </c:pt>
                <c:pt idx="38">
                  <c:v>95.89</c:v>
                </c:pt>
                <c:pt idx="39">
                  <c:v>95.6</c:v>
                </c:pt>
                <c:pt idx="40">
                  <c:v>94.4</c:v>
                </c:pt>
                <c:pt idx="41">
                  <c:v>93.59</c:v>
                </c:pt>
                <c:pt idx="42">
                  <c:v>92.04</c:v>
                </c:pt>
                <c:pt idx="43">
                  <c:v>93.4</c:v>
                </c:pt>
                <c:pt idx="44">
                  <c:v>96.1</c:v>
                </c:pt>
                <c:pt idx="45">
                  <c:v>95.55</c:v>
                </c:pt>
                <c:pt idx="46">
                  <c:v>95.91</c:v>
                </c:pt>
                <c:pt idx="47">
                  <c:v>95.1</c:v>
                </c:pt>
                <c:pt idx="48">
                  <c:v>95.33</c:v>
                </c:pt>
                <c:pt idx="49">
                  <c:v>97.55</c:v>
                </c:pt>
                <c:pt idx="50">
                  <c:v>97.14</c:v>
                </c:pt>
                <c:pt idx="51">
                  <c:v>97.46</c:v>
                </c:pt>
                <c:pt idx="52">
                  <c:v>97.34</c:v>
                </c:pt>
                <c:pt idx="53">
                  <c:v>98.83</c:v>
                </c:pt>
                <c:pt idx="54">
                  <c:v>99.65</c:v>
                </c:pt>
                <c:pt idx="55">
                  <c:v>98.94</c:v>
                </c:pt>
                <c:pt idx="56">
                  <c:v>99.03</c:v>
                </c:pt>
                <c:pt idx="57">
                  <c:v>98.63</c:v>
                </c:pt>
                <c:pt idx="58">
                  <c:v>97.92</c:v>
                </c:pt>
                <c:pt idx="59">
                  <c:v>97.72</c:v>
                </c:pt>
                <c:pt idx="60">
                  <c:v>98.46</c:v>
                </c:pt>
                <c:pt idx="61">
                  <c:v>99.86</c:v>
                </c:pt>
                <c:pt idx="62">
                  <c:v>100.35</c:v>
                </c:pt>
                <c:pt idx="63">
                  <c:v>100.41</c:v>
                </c:pt>
                <c:pt idx="64">
                  <c:v>99.62</c:v>
                </c:pt>
                <c:pt idx="65">
                  <c:v>97.9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77048"/>
        <c:axId val="485677440"/>
      </c:lineChart>
      <c:dateAx>
        <c:axId val="48567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7440"/>
        <c:crosses val="autoZero"/>
        <c:auto val="1"/>
        <c:lblOffset val="100"/>
        <c:baseTimeUnit val="days"/>
      </c:dateAx>
      <c:valAx>
        <c:axId val="4856774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7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65.16</c:v>
                </c:pt>
                <c:pt idx="1">
                  <c:v>65.680000000000007</c:v>
                </c:pt>
                <c:pt idx="2">
                  <c:v>65.36</c:v>
                </c:pt>
                <c:pt idx="3">
                  <c:v>65.53</c:v>
                </c:pt>
                <c:pt idx="4">
                  <c:v>65.63</c:v>
                </c:pt>
                <c:pt idx="5">
                  <c:v>65.680000000000007</c:v>
                </c:pt>
                <c:pt idx="6">
                  <c:v>65.3</c:v>
                </c:pt>
                <c:pt idx="7">
                  <c:v>65.63</c:v>
                </c:pt>
                <c:pt idx="8">
                  <c:v>65.38</c:v>
                </c:pt>
                <c:pt idx="9">
                  <c:v>65.48</c:v>
                </c:pt>
                <c:pt idx="10">
                  <c:v>64.739999999999995</c:v>
                </c:pt>
                <c:pt idx="11">
                  <c:v>65.39</c:v>
                </c:pt>
                <c:pt idx="12">
                  <c:v>65.83</c:v>
                </c:pt>
                <c:pt idx="13">
                  <c:v>65.52</c:v>
                </c:pt>
                <c:pt idx="14">
                  <c:v>63.94</c:v>
                </c:pt>
                <c:pt idx="15">
                  <c:v>63.83</c:v>
                </c:pt>
                <c:pt idx="16">
                  <c:v>63.47</c:v>
                </c:pt>
                <c:pt idx="17">
                  <c:v>64.13</c:v>
                </c:pt>
                <c:pt idx="18">
                  <c:v>64.459999999999994</c:v>
                </c:pt>
                <c:pt idx="19">
                  <c:v>64.790000000000006</c:v>
                </c:pt>
                <c:pt idx="20">
                  <c:v>64.59</c:v>
                </c:pt>
                <c:pt idx="21">
                  <c:v>64.37</c:v>
                </c:pt>
                <c:pt idx="22">
                  <c:v>64.33</c:v>
                </c:pt>
                <c:pt idx="23">
                  <c:v>64.28</c:v>
                </c:pt>
                <c:pt idx="24">
                  <c:v>63.43</c:v>
                </c:pt>
                <c:pt idx="25">
                  <c:v>64.48</c:v>
                </c:pt>
                <c:pt idx="26">
                  <c:v>64.16</c:v>
                </c:pt>
                <c:pt idx="27">
                  <c:v>63.99</c:v>
                </c:pt>
                <c:pt idx="28">
                  <c:v>63.78</c:v>
                </c:pt>
                <c:pt idx="29">
                  <c:v>63.61</c:v>
                </c:pt>
                <c:pt idx="30">
                  <c:v>63.1</c:v>
                </c:pt>
                <c:pt idx="31">
                  <c:v>63</c:v>
                </c:pt>
                <c:pt idx="32">
                  <c:v>62.16</c:v>
                </c:pt>
                <c:pt idx="33">
                  <c:v>61.49</c:v>
                </c:pt>
                <c:pt idx="34">
                  <c:v>59.81</c:v>
                </c:pt>
                <c:pt idx="35">
                  <c:v>59.48</c:v>
                </c:pt>
                <c:pt idx="36">
                  <c:v>59.15</c:v>
                </c:pt>
                <c:pt idx="37">
                  <c:v>60.69</c:v>
                </c:pt>
                <c:pt idx="38">
                  <c:v>60.76</c:v>
                </c:pt>
                <c:pt idx="39">
                  <c:v>59.63</c:v>
                </c:pt>
                <c:pt idx="41">
                  <c:v>57.9</c:v>
                </c:pt>
                <c:pt idx="42">
                  <c:v>57.67</c:v>
                </c:pt>
                <c:pt idx="43">
                  <c:v>60.06</c:v>
                </c:pt>
                <c:pt idx="44">
                  <c:v>63.25</c:v>
                </c:pt>
                <c:pt idx="45">
                  <c:v>61.95</c:v>
                </c:pt>
                <c:pt idx="46">
                  <c:v>62.29</c:v>
                </c:pt>
                <c:pt idx="47">
                  <c:v>62.3</c:v>
                </c:pt>
                <c:pt idx="48">
                  <c:v>61.86</c:v>
                </c:pt>
                <c:pt idx="49">
                  <c:v>61.93</c:v>
                </c:pt>
                <c:pt idx="50">
                  <c:v>61.42</c:v>
                </c:pt>
                <c:pt idx="51">
                  <c:v>61.07</c:v>
                </c:pt>
                <c:pt idx="52">
                  <c:v>63.67</c:v>
                </c:pt>
                <c:pt idx="53">
                  <c:v>64.97</c:v>
                </c:pt>
                <c:pt idx="54">
                  <c:v>65.709999999999994</c:v>
                </c:pt>
                <c:pt idx="55">
                  <c:v>66.260000000000005</c:v>
                </c:pt>
                <c:pt idx="56">
                  <c:v>65.89</c:v>
                </c:pt>
                <c:pt idx="57">
                  <c:v>65.94</c:v>
                </c:pt>
                <c:pt idx="58">
                  <c:v>65.489999999999995</c:v>
                </c:pt>
                <c:pt idx="59">
                  <c:v>66.41</c:v>
                </c:pt>
                <c:pt idx="60">
                  <c:v>65.91</c:v>
                </c:pt>
                <c:pt idx="61">
                  <c:v>65.760000000000005</c:v>
                </c:pt>
                <c:pt idx="62">
                  <c:v>65.52</c:v>
                </c:pt>
                <c:pt idx="63">
                  <c:v>65.23</c:v>
                </c:pt>
                <c:pt idx="64">
                  <c:v>65.31</c:v>
                </c:pt>
                <c:pt idx="65">
                  <c:v>64.87</c:v>
                </c:pt>
                <c:pt idx="66">
                  <c:v>63.59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84888"/>
        <c:axId val="485689984"/>
      </c:lineChart>
      <c:dateAx>
        <c:axId val="485684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9984"/>
        <c:crosses val="autoZero"/>
        <c:auto val="1"/>
        <c:lblOffset val="100"/>
        <c:baseTimeUnit val="days"/>
      </c:dateAx>
      <c:valAx>
        <c:axId val="485689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24.04</c:v>
                </c:pt>
                <c:pt idx="1">
                  <c:v>24.83</c:v>
                </c:pt>
                <c:pt idx="2">
                  <c:v>23.69</c:v>
                </c:pt>
                <c:pt idx="3">
                  <c:v>23.02</c:v>
                </c:pt>
                <c:pt idx="4">
                  <c:v>22.74</c:v>
                </c:pt>
                <c:pt idx="5">
                  <c:v>23.31</c:v>
                </c:pt>
                <c:pt idx="6">
                  <c:v>23.2</c:v>
                </c:pt>
                <c:pt idx="7">
                  <c:v>23.2</c:v>
                </c:pt>
                <c:pt idx="8">
                  <c:v>22.35</c:v>
                </c:pt>
                <c:pt idx="9">
                  <c:v>22.26</c:v>
                </c:pt>
                <c:pt idx="11">
                  <c:v>21.57</c:v>
                </c:pt>
                <c:pt idx="12">
                  <c:v>22.12</c:v>
                </c:pt>
                <c:pt idx="13">
                  <c:v>23.19</c:v>
                </c:pt>
                <c:pt idx="14">
                  <c:v>22.09</c:v>
                </c:pt>
                <c:pt idx="15">
                  <c:v>21.43</c:v>
                </c:pt>
                <c:pt idx="16">
                  <c:v>24.52</c:v>
                </c:pt>
                <c:pt idx="17">
                  <c:v>24.49</c:v>
                </c:pt>
                <c:pt idx="18">
                  <c:v>24.42</c:v>
                </c:pt>
                <c:pt idx="19">
                  <c:v>24.68</c:v>
                </c:pt>
                <c:pt idx="20">
                  <c:v>24.66</c:v>
                </c:pt>
                <c:pt idx="21">
                  <c:v>25.41</c:v>
                </c:pt>
                <c:pt idx="22">
                  <c:v>25.8</c:v>
                </c:pt>
                <c:pt idx="23">
                  <c:v>25.33</c:v>
                </c:pt>
                <c:pt idx="24">
                  <c:v>25.18</c:v>
                </c:pt>
                <c:pt idx="25">
                  <c:v>26.29</c:v>
                </c:pt>
                <c:pt idx="26">
                  <c:v>26.61</c:v>
                </c:pt>
                <c:pt idx="27">
                  <c:v>26.55</c:v>
                </c:pt>
                <c:pt idx="28">
                  <c:v>27.69</c:v>
                </c:pt>
                <c:pt idx="29">
                  <c:v>27.44</c:v>
                </c:pt>
                <c:pt idx="30">
                  <c:v>27.87</c:v>
                </c:pt>
                <c:pt idx="31">
                  <c:v>26.92</c:v>
                </c:pt>
                <c:pt idx="32">
                  <c:v>26.03</c:v>
                </c:pt>
                <c:pt idx="33">
                  <c:v>24.67</c:v>
                </c:pt>
                <c:pt idx="34">
                  <c:v>24.86</c:v>
                </c:pt>
                <c:pt idx="35">
                  <c:v>23.5</c:v>
                </c:pt>
                <c:pt idx="36">
                  <c:v>23.75</c:v>
                </c:pt>
                <c:pt idx="37">
                  <c:v>23.54</c:v>
                </c:pt>
                <c:pt idx="38">
                  <c:v>24.22</c:v>
                </c:pt>
                <c:pt idx="39">
                  <c:v>24.1</c:v>
                </c:pt>
                <c:pt idx="40">
                  <c:v>24.34</c:v>
                </c:pt>
                <c:pt idx="41">
                  <c:v>24.06</c:v>
                </c:pt>
                <c:pt idx="42">
                  <c:v>23.48</c:v>
                </c:pt>
                <c:pt idx="43">
                  <c:v>25.43</c:v>
                </c:pt>
                <c:pt idx="44">
                  <c:v>27.64</c:v>
                </c:pt>
                <c:pt idx="45">
                  <c:v>27.02</c:v>
                </c:pt>
                <c:pt idx="46">
                  <c:v>27.31</c:v>
                </c:pt>
                <c:pt idx="47">
                  <c:v>27.96</c:v>
                </c:pt>
                <c:pt idx="48">
                  <c:v>28.35</c:v>
                </c:pt>
                <c:pt idx="49">
                  <c:v>27.59</c:v>
                </c:pt>
                <c:pt idx="50">
                  <c:v>27.68</c:v>
                </c:pt>
                <c:pt idx="51">
                  <c:v>27.73</c:v>
                </c:pt>
                <c:pt idx="52">
                  <c:v>28.62</c:v>
                </c:pt>
                <c:pt idx="53">
                  <c:v>29.23</c:v>
                </c:pt>
                <c:pt idx="54">
                  <c:v>29.79</c:v>
                </c:pt>
                <c:pt idx="55">
                  <c:v>31.08</c:v>
                </c:pt>
                <c:pt idx="56">
                  <c:v>31.96</c:v>
                </c:pt>
                <c:pt idx="57">
                  <c:v>31.15</c:v>
                </c:pt>
                <c:pt idx="58">
                  <c:v>28.61</c:v>
                </c:pt>
                <c:pt idx="59">
                  <c:v>27.98</c:v>
                </c:pt>
                <c:pt idx="60">
                  <c:v>27.64</c:v>
                </c:pt>
                <c:pt idx="61">
                  <c:v>27.66</c:v>
                </c:pt>
                <c:pt idx="62">
                  <c:v>27.7</c:v>
                </c:pt>
                <c:pt idx="63">
                  <c:v>28.96</c:v>
                </c:pt>
                <c:pt idx="64">
                  <c:v>29.52</c:v>
                </c:pt>
                <c:pt idx="65">
                  <c:v>27.61</c:v>
                </c:pt>
                <c:pt idx="66">
                  <c:v>29.85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95080"/>
        <c:axId val="485686064"/>
      </c:lineChart>
      <c:dateAx>
        <c:axId val="48569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6064"/>
        <c:crosses val="autoZero"/>
        <c:auto val="1"/>
        <c:lblOffset val="100"/>
        <c:baseTimeUnit val="days"/>
      </c:dateAx>
      <c:valAx>
        <c:axId val="485686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42598</c:v>
                </c:pt>
                <c:pt idx="8">
                  <c:v>42597</c:v>
                </c:pt>
                <c:pt idx="9">
                  <c:v>42594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42527</c:v>
                </c:pt>
                <c:pt idx="59">
                  <c:v>42524</c:v>
                </c:pt>
                <c:pt idx="60">
                  <c:v>42523</c:v>
                </c:pt>
                <c:pt idx="61">
                  <c:v>42522</c:v>
                </c:pt>
                <c:pt idx="62">
                  <c:v>42521</c:v>
                </c:pt>
                <c:pt idx="63">
                  <c:v>42517</c:v>
                </c:pt>
                <c:pt idx="64">
                  <c:v>42516</c:v>
                </c:pt>
                <c:pt idx="65">
                  <c:v>42515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36.659999999999997</c:v>
                </c:pt>
                <c:pt idx="1">
                  <c:v>36.69</c:v>
                </c:pt>
                <c:pt idx="2">
                  <c:v>36.28</c:v>
                </c:pt>
                <c:pt idx="3">
                  <c:v>36.35</c:v>
                </c:pt>
                <c:pt idx="4">
                  <c:v>36.840000000000003</c:v>
                </c:pt>
                <c:pt idx="5">
                  <c:v>36.85</c:v>
                </c:pt>
                <c:pt idx="6">
                  <c:v>36.520000000000003</c:v>
                </c:pt>
                <c:pt idx="8">
                  <c:v>36.880000000000003</c:v>
                </c:pt>
                <c:pt idx="9">
                  <c:v>36.520000000000003</c:v>
                </c:pt>
                <c:pt idx="10">
                  <c:v>37.24</c:v>
                </c:pt>
                <c:pt idx="11">
                  <c:v>36.99</c:v>
                </c:pt>
                <c:pt idx="12">
                  <c:v>37.46</c:v>
                </c:pt>
                <c:pt idx="13">
                  <c:v>37.450000000000003</c:v>
                </c:pt>
                <c:pt idx="14">
                  <c:v>37.85</c:v>
                </c:pt>
                <c:pt idx="15">
                  <c:v>36.42</c:v>
                </c:pt>
                <c:pt idx="16">
                  <c:v>35.880000000000003</c:v>
                </c:pt>
                <c:pt idx="17">
                  <c:v>35.54</c:v>
                </c:pt>
                <c:pt idx="18">
                  <c:v>37.04</c:v>
                </c:pt>
                <c:pt idx="19">
                  <c:v>37.01</c:v>
                </c:pt>
                <c:pt idx="20">
                  <c:v>37.47</c:v>
                </c:pt>
                <c:pt idx="21">
                  <c:v>37.479999999999997</c:v>
                </c:pt>
                <c:pt idx="22">
                  <c:v>38.28</c:v>
                </c:pt>
                <c:pt idx="23">
                  <c:v>37.36</c:v>
                </c:pt>
                <c:pt idx="24">
                  <c:v>37.83</c:v>
                </c:pt>
                <c:pt idx="25">
                  <c:v>37.32</c:v>
                </c:pt>
                <c:pt idx="26">
                  <c:v>42.03</c:v>
                </c:pt>
                <c:pt idx="27">
                  <c:v>42.72</c:v>
                </c:pt>
                <c:pt idx="28">
                  <c:v>43.18</c:v>
                </c:pt>
                <c:pt idx="29">
                  <c:v>43.16</c:v>
                </c:pt>
                <c:pt idx="30">
                  <c:v>43.17</c:v>
                </c:pt>
                <c:pt idx="31">
                  <c:v>42.4</c:v>
                </c:pt>
                <c:pt idx="32">
                  <c:v>42.84</c:v>
                </c:pt>
                <c:pt idx="33">
                  <c:v>41.04</c:v>
                </c:pt>
                <c:pt idx="34">
                  <c:v>40.54</c:v>
                </c:pt>
                <c:pt idx="35">
                  <c:v>39.85</c:v>
                </c:pt>
                <c:pt idx="36">
                  <c:v>39.130000000000003</c:v>
                </c:pt>
                <c:pt idx="37">
                  <c:v>39.21</c:v>
                </c:pt>
                <c:pt idx="38">
                  <c:v>39.6</c:v>
                </c:pt>
                <c:pt idx="39">
                  <c:v>39.21</c:v>
                </c:pt>
                <c:pt idx="40">
                  <c:v>38.89</c:v>
                </c:pt>
                <c:pt idx="41">
                  <c:v>37.43</c:v>
                </c:pt>
                <c:pt idx="42">
                  <c:v>36.76</c:v>
                </c:pt>
                <c:pt idx="43">
                  <c:v>38.31</c:v>
                </c:pt>
                <c:pt idx="44">
                  <c:v>39.590000000000003</c:v>
                </c:pt>
                <c:pt idx="45">
                  <c:v>40.26</c:v>
                </c:pt>
                <c:pt idx="46">
                  <c:v>40.520000000000003</c:v>
                </c:pt>
                <c:pt idx="47">
                  <c:v>40.020000000000003</c:v>
                </c:pt>
                <c:pt idx="48">
                  <c:v>39.74</c:v>
                </c:pt>
                <c:pt idx="49">
                  <c:v>39.78</c:v>
                </c:pt>
                <c:pt idx="50">
                  <c:v>39.94</c:v>
                </c:pt>
                <c:pt idx="51">
                  <c:v>39.880000000000003</c:v>
                </c:pt>
                <c:pt idx="52">
                  <c:v>42.16</c:v>
                </c:pt>
                <c:pt idx="53">
                  <c:v>43.63</c:v>
                </c:pt>
                <c:pt idx="54">
                  <c:v>44.19</c:v>
                </c:pt>
                <c:pt idx="55">
                  <c:v>43.5</c:v>
                </c:pt>
                <c:pt idx="56">
                  <c:v>43.07</c:v>
                </c:pt>
                <c:pt idx="57">
                  <c:v>41.77</c:v>
                </c:pt>
                <c:pt idx="59">
                  <c:v>41.69</c:v>
                </c:pt>
                <c:pt idx="60">
                  <c:v>42.17</c:v>
                </c:pt>
                <c:pt idx="61">
                  <c:v>42.54</c:v>
                </c:pt>
                <c:pt idx="62">
                  <c:v>42.48</c:v>
                </c:pt>
                <c:pt idx="63">
                  <c:v>42.33</c:v>
                </c:pt>
                <c:pt idx="64">
                  <c:v>41.79</c:v>
                </c:pt>
                <c:pt idx="65">
                  <c:v>42.53</c:v>
                </c:pt>
                <c:pt idx="66">
                  <c:v>42.8</c:v>
                </c:pt>
                <c:pt idx="67">
                  <c:v>42.21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95472"/>
        <c:axId val="485687240"/>
      </c:lineChart>
      <c:dateAx>
        <c:axId val="48569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7240"/>
        <c:crosses val="autoZero"/>
        <c:auto val="1"/>
        <c:lblOffset val="100"/>
        <c:baseTimeUnit val="days"/>
      </c:dateAx>
      <c:valAx>
        <c:axId val="485687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53.98</c:v>
                </c:pt>
                <c:pt idx="1">
                  <c:v>53.6</c:v>
                </c:pt>
                <c:pt idx="2">
                  <c:v>52.98</c:v>
                </c:pt>
                <c:pt idx="3">
                  <c:v>52.95</c:v>
                </c:pt>
                <c:pt idx="4">
                  <c:v>52.35</c:v>
                </c:pt>
                <c:pt idx="5">
                  <c:v>52.34</c:v>
                </c:pt>
                <c:pt idx="6">
                  <c:v>52</c:v>
                </c:pt>
                <c:pt idx="7">
                  <c:v>52.05</c:v>
                </c:pt>
                <c:pt idx="8">
                  <c:v>51.97</c:v>
                </c:pt>
                <c:pt idx="9">
                  <c:v>51.41</c:v>
                </c:pt>
                <c:pt idx="10">
                  <c:v>52.02</c:v>
                </c:pt>
                <c:pt idx="11">
                  <c:v>50.22</c:v>
                </c:pt>
                <c:pt idx="12">
                  <c:v>50.21</c:v>
                </c:pt>
                <c:pt idx="13">
                  <c:v>50.66</c:v>
                </c:pt>
                <c:pt idx="14">
                  <c:v>49.43</c:v>
                </c:pt>
                <c:pt idx="15">
                  <c:v>49.44</c:v>
                </c:pt>
                <c:pt idx="16">
                  <c:v>49.96</c:v>
                </c:pt>
                <c:pt idx="17">
                  <c:v>50.6</c:v>
                </c:pt>
                <c:pt idx="18">
                  <c:v>50.53</c:v>
                </c:pt>
                <c:pt idx="19">
                  <c:v>50.69</c:v>
                </c:pt>
                <c:pt idx="20">
                  <c:v>50.51</c:v>
                </c:pt>
                <c:pt idx="21">
                  <c:v>58.09</c:v>
                </c:pt>
                <c:pt idx="22">
                  <c:v>57.9</c:v>
                </c:pt>
                <c:pt idx="23">
                  <c:v>57.89</c:v>
                </c:pt>
                <c:pt idx="24">
                  <c:v>57.2</c:v>
                </c:pt>
                <c:pt idx="25">
                  <c:v>57.83</c:v>
                </c:pt>
                <c:pt idx="26">
                  <c:v>57.45</c:v>
                </c:pt>
                <c:pt idx="27">
                  <c:v>57.47</c:v>
                </c:pt>
                <c:pt idx="28">
                  <c:v>57.25</c:v>
                </c:pt>
                <c:pt idx="29">
                  <c:v>57.43</c:v>
                </c:pt>
                <c:pt idx="30">
                  <c:v>56.86</c:v>
                </c:pt>
                <c:pt idx="31">
                  <c:v>56.16</c:v>
                </c:pt>
                <c:pt idx="32">
                  <c:v>56.24</c:v>
                </c:pt>
                <c:pt idx="33">
                  <c:v>56.38</c:v>
                </c:pt>
                <c:pt idx="34">
                  <c:v>54.94</c:v>
                </c:pt>
                <c:pt idx="35">
                  <c:v>54.96</c:v>
                </c:pt>
                <c:pt idx="36">
                  <c:v>54.25</c:v>
                </c:pt>
                <c:pt idx="37">
                  <c:v>55.5</c:v>
                </c:pt>
                <c:pt idx="38">
                  <c:v>55.93</c:v>
                </c:pt>
                <c:pt idx="39">
                  <c:v>54.56</c:v>
                </c:pt>
                <c:pt idx="40">
                  <c:v>53.05</c:v>
                </c:pt>
                <c:pt idx="41">
                  <c:v>51.16</c:v>
                </c:pt>
                <c:pt idx="42">
                  <c:v>53.35</c:v>
                </c:pt>
                <c:pt idx="43">
                  <c:v>57.17</c:v>
                </c:pt>
                <c:pt idx="44">
                  <c:v>54.7</c:v>
                </c:pt>
                <c:pt idx="45">
                  <c:v>54.7</c:v>
                </c:pt>
                <c:pt idx="46">
                  <c:v>54.14</c:v>
                </c:pt>
                <c:pt idx="47">
                  <c:v>53.19</c:v>
                </c:pt>
                <c:pt idx="48">
                  <c:v>53.71</c:v>
                </c:pt>
                <c:pt idx="49">
                  <c:v>53.27</c:v>
                </c:pt>
                <c:pt idx="50">
                  <c:v>52.66</c:v>
                </c:pt>
                <c:pt idx="51">
                  <c:v>52.21</c:v>
                </c:pt>
                <c:pt idx="52">
                  <c:v>52.73</c:v>
                </c:pt>
                <c:pt idx="53">
                  <c:v>55.44</c:v>
                </c:pt>
                <c:pt idx="54">
                  <c:v>54.92</c:v>
                </c:pt>
                <c:pt idx="55">
                  <c:v>54.85</c:v>
                </c:pt>
                <c:pt idx="56">
                  <c:v>54.53</c:v>
                </c:pt>
                <c:pt idx="57">
                  <c:v>53.55</c:v>
                </c:pt>
                <c:pt idx="58">
                  <c:v>54.9</c:v>
                </c:pt>
                <c:pt idx="59">
                  <c:v>54.42</c:v>
                </c:pt>
                <c:pt idx="60">
                  <c:v>54.58</c:v>
                </c:pt>
                <c:pt idx="61">
                  <c:v>54.2</c:v>
                </c:pt>
                <c:pt idx="62">
                  <c:v>53.98</c:v>
                </c:pt>
                <c:pt idx="63">
                  <c:v>52.86</c:v>
                </c:pt>
                <c:pt idx="64">
                  <c:v>52.7</c:v>
                </c:pt>
                <c:pt idx="65">
                  <c:v>51.29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95864"/>
        <c:axId val="485690376"/>
      </c:lineChart>
      <c:dateAx>
        <c:axId val="48569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0376"/>
        <c:crosses val="autoZero"/>
        <c:auto val="1"/>
        <c:lblOffset val="100"/>
        <c:baseTimeUnit val="days"/>
      </c:dateAx>
      <c:valAx>
        <c:axId val="485690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42597</c:v>
                </c:pt>
                <c:pt idx="9">
                  <c:v>42594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16.059999999999999</c:v>
                </c:pt>
                <c:pt idx="1">
                  <c:v>16.43</c:v>
                </c:pt>
                <c:pt idx="2">
                  <c:v>15.64</c:v>
                </c:pt>
                <c:pt idx="3">
                  <c:v>16.8</c:v>
                </c:pt>
                <c:pt idx="4">
                  <c:v>16.68</c:v>
                </c:pt>
                <c:pt idx="5">
                  <c:v>15.7</c:v>
                </c:pt>
                <c:pt idx="6">
                  <c:v>15.17</c:v>
                </c:pt>
                <c:pt idx="7">
                  <c:v>14.9</c:v>
                </c:pt>
                <c:pt idx="9">
                  <c:v>14.72</c:v>
                </c:pt>
                <c:pt idx="10">
                  <c:v>14.45</c:v>
                </c:pt>
                <c:pt idx="11">
                  <c:v>13.98</c:v>
                </c:pt>
                <c:pt idx="12">
                  <c:v>14.42</c:v>
                </c:pt>
                <c:pt idx="13">
                  <c:v>14.25</c:v>
                </c:pt>
                <c:pt idx="14">
                  <c:v>13.87</c:v>
                </c:pt>
                <c:pt idx="15">
                  <c:v>13.41</c:v>
                </c:pt>
                <c:pt idx="16">
                  <c:v>13.42</c:v>
                </c:pt>
                <c:pt idx="17">
                  <c:v>12.9</c:v>
                </c:pt>
                <c:pt idx="18">
                  <c:v>12.92</c:v>
                </c:pt>
                <c:pt idx="19">
                  <c:v>13.64</c:v>
                </c:pt>
                <c:pt idx="20">
                  <c:v>13.35</c:v>
                </c:pt>
                <c:pt idx="21">
                  <c:v>13.13</c:v>
                </c:pt>
                <c:pt idx="22">
                  <c:v>13.78</c:v>
                </c:pt>
                <c:pt idx="23">
                  <c:v>13.58</c:v>
                </c:pt>
                <c:pt idx="24">
                  <c:v>14.11</c:v>
                </c:pt>
                <c:pt idx="25">
                  <c:v>14.42</c:v>
                </c:pt>
                <c:pt idx="26">
                  <c:v>14.84</c:v>
                </c:pt>
                <c:pt idx="27">
                  <c:v>14.75</c:v>
                </c:pt>
                <c:pt idx="28">
                  <c:v>15.18</c:v>
                </c:pt>
                <c:pt idx="29">
                  <c:v>15.21</c:v>
                </c:pt>
                <c:pt idx="30">
                  <c:v>15.27</c:v>
                </c:pt>
                <c:pt idx="31">
                  <c:v>15.29</c:v>
                </c:pt>
                <c:pt idx="32">
                  <c:v>15.6</c:v>
                </c:pt>
                <c:pt idx="33">
                  <c:v>14.69</c:v>
                </c:pt>
                <c:pt idx="34">
                  <c:v>14.92</c:v>
                </c:pt>
                <c:pt idx="35">
                  <c:v>14.74</c:v>
                </c:pt>
                <c:pt idx="36">
                  <c:v>14.84</c:v>
                </c:pt>
                <c:pt idx="37">
                  <c:v>14.72</c:v>
                </c:pt>
                <c:pt idx="38">
                  <c:v>15.68</c:v>
                </c:pt>
                <c:pt idx="39">
                  <c:v>15.01</c:v>
                </c:pt>
                <c:pt idx="40">
                  <c:v>15.14</c:v>
                </c:pt>
                <c:pt idx="41">
                  <c:v>14.78</c:v>
                </c:pt>
                <c:pt idx="42">
                  <c:v>13.66</c:v>
                </c:pt>
                <c:pt idx="43">
                  <c:v>14.59</c:v>
                </c:pt>
                <c:pt idx="44">
                  <c:v>15.27</c:v>
                </c:pt>
                <c:pt idx="45">
                  <c:v>14.75</c:v>
                </c:pt>
                <c:pt idx="46">
                  <c:v>15.09</c:v>
                </c:pt>
                <c:pt idx="47">
                  <c:v>14.48</c:v>
                </c:pt>
                <c:pt idx="48">
                  <c:v>13.16</c:v>
                </c:pt>
                <c:pt idx="49">
                  <c:v>12.67</c:v>
                </c:pt>
                <c:pt idx="50">
                  <c:v>13.06</c:v>
                </c:pt>
                <c:pt idx="51">
                  <c:v>13.23</c:v>
                </c:pt>
                <c:pt idx="52">
                  <c:v>13.28</c:v>
                </c:pt>
                <c:pt idx="53">
                  <c:v>13.42</c:v>
                </c:pt>
                <c:pt idx="54">
                  <c:v>14.26</c:v>
                </c:pt>
                <c:pt idx="55">
                  <c:v>14.53</c:v>
                </c:pt>
                <c:pt idx="56">
                  <c:v>14.62</c:v>
                </c:pt>
                <c:pt idx="57">
                  <c:v>13.96</c:v>
                </c:pt>
                <c:pt idx="58">
                  <c:v>13.32</c:v>
                </c:pt>
                <c:pt idx="59">
                  <c:v>13.38</c:v>
                </c:pt>
                <c:pt idx="60">
                  <c:v>13.23</c:v>
                </c:pt>
                <c:pt idx="61">
                  <c:v>13.07</c:v>
                </c:pt>
                <c:pt idx="62">
                  <c:v>12.9</c:v>
                </c:pt>
                <c:pt idx="63">
                  <c:v>13.17</c:v>
                </c:pt>
                <c:pt idx="64">
                  <c:v>13.54</c:v>
                </c:pt>
                <c:pt idx="65">
                  <c:v>13.02</c:v>
                </c:pt>
                <c:pt idx="66">
                  <c:v>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93512"/>
        <c:axId val="485694296"/>
      </c:lineChart>
      <c:dateAx>
        <c:axId val="4856935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4296"/>
        <c:crosses val="autoZero"/>
        <c:auto val="1"/>
        <c:lblOffset val="100"/>
        <c:baseTimeUnit val="days"/>
      </c:dateAx>
      <c:valAx>
        <c:axId val="4856942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9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32.99</c:v>
                </c:pt>
                <c:pt idx="1">
                  <c:v>32.25</c:v>
                </c:pt>
                <c:pt idx="2">
                  <c:v>32.86</c:v>
                </c:pt>
                <c:pt idx="3">
                  <c:v>32.61</c:v>
                </c:pt>
                <c:pt idx="4">
                  <c:v>32.46</c:v>
                </c:pt>
                <c:pt idx="5">
                  <c:v>31.88</c:v>
                </c:pt>
                <c:pt idx="6">
                  <c:v>32.1</c:v>
                </c:pt>
                <c:pt idx="7">
                  <c:v>32.729999999999997</c:v>
                </c:pt>
                <c:pt idx="8">
                  <c:v>32.58</c:v>
                </c:pt>
                <c:pt idx="9">
                  <c:v>32.299999999999997</c:v>
                </c:pt>
                <c:pt idx="11">
                  <c:v>32.5</c:v>
                </c:pt>
                <c:pt idx="12">
                  <c:v>32.29</c:v>
                </c:pt>
                <c:pt idx="13">
                  <c:v>32.31</c:v>
                </c:pt>
                <c:pt idx="14">
                  <c:v>32.619999999999997</c:v>
                </c:pt>
                <c:pt idx="15">
                  <c:v>32.549999999999997</c:v>
                </c:pt>
                <c:pt idx="16">
                  <c:v>33.200000000000003</c:v>
                </c:pt>
                <c:pt idx="17">
                  <c:v>32.61</c:v>
                </c:pt>
                <c:pt idx="18">
                  <c:v>34.01</c:v>
                </c:pt>
                <c:pt idx="19">
                  <c:v>34.19</c:v>
                </c:pt>
                <c:pt idx="20">
                  <c:v>34.4</c:v>
                </c:pt>
                <c:pt idx="21">
                  <c:v>35.57</c:v>
                </c:pt>
                <c:pt idx="22">
                  <c:v>36.42</c:v>
                </c:pt>
                <c:pt idx="23">
                  <c:v>35.79</c:v>
                </c:pt>
                <c:pt idx="24">
                  <c:v>35.979999999999997</c:v>
                </c:pt>
                <c:pt idx="25">
                  <c:v>35.96</c:v>
                </c:pt>
                <c:pt idx="26">
                  <c:v>36.4</c:v>
                </c:pt>
                <c:pt idx="27">
                  <c:v>36.21</c:v>
                </c:pt>
                <c:pt idx="28">
                  <c:v>36.340000000000003</c:v>
                </c:pt>
                <c:pt idx="29">
                  <c:v>36.71</c:v>
                </c:pt>
                <c:pt idx="30">
                  <c:v>37.299999999999997</c:v>
                </c:pt>
                <c:pt idx="31">
                  <c:v>37.479999999999997</c:v>
                </c:pt>
                <c:pt idx="32">
                  <c:v>37.39</c:v>
                </c:pt>
                <c:pt idx="33">
                  <c:v>37.54</c:v>
                </c:pt>
                <c:pt idx="34">
                  <c:v>37.86</c:v>
                </c:pt>
                <c:pt idx="35">
                  <c:v>37.32</c:v>
                </c:pt>
                <c:pt idx="36">
                  <c:v>37.58</c:v>
                </c:pt>
                <c:pt idx="37">
                  <c:v>37.33</c:v>
                </c:pt>
                <c:pt idx="38">
                  <c:v>36.549999999999997</c:v>
                </c:pt>
                <c:pt idx="39">
                  <c:v>36.79</c:v>
                </c:pt>
                <c:pt idx="40">
                  <c:v>36.450000000000003</c:v>
                </c:pt>
                <c:pt idx="41">
                  <c:v>36.049999999999997</c:v>
                </c:pt>
                <c:pt idx="42">
                  <c:v>36.619999999999997</c:v>
                </c:pt>
                <c:pt idx="43">
                  <c:v>35.14</c:v>
                </c:pt>
                <c:pt idx="44">
                  <c:v>34.67</c:v>
                </c:pt>
                <c:pt idx="45">
                  <c:v>34.22</c:v>
                </c:pt>
                <c:pt idx="46">
                  <c:v>34.47</c:v>
                </c:pt>
                <c:pt idx="47">
                  <c:v>34.71</c:v>
                </c:pt>
                <c:pt idx="48">
                  <c:v>35.18</c:v>
                </c:pt>
                <c:pt idx="49">
                  <c:v>35.47</c:v>
                </c:pt>
                <c:pt idx="50">
                  <c:v>35.71</c:v>
                </c:pt>
                <c:pt idx="51">
                  <c:v>35.76</c:v>
                </c:pt>
                <c:pt idx="52">
                  <c:v>36.14</c:v>
                </c:pt>
                <c:pt idx="53">
                  <c:v>36.81</c:v>
                </c:pt>
                <c:pt idx="54">
                  <c:v>36.58</c:v>
                </c:pt>
                <c:pt idx="55">
                  <c:v>36.520000000000003</c:v>
                </c:pt>
                <c:pt idx="56">
                  <c:v>36.29</c:v>
                </c:pt>
                <c:pt idx="57">
                  <c:v>36.020000000000003</c:v>
                </c:pt>
                <c:pt idx="58">
                  <c:v>36.25</c:v>
                </c:pt>
                <c:pt idx="59">
                  <c:v>36.44</c:v>
                </c:pt>
                <c:pt idx="60">
                  <c:v>36.42</c:v>
                </c:pt>
                <c:pt idx="61">
                  <c:v>35.76</c:v>
                </c:pt>
                <c:pt idx="62">
                  <c:v>35.71</c:v>
                </c:pt>
                <c:pt idx="63">
                  <c:v>35.590000000000003</c:v>
                </c:pt>
                <c:pt idx="64">
                  <c:v>34.94</c:v>
                </c:pt>
                <c:pt idx="65">
                  <c:v>35.520000000000003</c:v>
                </c:pt>
                <c:pt idx="66">
                  <c:v>34.799999999999997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686456"/>
        <c:axId val="485686848"/>
      </c:lineChart>
      <c:dateAx>
        <c:axId val="48568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6848"/>
        <c:crosses val="autoZero"/>
        <c:auto val="1"/>
        <c:lblOffset val="100"/>
        <c:baseTimeUnit val="days"/>
      </c:dateAx>
      <c:valAx>
        <c:axId val="48568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68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</c:v>
                </c:pt>
                <c:pt idx="1">
                  <c:v>12.42</c:v>
                </c:pt>
                <c:pt idx="2">
                  <c:v>12.36</c:v>
                </c:pt>
                <c:pt idx="3">
                  <c:v>12.39</c:v>
                </c:pt>
                <c:pt idx="4">
                  <c:v>12.33</c:v>
                </c:pt>
                <c:pt idx="5">
                  <c:v>12.39</c:v>
                </c:pt>
                <c:pt idx="6">
                  <c:v>12.34</c:v>
                </c:pt>
                <c:pt idx="7">
                  <c:v>12.43</c:v>
                </c:pt>
                <c:pt idx="8">
                  <c:v>12.33</c:v>
                </c:pt>
                <c:pt idx="9">
                  <c:v>12.31</c:v>
                </c:pt>
                <c:pt idx="10">
                  <c:v>12.25</c:v>
                </c:pt>
                <c:pt idx="11">
                  <c:v>12.31</c:v>
                </c:pt>
                <c:pt idx="12">
                  <c:v>12.18</c:v>
                </c:pt>
                <c:pt idx="13">
                  <c:v>12.19</c:v>
                </c:pt>
                <c:pt idx="14">
                  <c:v>12.08</c:v>
                </c:pt>
                <c:pt idx="15">
                  <c:v>12.13</c:v>
                </c:pt>
                <c:pt idx="16">
                  <c:v>11.94</c:v>
                </c:pt>
                <c:pt idx="17">
                  <c:v>12.48</c:v>
                </c:pt>
                <c:pt idx="18">
                  <c:v>12.66</c:v>
                </c:pt>
                <c:pt idx="19">
                  <c:v>12.71</c:v>
                </c:pt>
                <c:pt idx="20">
                  <c:v>13.84</c:v>
                </c:pt>
                <c:pt idx="21">
                  <c:v>13.86</c:v>
                </c:pt>
                <c:pt idx="23">
                  <c:v>13.83</c:v>
                </c:pt>
                <c:pt idx="24">
                  <c:v>13.84</c:v>
                </c:pt>
                <c:pt idx="25">
                  <c:v>13.92</c:v>
                </c:pt>
                <c:pt idx="26">
                  <c:v>13.74</c:v>
                </c:pt>
                <c:pt idx="27">
                  <c:v>13.65</c:v>
                </c:pt>
                <c:pt idx="28">
                  <c:v>13.65</c:v>
                </c:pt>
                <c:pt idx="29">
                  <c:v>13.57</c:v>
                </c:pt>
                <c:pt idx="30">
                  <c:v>13.59</c:v>
                </c:pt>
                <c:pt idx="31">
                  <c:v>13.48</c:v>
                </c:pt>
                <c:pt idx="32">
                  <c:v>13.45</c:v>
                </c:pt>
                <c:pt idx="33">
                  <c:v>13.27</c:v>
                </c:pt>
                <c:pt idx="34">
                  <c:v>13.09</c:v>
                </c:pt>
                <c:pt idx="35">
                  <c:v>12.75</c:v>
                </c:pt>
                <c:pt idx="36">
                  <c:v>12.57</c:v>
                </c:pt>
                <c:pt idx="37">
                  <c:v>12.4</c:v>
                </c:pt>
                <c:pt idx="38">
                  <c:v>12.72</c:v>
                </c:pt>
                <c:pt idx="39">
                  <c:v>12.57</c:v>
                </c:pt>
                <c:pt idx="40">
                  <c:v>12.55</c:v>
                </c:pt>
                <c:pt idx="41">
                  <c:v>12.39</c:v>
                </c:pt>
                <c:pt idx="42">
                  <c:v>12.16</c:v>
                </c:pt>
                <c:pt idx="43">
                  <c:v>12.52</c:v>
                </c:pt>
                <c:pt idx="44">
                  <c:v>13.4</c:v>
                </c:pt>
                <c:pt idx="45">
                  <c:v>13.18</c:v>
                </c:pt>
                <c:pt idx="46">
                  <c:v>13.22</c:v>
                </c:pt>
                <c:pt idx="47">
                  <c:v>13.42</c:v>
                </c:pt>
                <c:pt idx="48">
                  <c:v>13.26</c:v>
                </c:pt>
                <c:pt idx="49">
                  <c:v>13.12</c:v>
                </c:pt>
                <c:pt idx="50">
                  <c:v>13.01</c:v>
                </c:pt>
                <c:pt idx="51">
                  <c:v>12.84</c:v>
                </c:pt>
                <c:pt idx="52">
                  <c:v>12.98</c:v>
                </c:pt>
                <c:pt idx="53">
                  <c:v>13.1</c:v>
                </c:pt>
                <c:pt idx="54">
                  <c:v>13.26</c:v>
                </c:pt>
                <c:pt idx="55">
                  <c:v>13.36</c:v>
                </c:pt>
                <c:pt idx="56">
                  <c:v>13.38</c:v>
                </c:pt>
                <c:pt idx="57">
                  <c:v>13.18</c:v>
                </c:pt>
                <c:pt idx="58">
                  <c:v>13.04</c:v>
                </c:pt>
                <c:pt idx="59">
                  <c:v>13.21</c:v>
                </c:pt>
                <c:pt idx="60">
                  <c:v>13.11</c:v>
                </c:pt>
                <c:pt idx="61">
                  <c:v>13.49</c:v>
                </c:pt>
                <c:pt idx="62">
                  <c:v>13.45</c:v>
                </c:pt>
                <c:pt idx="63">
                  <c:v>13.46</c:v>
                </c:pt>
                <c:pt idx="64">
                  <c:v>13.52</c:v>
                </c:pt>
                <c:pt idx="65">
                  <c:v>13.29</c:v>
                </c:pt>
                <c:pt idx="66">
                  <c:v>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00568"/>
        <c:axId val="485704096"/>
      </c:lineChart>
      <c:dateAx>
        <c:axId val="485700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4096"/>
        <c:crosses val="autoZero"/>
        <c:auto val="1"/>
        <c:lblOffset val="100"/>
        <c:baseTimeUnit val="days"/>
      </c:dateAx>
      <c:valAx>
        <c:axId val="4857040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12.46</c:v>
                </c:pt>
                <c:pt idx="1">
                  <c:v>12.57</c:v>
                </c:pt>
                <c:pt idx="2">
                  <c:v>12.24</c:v>
                </c:pt>
                <c:pt idx="3">
                  <c:v>12.26</c:v>
                </c:pt>
                <c:pt idx="4">
                  <c:v>12.57</c:v>
                </c:pt>
                <c:pt idx="5">
                  <c:v>12.61</c:v>
                </c:pt>
                <c:pt idx="6">
                  <c:v>12.77</c:v>
                </c:pt>
                <c:pt idx="7">
                  <c:v>12.66</c:v>
                </c:pt>
                <c:pt idx="8">
                  <c:v>12.73</c:v>
                </c:pt>
                <c:pt idx="9">
                  <c:v>12.63</c:v>
                </c:pt>
                <c:pt idx="10">
                  <c:v>12.51</c:v>
                </c:pt>
                <c:pt idx="11">
                  <c:v>12.67</c:v>
                </c:pt>
                <c:pt idx="12">
                  <c:v>13.09</c:v>
                </c:pt>
                <c:pt idx="13">
                  <c:v>13.01</c:v>
                </c:pt>
                <c:pt idx="14">
                  <c:v>12.97</c:v>
                </c:pt>
                <c:pt idx="15">
                  <c:v>13.52</c:v>
                </c:pt>
                <c:pt idx="16">
                  <c:v>13.45</c:v>
                </c:pt>
                <c:pt idx="17">
                  <c:v>13.43</c:v>
                </c:pt>
                <c:pt idx="18">
                  <c:v>13.74</c:v>
                </c:pt>
                <c:pt idx="19">
                  <c:v>14.23</c:v>
                </c:pt>
                <c:pt idx="20">
                  <c:v>14.06</c:v>
                </c:pt>
                <c:pt idx="21">
                  <c:v>14.75</c:v>
                </c:pt>
                <c:pt idx="22">
                  <c:v>14.69</c:v>
                </c:pt>
                <c:pt idx="23">
                  <c:v>14.76</c:v>
                </c:pt>
                <c:pt idx="24">
                  <c:v>14.63</c:v>
                </c:pt>
                <c:pt idx="25">
                  <c:v>14.43</c:v>
                </c:pt>
                <c:pt idx="26">
                  <c:v>14.49</c:v>
                </c:pt>
                <c:pt idx="27">
                  <c:v>14.95</c:v>
                </c:pt>
                <c:pt idx="28">
                  <c:v>14.92</c:v>
                </c:pt>
                <c:pt idx="29">
                  <c:v>15</c:v>
                </c:pt>
                <c:pt idx="30">
                  <c:v>15.02</c:v>
                </c:pt>
                <c:pt idx="31">
                  <c:v>14.98</c:v>
                </c:pt>
                <c:pt idx="32">
                  <c:v>14.73</c:v>
                </c:pt>
                <c:pt idx="33">
                  <c:v>14.51</c:v>
                </c:pt>
                <c:pt idx="34">
                  <c:v>14.23</c:v>
                </c:pt>
                <c:pt idx="35">
                  <c:v>14.33</c:v>
                </c:pt>
                <c:pt idx="36">
                  <c:v>14.31</c:v>
                </c:pt>
                <c:pt idx="37">
                  <c:v>14.71</c:v>
                </c:pt>
                <c:pt idx="38">
                  <c:v>14.75</c:v>
                </c:pt>
                <c:pt idx="39">
                  <c:v>14.58</c:v>
                </c:pt>
                <c:pt idx="40">
                  <c:v>14.22</c:v>
                </c:pt>
                <c:pt idx="41">
                  <c:v>13.41</c:v>
                </c:pt>
                <c:pt idx="42">
                  <c:v>13.7</c:v>
                </c:pt>
                <c:pt idx="43">
                  <c:v>14.18</c:v>
                </c:pt>
                <c:pt idx="44">
                  <c:v>13.79</c:v>
                </c:pt>
                <c:pt idx="45">
                  <c:v>14.11</c:v>
                </c:pt>
                <c:pt idx="46">
                  <c:v>14.14</c:v>
                </c:pt>
                <c:pt idx="47">
                  <c:v>14.24</c:v>
                </c:pt>
                <c:pt idx="48">
                  <c:v>13.75</c:v>
                </c:pt>
                <c:pt idx="49">
                  <c:v>13.56</c:v>
                </c:pt>
                <c:pt idx="50">
                  <c:v>13.88</c:v>
                </c:pt>
                <c:pt idx="51">
                  <c:v>14.25</c:v>
                </c:pt>
                <c:pt idx="52">
                  <c:v>14.51</c:v>
                </c:pt>
                <c:pt idx="53">
                  <c:v>15.6</c:v>
                </c:pt>
                <c:pt idx="54">
                  <c:v>15.85</c:v>
                </c:pt>
                <c:pt idx="55">
                  <c:v>15.86</c:v>
                </c:pt>
                <c:pt idx="56">
                  <c:v>16</c:v>
                </c:pt>
                <c:pt idx="57">
                  <c:v>15.3</c:v>
                </c:pt>
                <c:pt idx="58">
                  <c:v>15.19</c:v>
                </c:pt>
                <c:pt idx="59">
                  <c:v>15.08</c:v>
                </c:pt>
                <c:pt idx="60">
                  <c:v>14.8</c:v>
                </c:pt>
                <c:pt idx="61">
                  <c:v>14.74</c:v>
                </c:pt>
                <c:pt idx="62">
                  <c:v>14.52</c:v>
                </c:pt>
                <c:pt idx="63">
                  <c:v>14.51</c:v>
                </c:pt>
                <c:pt idx="64">
                  <c:v>14.95</c:v>
                </c:pt>
                <c:pt idx="65">
                  <c:v>14.83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03312"/>
        <c:axId val="485702920"/>
      </c:lineChart>
      <c:dateAx>
        <c:axId val="485703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2920"/>
        <c:crosses val="autoZero"/>
        <c:auto val="1"/>
        <c:lblOffset val="100"/>
        <c:baseTimeUnit val="days"/>
      </c:dateAx>
      <c:valAx>
        <c:axId val="4857029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60.22</c:v>
                </c:pt>
                <c:pt idx="1">
                  <c:v>59.62</c:v>
                </c:pt>
                <c:pt idx="2">
                  <c:v>58.66</c:v>
                </c:pt>
                <c:pt idx="3">
                  <c:v>58.9</c:v>
                </c:pt>
                <c:pt idx="4">
                  <c:v>57.21</c:v>
                </c:pt>
                <c:pt idx="5">
                  <c:v>56.86</c:v>
                </c:pt>
                <c:pt idx="6">
                  <c:v>56.88</c:v>
                </c:pt>
                <c:pt idx="7">
                  <c:v>56.77</c:v>
                </c:pt>
                <c:pt idx="8">
                  <c:v>56.45</c:v>
                </c:pt>
                <c:pt idx="9">
                  <c:v>56.73</c:v>
                </c:pt>
                <c:pt idx="10">
                  <c:v>55.13</c:v>
                </c:pt>
                <c:pt idx="11">
                  <c:v>55.77</c:v>
                </c:pt>
                <c:pt idx="12">
                  <c:v>55.98</c:v>
                </c:pt>
                <c:pt idx="13">
                  <c:v>55.85</c:v>
                </c:pt>
                <c:pt idx="14">
                  <c:v>54.79</c:v>
                </c:pt>
                <c:pt idx="15">
                  <c:v>54.75</c:v>
                </c:pt>
                <c:pt idx="16">
                  <c:v>54.92</c:v>
                </c:pt>
                <c:pt idx="17">
                  <c:v>55.41</c:v>
                </c:pt>
                <c:pt idx="18">
                  <c:v>55.5</c:v>
                </c:pt>
                <c:pt idx="19">
                  <c:v>55.45</c:v>
                </c:pt>
                <c:pt idx="20">
                  <c:v>55.79</c:v>
                </c:pt>
                <c:pt idx="21">
                  <c:v>56.37</c:v>
                </c:pt>
                <c:pt idx="22">
                  <c:v>57.14</c:v>
                </c:pt>
                <c:pt idx="23">
                  <c:v>56.73</c:v>
                </c:pt>
                <c:pt idx="24">
                  <c:v>56.99</c:v>
                </c:pt>
                <c:pt idx="25">
                  <c:v>57.76</c:v>
                </c:pt>
                <c:pt idx="26">
                  <c:v>57.76</c:v>
                </c:pt>
                <c:pt idx="27">
                  <c:v>57.74</c:v>
                </c:pt>
                <c:pt idx="28">
                  <c:v>57.87</c:v>
                </c:pt>
                <c:pt idx="29">
                  <c:v>58.49</c:v>
                </c:pt>
                <c:pt idx="30">
                  <c:v>57.99</c:v>
                </c:pt>
                <c:pt idx="31">
                  <c:v>58.06</c:v>
                </c:pt>
                <c:pt idx="32">
                  <c:v>56.83</c:v>
                </c:pt>
                <c:pt idx="33">
                  <c:v>56.72</c:v>
                </c:pt>
                <c:pt idx="34">
                  <c:v>55.92</c:v>
                </c:pt>
                <c:pt idx="35">
                  <c:v>55.8</c:v>
                </c:pt>
                <c:pt idx="36">
                  <c:v>55.2</c:v>
                </c:pt>
                <c:pt idx="37">
                  <c:v>55.61</c:v>
                </c:pt>
                <c:pt idx="38">
                  <c:v>55.2</c:v>
                </c:pt>
                <c:pt idx="39">
                  <c:v>55.13</c:v>
                </c:pt>
                <c:pt idx="40">
                  <c:v>53.09</c:v>
                </c:pt>
                <c:pt idx="41">
                  <c:v>51.89</c:v>
                </c:pt>
                <c:pt idx="42">
                  <c:v>52.59</c:v>
                </c:pt>
                <c:pt idx="43">
                  <c:v>54.12</c:v>
                </c:pt>
                <c:pt idx="44">
                  <c:v>54.57</c:v>
                </c:pt>
                <c:pt idx="45">
                  <c:v>54.77</c:v>
                </c:pt>
                <c:pt idx="46">
                  <c:v>54.36</c:v>
                </c:pt>
                <c:pt idx="47">
                  <c:v>53.71</c:v>
                </c:pt>
                <c:pt idx="48">
                  <c:v>53.47</c:v>
                </c:pt>
                <c:pt idx="49">
                  <c:v>54.31</c:v>
                </c:pt>
                <c:pt idx="50">
                  <c:v>54.12</c:v>
                </c:pt>
                <c:pt idx="51">
                  <c:v>54.91</c:v>
                </c:pt>
                <c:pt idx="52">
                  <c:v>55.11</c:v>
                </c:pt>
                <c:pt idx="53">
                  <c:v>54.94</c:v>
                </c:pt>
                <c:pt idx="54">
                  <c:v>54.12</c:v>
                </c:pt>
                <c:pt idx="55">
                  <c:v>53.55</c:v>
                </c:pt>
                <c:pt idx="56">
                  <c:v>54.3</c:v>
                </c:pt>
                <c:pt idx="57">
                  <c:v>53.45</c:v>
                </c:pt>
                <c:pt idx="58">
                  <c:v>54.53</c:v>
                </c:pt>
                <c:pt idx="60">
                  <c:v>54.93</c:v>
                </c:pt>
                <c:pt idx="61">
                  <c:v>55.22</c:v>
                </c:pt>
                <c:pt idx="62">
                  <c:v>56.19</c:v>
                </c:pt>
                <c:pt idx="63">
                  <c:v>55.84</c:v>
                </c:pt>
                <c:pt idx="64">
                  <c:v>55.99</c:v>
                </c:pt>
                <c:pt idx="65">
                  <c:v>56.59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00960"/>
        <c:axId val="485701744"/>
      </c:lineChart>
      <c:dateAx>
        <c:axId val="48570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1744"/>
        <c:crosses val="autoZero"/>
        <c:auto val="1"/>
        <c:lblOffset val="100"/>
        <c:baseTimeUnit val="days"/>
      </c:dateAx>
      <c:valAx>
        <c:axId val="4857017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70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28.44</c:v>
                </c:pt>
                <c:pt idx="1">
                  <c:v>29.27</c:v>
                </c:pt>
                <c:pt idx="2">
                  <c:v>28.39</c:v>
                </c:pt>
                <c:pt idx="3">
                  <c:v>28.07</c:v>
                </c:pt>
                <c:pt idx="4">
                  <c:v>27.96</c:v>
                </c:pt>
                <c:pt idx="5">
                  <c:v>27.8</c:v>
                </c:pt>
                <c:pt idx="6">
                  <c:v>28.07</c:v>
                </c:pt>
                <c:pt idx="7">
                  <c:v>28.43</c:v>
                </c:pt>
                <c:pt idx="8">
                  <c:v>27.18</c:v>
                </c:pt>
                <c:pt idx="9">
                  <c:v>28.11</c:v>
                </c:pt>
                <c:pt idx="10">
                  <c:v>27.88</c:v>
                </c:pt>
                <c:pt idx="11">
                  <c:v>28.21</c:v>
                </c:pt>
                <c:pt idx="12">
                  <c:v>28.32</c:v>
                </c:pt>
                <c:pt idx="13">
                  <c:v>27.27</c:v>
                </c:pt>
                <c:pt idx="14">
                  <c:v>26.44</c:v>
                </c:pt>
                <c:pt idx="15">
                  <c:v>27.3</c:v>
                </c:pt>
                <c:pt idx="16">
                  <c:v>27.26</c:v>
                </c:pt>
                <c:pt idx="17">
                  <c:v>26.63</c:v>
                </c:pt>
                <c:pt idx="18">
                  <c:v>27</c:v>
                </c:pt>
                <c:pt idx="19">
                  <c:v>27.65</c:v>
                </c:pt>
                <c:pt idx="20">
                  <c:v>28.88</c:v>
                </c:pt>
                <c:pt idx="21">
                  <c:v>29.34</c:v>
                </c:pt>
                <c:pt idx="22">
                  <c:v>28.63</c:v>
                </c:pt>
                <c:pt idx="23">
                  <c:v>28.28</c:v>
                </c:pt>
                <c:pt idx="24">
                  <c:v>28.89</c:v>
                </c:pt>
                <c:pt idx="25">
                  <c:v>29.01</c:v>
                </c:pt>
                <c:pt idx="26">
                  <c:v>28.68</c:v>
                </c:pt>
                <c:pt idx="27">
                  <c:v>29.28</c:v>
                </c:pt>
                <c:pt idx="28">
                  <c:v>28.69</c:v>
                </c:pt>
                <c:pt idx="29">
                  <c:v>28.18</c:v>
                </c:pt>
                <c:pt idx="30">
                  <c:v>27.41</c:v>
                </c:pt>
                <c:pt idx="31">
                  <c:v>26.48</c:v>
                </c:pt>
                <c:pt idx="32">
                  <c:v>25.69</c:v>
                </c:pt>
                <c:pt idx="33">
                  <c:v>25.48</c:v>
                </c:pt>
                <c:pt idx="34">
                  <c:v>24.99</c:v>
                </c:pt>
                <c:pt idx="35">
                  <c:v>25.23</c:v>
                </c:pt>
                <c:pt idx="36">
                  <c:v>25.47</c:v>
                </c:pt>
                <c:pt idx="37">
                  <c:v>26.57</c:v>
                </c:pt>
                <c:pt idx="38">
                  <c:v>26.18</c:v>
                </c:pt>
                <c:pt idx="39">
                  <c:v>25.62</c:v>
                </c:pt>
                <c:pt idx="40">
                  <c:v>25.26</c:v>
                </c:pt>
                <c:pt idx="41">
                  <c:v>24.69</c:v>
                </c:pt>
                <c:pt idx="42">
                  <c:v>26.91</c:v>
                </c:pt>
                <c:pt idx="43">
                  <c:v>28</c:v>
                </c:pt>
                <c:pt idx="44">
                  <c:v>26.74</c:v>
                </c:pt>
                <c:pt idx="45">
                  <c:v>26.97</c:v>
                </c:pt>
                <c:pt idx="46">
                  <c:v>26.88</c:v>
                </c:pt>
                <c:pt idx="47">
                  <c:v>26.74</c:v>
                </c:pt>
                <c:pt idx="48">
                  <c:v>25.9</c:v>
                </c:pt>
                <c:pt idx="49">
                  <c:v>26.3</c:v>
                </c:pt>
                <c:pt idx="50">
                  <c:v>26.29</c:v>
                </c:pt>
                <c:pt idx="51">
                  <c:v>26.91</c:v>
                </c:pt>
                <c:pt idx="52">
                  <c:v>26.97</c:v>
                </c:pt>
                <c:pt idx="53">
                  <c:v>27.53</c:v>
                </c:pt>
                <c:pt idx="54">
                  <c:v>28.02</c:v>
                </c:pt>
                <c:pt idx="55">
                  <c:v>29.03</c:v>
                </c:pt>
                <c:pt idx="56">
                  <c:v>28.36</c:v>
                </c:pt>
                <c:pt idx="57">
                  <c:v>26.7</c:v>
                </c:pt>
                <c:pt idx="58">
                  <c:v>25.65</c:v>
                </c:pt>
                <c:pt idx="59">
                  <c:v>25.23</c:v>
                </c:pt>
                <c:pt idx="60">
                  <c:v>25.23</c:v>
                </c:pt>
                <c:pt idx="62">
                  <c:v>25.69</c:v>
                </c:pt>
                <c:pt idx="63">
                  <c:v>26.13</c:v>
                </c:pt>
                <c:pt idx="64">
                  <c:v>26.49</c:v>
                </c:pt>
                <c:pt idx="65">
                  <c:v>25.96</c:v>
                </c:pt>
                <c:pt idx="66">
                  <c:v>26.31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08160"/>
        <c:axId val="566901888"/>
      </c:lineChart>
      <c:dateAx>
        <c:axId val="56690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1888"/>
        <c:crosses val="autoZero"/>
        <c:auto val="1"/>
        <c:lblOffset val="100"/>
        <c:baseTimeUnit val="days"/>
      </c:dateAx>
      <c:valAx>
        <c:axId val="566901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49.08</c:v>
                </c:pt>
                <c:pt idx="1">
                  <c:v>49.22</c:v>
                </c:pt>
                <c:pt idx="2">
                  <c:v>48.99</c:v>
                </c:pt>
                <c:pt idx="3">
                  <c:v>48.95</c:v>
                </c:pt>
                <c:pt idx="4">
                  <c:v>49.38</c:v>
                </c:pt>
                <c:pt idx="5">
                  <c:v>48.99</c:v>
                </c:pt>
                <c:pt idx="6">
                  <c:v>49.07</c:v>
                </c:pt>
                <c:pt idx="7">
                  <c:v>49.09</c:v>
                </c:pt>
                <c:pt idx="8">
                  <c:v>48.94</c:v>
                </c:pt>
                <c:pt idx="9">
                  <c:v>49</c:v>
                </c:pt>
                <c:pt idx="10">
                  <c:v>48.62</c:v>
                </c:pt>
                <c:pt idx="11">
                  <c:v>48.41</c:v>
                </c:pt>
                <c:pt idx="12">
                  <c:v>47.93</c:v>
                </c:pt>
                <c:pt idx="13">
                  <c:v>47.89</c:v>
                </c:pt>
                <c:pt idx="14">
                  <c:v>47.71</c:v>
                </c:pt>
                <c:pt idx="15">
                  <c:v>47.49</c:v>
                </c:pt>
                <c:pt idx="16">
                  <c:v>47.73</c:v>
                </c:pt>
                <c:pt idx="17">
                  <c:v>47.76</c:v>
                </c:pt>
                <c:pt idx="18">
                  <c:v>48.28</c:v>
                </c:pt>
                <c:pt idx="19">
                  <c:v>47.84</c:v>
                </c:pt>
                <c:pt idx="20">
                  <c:v>47.83</c:v>
                </c:pt>
                <c:pt idx="21">
                  <c:v>47.5</c:v>
                </c:pt>
                <c:pt idx="22">
                  <c:v>47.34</c:v>
                </c:pt>
                <c:pt idx="23">
                  <c:v>47.29</c:v>
                </c:pt>
                <c:pt idx="24">
                  <c:v>47.26</c:v>
                </c:pt>
                <c:pt idx="25">
                  <c:v>47.4</c:v>
                </c:pt>
                <c:pt idx="26">
                  <c:v>46.95</c:v>
                </c:pt>
                <c:pt idx="27">
                  <c:v>47.31</c:v>
                </c:pt>
                <c:pt idx="28">
                  <c:v>47.22</c:v>
                </c:pt>
                <c:pt idx="29">
                  <c:v>47.51</c:v>
                </c:pt>
                <c:pt idx="30">
                  <c:v>47.02</c:v>
                </c:pt>
                <c:pt idx="31">
                  <c:v>47.02</c:v>
                </c:pt>
                <c:pt idx="32">
                  <c:v>46.34</c:v>
                </c:pt>
                <c:pt idx="33">
                  <c:v>45.66</c:v>
                </c:pt>
                <c:pt idx="34">
                  <c:v>44.92</c:v>
                </c:pt>
                <c:pt idx="35">
                  <c:v>45.11</c:v>
                </c:pt>
                <c:pt idx="36">
                  <c:v>45.25</c:v>
                </c:pt>
                <c:pt idx="37">
                  <c:v>46.72</c:v>
                </c:pt>
                <c:pt idx="38">
                  <c:v>46.66</c:v>
                </c:pt>
                <c:pt idx="39">
                  <c:v>45.65</c:v>
                </c:pt>
                <c:pt idx="40">
                  <c:v>44.74</c:v>
                </c:pt>
                <c:pt idx="41">
                  <c:v>43.32</c:v>
                </c:pt>
                <c:pt idx="42">
                  <c:v>44.48</c:v>
                </c:pt>
                <c:pt idx="43">
                  <c:v>50.14</c:v>
                </c:pt>
                <c:pt idx="44">
                  <c:v>48.62</c:v>
                </c:pt>
                <c:pt idx="45">
                  <c:v>48.6</c:v>
                </c:pt>
                <c:pt idx="46">
                  <c:v>48.14</c:v>
                </c:pt>
                <c:pt idx="47">
                  <c:v>46.87</c:v>
                </c:pt>
                <c:pt idx="48">
                  <c:v>46.08</c:v>
                </c:pt>
                <c:pt idx="49">
                  <c:v>45.86</c:v>
                </c:pt>
                <c:pt idx="50">
                  <c:v>45.57</c:v>
                </c:pt>
                <c:pt idx="52">
                  <c:v>47.36</c:v>
                </c:pt>
                <c:pt idx="53">
                  <c:v>48.14</c:v>
                </c:pt>
                <c:pt idx="54">
                  <c:v>49.83</c:v>
                </c:pt>
                <c:pt idx="55">
                  <c:v>50.56</c:v>
                </c:pt>
                <c:pt idx="56">
                  <c:v>50.49</c:v>
                </c:pt>
                <c:pt idx="57">
                  <c:v>50.14</c:v>
                </c:pt>
                <c:pt idx="58">
                  <c:v>50.01</c:v>
                </c:pt>
                <c:pt idx="59">
                  <c:v>49.68</c:v>
                </c:pt>
                <c:pt idx="60">
                  <c:v>49.54</c:v>
                </c:pt>
                <c:pt idx="61">
                  <c:v>49.61</c:v>
                </c:pt>
                <c:pt idx="62">
                  <c:v>49.97</c:v>
                </c:pt>
                <c:pt idx="63">
                  <c:v>50.1</c:v>
                </c:pt>
                <c:pt idx="64">
                  <c:v>49.93</c:v>
                </c:pt>
                <c:pt idx="65">
                  <c:v>49.38</c:v>
                </c:pt>
                <c:pt idx="66">
                  <c:v>48.48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02280"/>
        <c:axId val="566903064"/>
      </c:lineChart>
      <c:catAx>
        <c:axId val="56690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3064"/>
        <c:crosses val="autoZero"/>
        <c:auto val="1"/>
        <c:lblAlgn val="ctr"/>
        <c:lblOffset val="100"/>
        <c:noMultiLvlLbl val="0"/>
      </c:catAx>
      <c:valAx>
        <c:axId val="566903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15.51</c:v>
                </c:pt>
                <c:pt idx="1">
                  <c:v>16.18</c:v>
                </c:pt>
                <c:pt idx="2">
                  <c:v>16.190000000000001</c:v>
                </c:pt>
                <c:pt idx="3">
                  <c:v>16.25</c:v>
                </c:pt>
                <c:pt idx="4">
                  <c:v>15.77</c:v>
                </c:pt>
                <c:pt idx="5">
                  <c:v>15.52</c:v>
                </c:pt>
                <c:pt idx="6">
                  <c:v>15.49</c:v>
                </c:pt>
                <c:pt idx="7">
                  <c:v>15.53</c:v>
                </c:pt>
                <c:pt idx="8">
                  <c:v>14.93</c:v>
                </c:pt>
                <c:pt idx="9">
                  <c:v>14.43</c:v>
                </c:pt>
                <c:pt idx="10">
                  <c:v>14.2</c:v>
                </c:pt>
                <c:pt idx="11">
                  <c:v>14.48</c:v>
                </c:pt>
                <c:pt idx="12">
                  <c:v>14.42</c:v>
                </c:pt>
                <c:pt idx="13">
                  <c:v>14.52</c:v>
                </c:pt>
                <c:pt idx="14">
                  <c:v>14.03</c:v>
                </c:pt>
                <c:pt idx="15">
                  <c:v>13.51</c:v>
                </c:pt>
                <c:pt idx="16">
                  <c:v>13.4</c:v>
                </c:pt>
                <c:pt idx="17">
                  <c:v>13.56</c:v>
                </c:pt>
                <c:pt idx="18">
                  <c:v>13.74</c:v>
                </c:pt>
                <c:pt idx="19">
                  <c:v>13.81</c:v>
                </c:pt>
                <c:pt idx="20">
                  <c:v>14.19</c:v>
                </c:pt>
                <c:pt idx="21">
                  <c:v>14.67</c:v>
                </c:pt>
                <c:pt idx="22">
                  <c:v>13.92</c:v>
                </c:pt>
                <c:pt idx="23">
                  <c:v>13.13</c:v>
                </c:pt>
                <c:pt idx="24">
                  <c:v>13.18</c:v>
                </c:pt>
                <c:pt idx="25">
                  <c:v>13.59</c:v>
                </c:pt>
                <c:pt idx="26">
                  <c:v>13.22</c:v>
                </c:pt>
                <c:pt idx="27">
                  <c:v>13.34</c:v>
                </c:pt>
                <c:pt idx="28">
                  <c:v>13.13</c:v>
                </c:pt>
                <c:pt idx="29">
                  <c:v>13.29</c:v>
                </c:pt>
                <c:pt idx="30">
                  <c:v>13.29</c:v>
                </c:pt>
                <c:pt idx="31">
                  <c:v>13.23</c:v>
                </c:pt>
                <c:pt idx="32">
                  <c:v>12.64</c:v>
                </c:pt>
                <c:pt idx="33">
                  <c:v>12.62</c:v>
                </c:pt>
                <c:pt idx="34">
                  <c:v>12.2</c:v>
                </c:pt>
                <c:pt idx="35">
                  <c:v>11.73</c:v>
                </c:pt>
                <c:pt idx="36">
                  <c:v>11.91</c:v>
                </c:pt>
                <c:pt idx="37">
                  <c:v>12.5</c:v>
                </c:pt>
                <c:pt idx="38">
                  <c:v>13.76</c:v>
                </c:pt>
                <c:pt idx="39">
                  <c:v>13.19</c:v>
                </c:pt>
                <c:pt idx="40">
                  <c:v>12.99</c:v>
                </c:pt>
                <c:pt idx="41">
                  <c:v>12.23</c:v>
                </c:pt>
                <c:pt idx="42">
                  <c:v>13.21</c:v>
                </c:pt>
                <c:pt idx="43">
                  <c:v>14.05</c:v>
                </c:pt>
                <c:pt idx="44">
                  <c:v>12.72</c:v>
                </c:pt>
                <c:pt idx="45">
                  <c:v>12.75</c:v>
                </c:pt>
                <c:pt idx="46">
                  <c:v>12.32</c:v>
                </c:pt>
                <c:pt idx="47">
                  <c:v>12.2</c:v>
                </c:pt>
                <c:pt idx="48">
                  <c:v>11.95</c:v>
                </c:pt>
                <c:pt idx="49">
                  <c:v>12.02</c:v>
                </c:pt>
                <c:pt idx="50">
                  <c:v>11.92</c:v>
                </c:pt>
                <c:pt idx="51">
                  <c:v>12.05</c:v>
                </c:pt>
                <c:pt idx="52">
                  <c:v>12.14</c:v>
                </c:pt>
                <c:pt idx="53">
                  <c:v>12.51</c:v>
                </c:pt>
                <c:pt idx="54">
                  <c:v>12.58</c:v>
                </c:pt>
                <c:pt idx="55">
                  <c:v>13</c:v>
                </c:pt>
                <c:pt idx="56">
                  <c:v>12.77</c:v>
                </c:pt>
                <c:pt idx="57">
                  <c:v>12.86</c:v>
                </c:pt>
                <c:pt idx="58">
                  <c:v>13.11</c:v>
                </c:pt>
                <c:pt idx="59">
                  <c:v>13.09</c:v>
                </c:pt>
                <c:pt idx="60">
                  <c:v>12.72</c:v>
                </c:pt>
                <c:pt idx="61">
                  <c:v>12.31</c:v>
                </c:pt>
                <c:pt idx="62">
                  <c:v>11.95</c:v>
                </c:pt>
                <c:pt idx="63">
                  <c:v>11.6</c:v>
                </c:pt>
                <c:pt idx="64">
                  <c:v>11.49</c:v>
                </c:pt>
                <c:pt idx="65">
                  <c:v>11.14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06200"/>
        <c:axId val="566906592"/>
      </c:lineChart>
      <c:dateAx>
        <c:axId val="56690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6592"/>
        <c:crosses val="autoZero"/>
        <c:auto val="1"/>
        <c:lblOffset val="100"/>
        <c:baseTimeUnit val="days"/>
      </c:dateAx>
      <c:valAx>
        <c:axId val="5669065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46.56</c:v>
                </c:pt>
                <c:pt idx="1">
                  <c:v>46.96</c:v>
                </c:pt>
                <c:pt idx="2">
                  <c:v>46.56</c:v>
                </c:pt>
                <c:pt idx="3">
                  <c:v>47.46</c:v>
                </c:pt>
                <c:pt idx="4">
                  <c:v>47.61</c:v>
                </c:pt>
                <c:pt idx="5">
                  <c:v>47.31</c:v>
                </c:pt>
                <c:pt idx="6">
                  <c:v>46.66</c:v>
                </c:pt>
                <c:pt idx="7">
                  <c:v>46.32</c:v>
                </c:pt>
                <c:pt idx="8">
                  <c:v>46.5</c:v>
                </c:pt>
                <c:pt idx="9">
                  <c:v>46.93</c:v>
                </c:pt>
                <c:pt idx="11">
                  <c:v>46.79</c:v>
                </c:pt>
                <c:pt idx="12">
                  <c:v>46.06</c:v>
                </c:pt>
                <c:pt idx="13">
                  <c:v>46.18</c:v>
                </c:pt>
                <c:pt idx="14">
                  <c:v>45.98</c:v>
                </c:pt>
                <c:pt idx="15">
                  <c:v>45.82</c:v>
                </c:pt>
                <c:pt idx="16">
                  <c:v>45.74</c:v>
                </c:pt>
                <c:pt idx="17">
                  <c:v>45.39</c:v>
                </c:pt>
                <c:pt idx="18">
                  <c:v>45.5</c:v>
                </c:pt>
                <c:pt idx="19">
                  <c:v>45.81</c:v>
                </c:pt>
                <c:pt idx="20">
                  <c:v>45.73</c:v>
                </c:pt>
                <c:pt idx="21">
                  <c:v>45.59</c:v>
                </c:pt>
                <c:pt idx="22">
                  <c:v>45.68</c:v>
                </c:pt>
                <c:pt idx="23">
                  <c:v>45.12</c:v>
                </c:pt>
                <c:pt idx="24">
                  <c:v>45.12</c:v>
                </c:pt>
                <c:pt idx="25">
                  <c:v>44.88</c:v>
                </c:pt>
                <c:pt idx="26">
                  <c:v>45.01</c:v>
                </c:pt>
                <c:pt idx="27">
                  <c:v>44.97</c:v>
                </c:pt>
                <c:pt idx="28">
                  <c:v>45.53</c:v>
                </c:pt>
                <c:pt idx="29">
                  <c:v>45.47</c:v>
                </c:pt>
                <c:pt idx="30">
                  <c:v>44.05</c:v>
                </c:pt>
                <c:pt idx="31">
                  <c:v>44.24</c:v>
                </c:pt>
                <c:pt idx="32">
                  <c:v>44.17</c:v>
                </c:pt>
                <c:pt idx="33">
                  <c:v>43.03</c:v>
                </c:pt>
                <c:pt idx="34">
                  <c:v>42.75</c:v>
                </c:pt>
                <c:pt idx="35">
                  <c:v>41.9</c:v>
                </c:pt>
                <c:pt idx="36">
                  <c:v>41.96</c:v>
                </c:pt>
                <c:pt idx="37">
                  <c:v>41.76</c:v>
                </c:pt>
                <c:pt idx="38">
                  <c:v>42.71</c:v>
                </c:pt>
                <c:pt idx="39">
                  <c:v>42.38</c:v>
                </c:pt>
                <c:pt idx="40">
                  <c:v>41.17</c:v>
                </c:pt>
                <c:pt idx="41">
                  <c:v>40.26</c:v>
                </c:pt>
                <c:pt idx="42">
                  <c:v>39.64</c:v>
                </c:pt>
                <c:pt idx="43">
                  <c:v>41.37</c:v>
                </c:pt>
                <c:pt idx="44">
                  <c:v>43.29</c:v>
                </c:pt>
                <c:pt idx="45">
                  <c:v>42.37</c:v>
                </c:pt>
                <c:pt idx="46">
                  <c:v>42.45</c:v>
                </c:pt>
                <c:pt idx="47">
                  <c:v>42.68</c:v>
                </c:pt>
                <c:pt idx="48">
                  <c:v>41.96</c:v>
                </c:pt>
                <c:pt idx="49">
                  <c:v>41.73</c:v>
                </c:pt>
                <c:pt idx="50">
                  <c:v>41.59</c:v>
                </c:pt>
                <c:pt idx="51">
                  <c:v>41.73</c:v>
                </c:pt>
                <c:pt idx="52">
                  <c:v>41.98</c:v>
                </c:pt>
                <c:pt idx="53">
                  <c:v>43.18</c:v>
                </c:pt>
                <c:pt idx="54">
                  <c:v>43.59</c:v>
                </c:pt>
                <c:pt idx="55">
                  <c:v>44.11</c:v>
                </c:pt>
                <c:pt idx="56">
                  <c:v>43.91</c:v>
                </c:pt>
                <c:pt idx="57">
                  <c:v>43.12</c:v>
                </c:pt>
                <c:pt idx="58">
                  <c:v>42.93</c:v>
                </c:pt>
                <c:pt idx="59">
                  <c:v>42.9</c:v>
                </c:pt>
                <c:pt idx="60">
                  <c:v>42.11</c:v>
                </c:pt>
                <c:pt idx="61">
                  <c:v>42.16</c:v>
                </c:pt>
                <c:pt idx="62">
                  <c:v>42.09</c:v>
                </c:pt>
                <c:pt idx="63">
                  <c:v>41.84</c:v>
                </c:pt>
                <c:pt idx="64">
                  <c:v>42.13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5816"/>
        <c:axId val="566882680"/>
      </c:lineChart>
      <c:dateAx>
        <c:axId val="56688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2680"/>
        <c:crosses val="autoZero"/>
        <c:auto val="1"/>
        <c:lblOffset val="100"/>
        <c:baseTimeUnit val="days"/>
      </c:dateAx>
      <c:valAx>
        <c:axId val="566882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3-Aug-16</c:v>
                </c:pt>
                <c:pt idx="17">
                  <c:v>2-Aug-16</c:v>
                </c:pt>
                <c:pt idx="18">
                  <c:v>1-Aug-16</c:v>
                </c:pt>
                <c:pt idx="19">
                  <c:v>29-Jul-16</c:v>
                </c:pt>
                <c:pt idx="20">
                  <c:v>28-Jul-16</c:v>
                </c:pt>
                <c:pt idx="21">
                  <c:v>27-Jul-16</c:v>
                </c:pt>
                <c:pt idx="22">
                  <c:v>26-Jul-16</c:v>
                </c:pt>
                <c:pt idx="23">
                  <c:v>25-Jul-16</c:v>
                </c:pt>
                <c:pt idx="24">
                  <c:v>22-Jul-16</c:v>
                </c:pt>
                <c:pt idx="25">
                  <c:v>21-Jul-16</c:v>
                </c:pt>
                <c:pt idx="26">
                  <c:v>20-Jul-16</c:v>
                </c:pt>
                <c:pt idx="27">
                  <c:v>19-Jul-16</c:v>
                </c:pt>
                <c:pt idx="28">
                  <c:v>18-Jul-16</c:v>
                </c:pt>
                <c:pt idx="29">
                  <c:v>15-Jul-16</c:v>
                </c:pt>
                <c:pt idx="30">
                  <c:v>14-Jul-16</c:v>
                </c:pt>
                <c:pt idx="31">
                  <c:v>13-Jul-16</c:v>
                </c:pt>
                <c:pt idx="32">
                  <c:v>12-Jul-16</c:v>
                </c:pt>
                <c:pt idx="33">
                  <c:v>11-Jul-16</c:v>
                </c:pt>
                <c:pt idx="34">
                  <c:v>8-Jul-16</c:v>
                </c:pt>
                <c:pt idx="35">
                  <c:v>7-Jul-16</c:v>
                </c:pt>
                <c:pt idx="36">
                  <c:v>6-Jul-16</c:v>
                </c:pt>
                <c:pt idx="37">
                  <c:v>5-Jul-16</c:v>
                </c:pt>
                <c:pt idx="38">
                  <c:v>1-Jul-16</c:v>
                </c:pt>
                <c:pt idx="39">
                  <c:v>30-Jun-16</c:v>
                </c:pt>
                <c:pt idx="40">
                  <c:v>29-Jun-16</c:v>
                </c:pt>
                <c:pt idx="41">
                  <c:v>28-Jun-16</c:v>
                </c:pt>
                <c:pt idx="42">
                  <c:v>27-Jun-16</c:v>
                </c:pt>
                <c:pt idx="43">
                  <c:v>24-Jun-16</c:v>
                </c:pt>
                <c:pt idx="44">
                  <c:v>23-Jun-16</c:v>
                </c:pt>
                <c:pt idx="45">
                  <c:v>22-Jun-16</c:v>
                </c:pt>
                <c:pt idx="46">
                  <c:v>21-Jun-16</c:v>
                </c:pt>
                <c:pt idx="47">
                  <c:v>20-Jun-16</c:v>
                </c:pt>
                <c:pt idx="48">
                  <c:v>17-Jun-16</c:v>
                </c:pt>
                <c:pt idx="49">
                  <c:v>16-Jun-16</c:v>
                </c:pt>
                <c:pt idx="50">
                  <c:v>15-Jun-16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35.15</c:v>
                </c:pt>
                <c:pt idx="1">
                  <c:v>35.4</c:v>
                </c:pt>
                <c:pt idx="2">
                  <c:v>35.36</c:v>
                </c:pt>
                <c:pt idx="3">
                  <c:v>35.24</c:v>
                </c:pt>
                <c:pt idx="4">
                  <c:v>34.97</c:v>
                </c:pt>
                <c:pt idx="5">
                  <c:v>35.020000000000003</c:v>
                </c:pt>
                <c:pt idx="6">
                  <c:v>35.21</c:v>
                </c:pt>
                <c:pt idx="7">
                  <c:v>34.909999999999997</c:v>
                </c:pt>
                <c:pt idx="8">
                  <c:v>34.57</c:v>
                </c:pt>
                <c:pt idx="9">
                  <c:v>34.68</c:v>
                </c:pt>
                <c:pt idx="10">
                  <c:v>34.53</c:v>
                </c:pt>
                <c:pt idx="11">
                  <c:v>34.92</c:v>
                </c:pt>
                <c:pt idx="12">
                  <c:v>35.04</c:v>
                </c:pt>
                <c:pt idx="13">
                  <c:v>34.979999999999997</c:v>
                </c:pt>
                <c:pt idx="14">
                  <c:v>34.58</c:v>
                </c:pt>
                <c:pt idx="15">
                  <c:v>34.25</c:v>
                </c:pt>
                <c:pt idx="17">
                  <c:v>34.56</c:v>
                </c:pt>
                <c:pt idx="18">
                  <c:v>34.85</c:v>
                </c:pt>
                <c:pt idx="19">
                  <c:v>34.86</c:v>
                </c:pt>
                <c:pt idx="20">
                  <c:v>34.770000000000003</c:v>
                </c:pt>
                <c:pt idx="21">
                  <c:v>34.83</c:v>
                </c:pt>
                <c:pt idx="22">
                  <c:v>35.090000000000003</c:v>
                </c:pt>
                <c:pt idx="23">
                  <c:v>34.69</c:v>
                </c:pt>
                <c:pt idx="24">
                  <c:v>34.659999999999997</c:v>
                </c:pt>
                <c:pt idx="25">
                  <c:v>34.270000000000003</c:v>
                </c:pt>
                <c:pt idx="26">
                  <c:v>35.69</c:v>
                </c:pt>
                <c:pt idx="27">
                  <c:v>35.15</c:v>
                </c:pt>
                <c:pt idx="28">
                  <c:v>35.049999999999997</c:v>
                </c:pt>
                <c:pt idx="29">
                  <c:v>35.07</c:v>
                </c:pt>
                <c:pt idx="30">
                  <c:v>35.200000000000003</c:v>
                </c:pt>
                <c:pt idx="31">
                  <c:v>35.01</c:v>
                </c:pt>
                <c:pt idx="32">
                  <c:v>34.94</c:v>
                </c:pt>
                <c:pt idx="33">
                  <c:v>34.380000000000003</c:v>
                </c:pt>
                <c:pt idx="34">
                  <c:v>34</c:v>
                </c:pt>
                <c:pt idx="35">
                  <c:v>33.200000000000003</c:v>
                </c:pt>
                <c:pt idx="36">
                  <c:v>32.97</c:v>
                </c:pt>
                <c:pt idx="37">
                  <c:v>32.68</c:v>
                </c:pt>
                <c:pt idx="38">
                  <c:v>32.75</c:v>
                </c:pt>
                <c:pt idx="39">
                  <c:v>32.799999999999997</c:v>
                </c:pt>
                <c:pt idx="40">
                  <c:v>31.93</c:v>
                </c:pt>
                <c:pt idx="41">
                  <c:v>31.19</c:v>
                </c:pt>
                <c:pt idx="42">
                  <c:v>30.72</c:v>
                </c:pt>
                <c:pt idx="43">
                  <c:v>31.55</c:v>
                </c:pt>
                <c:pt idx="44">
                  <c:v>32.99</c:v>
                </c:pt>
                <c:pt idx="45">
                  <c:v>32.29</c:v>
                </c:pt>
                <c:pt idx="46">
                  <c:v>32.32</c:v>
                </c:pt>
                <c:pt idx="47">
                  <c:v>32.17</c:v>
                </c:pt>
                <c:pt idx="48">
                  <c:v>31.76</c:v>
                </c:pt>
                <c:pt idx="49">
                  <c:v>31.69</c:v>
                </c:pt>
                <c:pt idx="50">
                  <c:v>31.61</c:v>
                </c:pt>
                <c:pt idx="51">
                  <c:v>32.14</c:v>
                </c:pt>
                <c:pt idx="52">
                  <c:v>32.17</c:v>
                </c:pt>
                <c:pt idx="53">
                  <c:v>32.04</c:v>
                </c:pt>
                <c:pt idx="54">
                  <c:v>31.94</c:v>
                </c:pt>
                <c:pt idx="55">
                  <c:v>31.89</c:v>
                </c:pt>
                <c:pt idx="56">
                  <c:v>31.88</c:v>
                </c:pt>
                <c:pt idx="57">
                  <c:v>31.68</c:v>
                </c:pt>
                <c:pt idx="58">
                  <c:v>31.62</c:v>
                </c:pt>
                <c:pt idx="59">
                  <c:v>31.76</c:v>
                </c:pt>
                <c:pt idx="60">
                  <c:v>31.66</c:v>
                </c:pt>
                <c:pt idx="61">
                  <c:v>31.59</c:v>
                </c:pt>
                <c:pt idx="62">
                  <c:v>31.57</c:v>
                </c:pt>
                <c:pt idx="63">
                  <c:v>31.49</c:v>
                </c:pt>
                <c:pt idx="64">
                  <c:v>31.39</c:v>
                </c:pt>
                <c:pt idx="65">
                  <c:v>31.06</c:v>
                </c:pt>
                <c:pt idx="66">
                  <c:v>30.23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1112"/>
        <c:axId val="566883072"/>
      </c:lineChart>
      <c:catAx>
        <c:axId val="56688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3072"/>
        <c:crosses val="autoZero"/>
        <c:auto val="1"/>
        <c:lblAlgn val="ctr"/>
        <c:lblOffset val="100"/>
        <c:noMultiLvlLbl val="0"/>
      </c:catAx>
      <c:valAx>
        <c:axId val="566883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56.35</c:v>
                </c:pt>
                <c:pt idx="1">
                  <c:v>56.42</c:v>
                </c:pt>
                <c:pt idx="2">
                  <c:v>56.2</c:v>
                </c:pt>
                <c:pt idx="3">
                  <c:v>57.23</c:v>
                </c:pt>
                <c:pt idx="4">
                  <c:v>57.62</c:v>
                </c:pt>
                <c:pt idx="5">
                  <c:v>56.7</c:v>
                </c:pt>
                <c:pt idx="6">
                  <c:v>56.67</c:v>
                </c:pt>
                <c:pt idx="7">
                  <c:v>56.65</c:v>
                </c:pt>
                <c:pt idx="8">
                  <c:v>56.28</c:v>
                </c:pt>
                <c:pt idx="9">
                  <c:v>56.54</c:v>
                </c:pt>
                <c:pt idx="10">
                  <c:v>54.72</c:v>
                </c:pt>
                <c:pt idx="11">
                  <c:v>55.42</c:v>
                </c:pt>
                <c:pt idx="12">
                  <c:v>55.92</c:v>
                </c:pt>
                <c:pt idx="13">
                  <c:v>54.64</c:v>
                </c:pt>
                <c:pt idx="14">
                  <c:v>53.87</c:v>
                </c:pt>
                <c:pt idx="15">
                  <c:v>53.39</c:v>
                </c:pt>
                <c:pt idx="16">
                  <c:v>51.75</c:v>
                </c:pt>
                <c:pt idx="17">
                  <c:v>51.23</c:v>
                </c:pt>
                <c:pt idx="18">
                  <c:v>53.65</c:v>
                </c:pt>
                <c:pt idx="19">
                  <c:v>52.17</c:v>
                </c:pt>
                <c:pt idx="20">
                  <c:v>51.6</c:v>
                </c:pt>
                <c:pt idx="21">
                  <c:v>53.68</c:v>
                </c:pt>
                <c:pt idx="22">
                  <c:v>52.81</c:v>
                </c:pt>
                <c:pt idx="23">
                  <c:v>54.12</c:v>
                </c:pt>
                <c:pt idx="24">
                  <c:v>54.91</c:v>
                </c:pt>
                <c:pt idx="25">
                  <c:v>56.36</c:v>
                </c:pt>
                <c:pt idx="26">
                  <c:v>56.11</c:v>
                </c:pt>
                <c:pt idx="27">
                  <c:v>57.6</c:v>
                </c:pt>
                <c:pt idx="28">
                  <c:v>56.93</c:v>
                </c:pt>
                <c:pt idx="29">
                  <c:v>58.01</c:v>
                </c:pt>
                <c:pt idx="30">
                  <c:v>58.02</c:v>
                </c:pt>
                <c:pt idx="31">
                  <c:v>60.13</c:v>
                </c:pt>
                <c:pt idx="32">
                  <c:v>56.07</c:v>
                </c:pt>
                <c:pt idx="33">
                  <c:v>56.81</c:v>
                </c:pt>
                <c:pt idx="34">
                  <c:v>56.48</c:v>
                </c:pt>
                <c:pt idx="35">
                  <c:v>56.88</c:v>
                </c:pt>
                <c:pt idx="36">
                  <c:v>56.96</c:v>
                </c:pt>
                <c:pt idx="37">
                  <c:v>60.15</c:v>
                </c:pt>
                <c:pt idx="38">
                  <c:v>60.1</c:v>
                </c:pt>
                <c:pt idx="39">
                  <c:v>57.77</c:v>
                </c:pt>
                <c:pt idx="40">
                  <c:v>55.14</c:v>
                </c:pt>
                <c:pt idx="41">
                  <c:v>52.63</c:v>
                </c:pt>
                <c:pt idx="42">
                  <c:v>55.83</c:v>
                </c:pt>
                <c:pt idx="43">
                  <c:v>59.77</c:v>
                </c:pt>
                <c:pt idx="44">
                  <c:v>58.02</c:v>
                </c:pt>
                <c:pt idx="45">
                  <c:v>58.7</c:v>
                </c:pt>
                <c:pt idx="46">
                  <c:v>58.32</c:v>
                </c:pt>
                <c:pt idx="47">
                  <c:v>56.96</c:v>
                </c:pt>
                <c:pt idx="48">
                  <c:v>56.1</c:v>
                </c:pt>
                <c:pt idx="49">
                  <c:v>57.15</c:v>
                </c:pt>
                <c:pt idx="50">
                  <c:v>57.82</c:v>
                </c:pt>
                <c:pt idx="52">
                  <c:v>57.49</c:v>
                </c:pt>
                <c:pt idx="53">
                  <c:v>57.7</c:v>
                </c:pt>
                <c:pt idx="54">
                  <c:v>60.38</c:v>
                </c:pt>
                <c:pt idx="55">
                  <c:v>61.86</c:v>
                </c:pt>
                <c:pt idx="56">
                  <c:v>61.57</c:v>
                </c:pt>
                <c:pt idx="57">
                  <c:v>60.31</c:v>
                </c:pt>
                <c:pt idx="58">
                  <c:v>58.36</c:v>
                </c:pt>
                <c:pt idx="59">
                  <c:v>59.23</c:v>
                </c:pt>
                <c:pt idx="60">
                  <c:v>58.92</c:v>
                </c:pt>
                <c:pt idx="61">
                  <c:v>59.93</c:v>
                </c:pt>
                <c:pt idx="62">
                  <c:v>60.23</c:v>
                </c:pt>
                <c:pt idx="63">
                  <c:v>60.44</c:v>
                </c:pt>
                <c:pt idx="64">
                  <c:v>60.64</c:v>
                </c:pt>
                <c:pt idx="65">
                  <c:v>58.2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5032"/>
        <c:axId val="566884640"/>
      </c:lineChart>
      <c:dateAx>
        <c:axId val="56688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4640"/>
        <c:crosses val="autoZero"/>
        <c:auto val="1"/>
        <c:lblOffset val="100"/>
        <c:baseTimeUnit val="days"/>
      </c:dateAx>
      <c:valAx>
        <c:axId val="566884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42579.00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31-May-16</c:v>
                </c:pt>
                <c:pt idx="61">
                  <c:v>27-May-16</c:v>
                </c:pt>
                <c:pt idx="62">
                  <c:v>26-May-16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95.48</c:v>
                </c:pt>
                <c:pt idx="1">
                  <c:v>96.01</c:v>
                </c:pt>
                <c:pt idx="2">
                  <c:v>95.33</c:v>
                </c:pt>
                <c:pt idx="3">
                  <c:v>95.68</c:v>
                </c:pt>
                <c:pt idx="4">
                  <c:v>95.83</c:v>
                </c:pt>
                <c:pt idx="5">
                  <c:v>94.57</c:v>
                </c:pt>
                <c:pt idx="6">
                  <c:v>92.89</c:v>
                </c:pt>
                <c:pt idx="7">
                  <c:v>92.5</c:v>
                </c:pt>
                <c:pt idx="8">
                  <c:v>91.9</c:v>
                </c:pt>
                <c:pt idx="9">
                  <c:v>92.96</c:v>
                </c:pt>
                <c:pt idx="10">
                  <c:v>92.44</c:v>
                </c:pt>
                <c:pt idx="11">
                  <c:v>93.07</c:v>
                </c:pt>
                <c:pt idx="12">
                  <c:v>93.86</c:v>
                </c:pt>
                <c:pt idx="13">
                  <c:v>93.85</c:v>
                </c:pt>
                <c:pt idx="14">
                  <c:v>92.67</c:v>
                </c:pt>
                <c:pt idx="15">
                  <c:v>92.87</c:v>
                </c:pt>
                <c:pt idx="16">
                  <c:v>91.3</c:v>
                </c:pt>
                <c:pt idx="17">
                  <c:v>93.06</c:v>
                </c:pt>
                <c:pt idx="18">
                  <c:v>93.05</c:v>
                </c:pt>
                <c:pt idx="19">
                  <c:v>93.08</c:v>
                </c:pt>
                <c:pt idx="20">
                  <c:v>91.63</c:v>
                </c:pt>
                <c:pt idx="21">
                  <c:v>93.01</c:v>
                </c:pt>
                <c:pt idx="22">
                  <c:v>92.28</c:v>
                </c:pt>
                <c:pt idx="23">
                  <c:v>92.85</c:v>
                </c:pt>
                <c:pt idx="24">
                  <c:v>90.93</c:v>
                </c:pt>
                <c:pt idx="25">
                  <c:v>94.12</c:v>
                </c:pt>
                <c:pt idx="26">
                  <c:v>93.95</c:v>
                </c:pt>
                <c:pt idx="27">
                  <c:v>94.12</c:v>
                </c:pt>
                <c:pt idx="28">
                  <c:v>93.98</c:v>
                </c:pt>
                <c:pt idx="29">
                  <c:v>94.7</c:v>
                </c:pt>
                <c:pt idx="30">
                  <c:v>94.14</c:v>
                </c:pt>
                <c:pt idx="31">
                  <c:v>92.06</c:v>
                </c:pt>
                <c:pt idx="32">
                  <c:v>91.39</c:v>
                </c:pt>
                <c:pt idx="33">
                  <c:v>90.69</c:v>
                </c:pt>
                <c:pt idx="34">
                  <c:v>88.03</c:v>
                </c:pt>
                <c:pt idx="35">
                  <c:v>87.44</c:v>
                </c:pt>
                <c:pt idx="36">
                  <c:v>87.16</c:v>
                </c:pt>
                <c:pt idx="37">
                  <c:v>87.34</c:v>
                </c:pt>
                <c:pt idx="38">
                  <c:v>87.25</c:v>
                </c:pt>
                <c:pt idx="39">
                  <c:v>86.28</c:v>
                </c:pt>
                <c:pt idx="40">
                  <c:v>84.8</c:v>
                </c:pt>
                <c:pt idx="41">
                  <c:v>82.49</c:v>
                </c:pt>
                <c:pt idx="42">
                  <c:v>85.25</c:v>
                </c:pt>
                <c:pt idx="43">
                  <c:v>88.54</c:v>
                </c:pt>
                <c:pt idx="44">
                  <c:v>87.49</c:v>
                </c:pt>
                <c:pt idx="45">
                  <c:v>87.65</c:v>
                </c:pt>
                <c:pt idx="46">
                  <c:v>88.09</c:v>
                </c:pt>
                <c:pt idx="47">
                  <c:v>87.58</c:v>
                </c:pt>
                <c:pt idx="48">
                  <c:v>87.09</c:v>
                </c:pt>
                <c:pt idx="49">
                  <c:v>87.54</c:v>
                </c:pt>
                <c:pt idx="50">
                  <c:v>87.98</c:v>
                </c:pt>
                <c:pt idx="51">
                  <c:v>88.71</c:v>
                </c:pt>
                <c:pt idx="52">
                  <c:v>88.78</c:v>
                </c:pt>
                <c:pt idx="53">
                  <c:v>89.39</c:v>
                </c:pt>
                <c:pt idx="54">
                  <c:v>89.04</c:v>
                </c:pt>
                <c:pt idx="55">
                  <c:v>87.57</c:v>
                </c:pt>
                <c:pt idx="56">
                  <c:v>86.85</c:v>
                </c:pt>
                <c:pt idx="57">
                  <c:v>86.38</c:v>
                </c:pt>
                <c:pt idx="58">
                  <c:v>84.61</c:v>
                </c:pt>
                <c:pt idx="59">
                  <c:v>84.11</c:v>
                </c:pt>
                <c:pt idx="60">
                  <c:v>84.19</c:v>
                </c:pt>
                <c:pt idx="61">
                  <c:v>82.97</c:v>
                </c:pt>
                <c:pt idx="62">
                  <c:v>82.34</c:v>
                </c:pt>
                <c:pt idx="64">
                  <c:v>82.91</c:v>
                </c:pt>
                <c:pt idx="65">
                  <c:v>81.290000000000006</c:v>
                </c:pt>
                <c:pt idx="66">
                  <c:v>81.489999999999995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7776"/>
        <c:axId val="566881504"/>
      </c:lineChart>
      <c:catAx>
        <c:axId val="566887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1504"/>
        <c:crosses val="autoZero"/>
        <c:auto val="1"/>
        <c:lblAlgn val="ctr"/>
        <c:lblOffset val="100"/>
        <c:noMultiLvlLbl val="0"/>
      </c:catAx>
      <c:valAx>
        <c:axId val="56688150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217.85</c:v>
                </c:pt>
                <c:pt idx="1">
                  <c:v>218.97</c:v>
                </c:pt>
                <c:pt idx="2">
                  <c:v>218.53</c:v>
                </c:pt>
                <c:pt idx="3">
                  <c:v>218.54</c:v>
                </c:pt>
                <c:pt idx="4">
                  <c:v>218.86</c:v>
                </c:pt>
                <c:pt idx="5">
                  <c:v>218.37</c:v>
                </c:pt>
                <c:pt idx="6">
                  <c:v>217.96</c:v>
                </c:pt>
                <c:pt idx="7">
                  <c:v>219.09</c:v>
                </c:pt>
                <c:pt idx="8">
                  <c:v>218.46</c:v>
                </c:pt>
                <c:pt idx="9">
                  <c:v>218.65</c:v>
                </c:pt>
                <c:pt idx="10">
                  <c:v>217.64</c:v>
                </c:pt>
                <c:pt idx="11">
                  <c:v>218.18</c:v>
                </c:pt>
                <c:pt idx="12">
                  <c:v>218.05</c:v>
                </c:pt>
                <c:pt idx="13">
                  <c:v>218.18</c:v>
                </c:pt>
                <c:pt idx="14">
                  <c:v>216.41</c:v>
                </c:pt>
                <c:pt idx="15">
                  <c:v>216.18</c:v>
                </c:pt>
                <c:pt idx="16">
                  <c:v>215.55</c:v>
                </c:pt>
                <c:pt idx="17">
                  <c:v>216.94</c:v>
                </c:pt>
                <c:pt idx="18">
                  <c:v>217.12</c:v>
                </c:pt>
                <c:pt idx="19">
                  <c:v>216.77</c:v>
                </c:pt>
                <c:pt idx="20">
                  <c:v>216.52</c:v>
                </c:pt>
                <c:pt idx="21">
                  <c:v>216.75</c:v>
                </c:pt>
                <c:pt idx="22">
                  <c:v>216.65</c:v>
                </c:pt>
                <c:pt idx="23">
                  <c:v>217.24</c:v>
                </c:pt>
                <c:pt idx="24">
                  <c:v>216.27</c:v>
                </c:pt>
                <c:pt idx="25">
                  <c:v>217.09</c:v>
                </c:pt>
                <c:pt idx="26">
                  <c:v>216.19</c:v>
                </c:pt>
                <c:pt idx="27">
                  <c:v>216.41</c:v>
                </c:pt>
                <c:pt idx="28">
                  <c:v>215.83</c:v>
                </c:pt>
                <c:pt idx="29">
                  <c:v>216.12</c:v>
                </c:pt>
                <c:pt idx="30">
                  <c:v>214.92</c:v>
                </c:pt>
                <c:pt idx="31">
                  <c:v>214.95</c:v>
                </c:pt>
                <c:pt idx="32">
                  <c:v>213.4</c:v>
                </c:pt>
                <c:pt idx="33">
                  <c:v>212.65</c:v>
                </c:pt>
                <c:pt idx="34">
                  <c:v>209.53</c:v>
                </c:pt>
                <c:pt idx="35">
                  <c:v>209.66</c:v>
                </c:pt>
                <c:pt idx="36">
                  <c:v>208.41</c:v>
                </c:pt>
                <c:pt idx="37">
                  <c:v>209.92</c:v>
                </c:pt>
                <c:pt idx="38">
                  <c:v>209.48</c:v>
                </c:pt>
                <c:pt idx="39">
                  <c:v>206.66</c:v>
                </c:pt>
                <c:pt idx="40">
                  <c:v>203.2</c:v>
                </c:pt>
                <c:pt idx="41">
                  <c:v>199.6</c:v>
                </c:pt>
                <c:pt idx="42">
                  <c:v>203.24</c:v>
                </c:pt>
                <c:pt idx="43">
                  <c:v>210.81</c:v>
                </c:pt>
                <c:pt idx="44">
                  <c:v>208.1</c:v>
                </c:pt>
                <c:pt idx="45">
                  <c:v>208.44</c:v>
                </c:pt>
                <c:pt idx="46">
                  <c:v>207.85</c:v>
                </c:pt>
                <c:pt idx="47">
                  <c:v>206.52</c:v>
                </c:pt>
                <c:pt idx="49">
                  <c:v>208.37</c:v>
                </c:pt>
                <c:pt idx="50">
                  <c:v>207.75</c:v>
                </c:pt>
                <c:pt idx="51">
                  <c:v>208.04</c:v>
                </c:pt>
                <c:pt idx="52">
                  <c:v>208.45</c:v>
                </c:pt>
                <c:pt idx="53">
                  <c:v>210.07</c:v>
                </c:pt>
                <c:pt idx="54">
                  <c:v>212.08</c:v>
                </c:pt>
                <c:pt idx="55">
                  <c:v>212.37</c:v>
                </c:pt>
                <c:pt idx="56">
                  <c:v>211.68</c:v>
                </c:pt>
                <c:pt idx="57">
                  <c:v>211.35</c:v>
                </c:pt>
                <c:pt idx="58">
                  <c:v>210.28</c:v>
                </c:pt>
                <c:pt idx="59">
                  <c:v>210.91</c:v>
                </c:pt>
                <c:pt idx="60">
                  <c:v>210.27</c:v>
                </c:pt>
                <c:pt idx="61">
                  <c:v>209.84</c:v>
                </c:pt>
                <c:pt idx="62">
                  <c:v>210.24</c:v>
                </c:pt>
                <c:pt idx="63">
                  <c:v>209.34</c:v>
                </c:pt>
                <c:pt idx="64">
                  <c:v>209.28</c:v>
                </c:pt>
                <c:pt idx="65">
                  <c:v>207.87</c:v>
                </c:pt>
                <c:pt idx="66" formatCode="General">
                  <c:v>205.21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77192"/>
        <c:axId val="566877584"/>
      </c:lineChart>
      <c:dateAx>
        <c:axId val="56687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7584"/>
        <c:crosses val="autoZero"/>
        <c:auto val="1"/>
        <c:lblOffset val="100"/>
        <c:baseTimeUnit val="days"/>
      </c:dateAx>
      <c:valAx>
        <c:axId val="5668775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73.290000000000006</c:v>
                </c:pt>
                <c:pt idx="1">
                  <c:v>73.78</c:v>
                </c:pt>
                <c:pt idx="2">
                  <c:v>72.62</c:v>
                </c:pt>
                <c:pt idx="3">
                  <c:v>72.290000000000006</c:v>
                </c:pt>
                <c:pt idx="4">
                  <c:v>71.8</c:v>
                </c:pt>
                <c:pt idx="5">
                  <c:v>70.19</c:v>
                </c:pt>
                <c:pt idx="6">
                  <c:v>69.599999999999994</c:v>
                </c:pt>
                <c:pt idx="7">
                  <c:v>69.5</c:v>
                </c:pt>
                <c:pt idx="8">
                  <c:v>67.53</c:v>
                </c:pt>
                <c:pt idx="9">
                  <c:v>67.41</c:v>
                </c:pt>
                <c:pt idx="10">
                  <c:v>66.41</c:v>
                </c:pt>
                <c:pt idx="11">
                  <c:v>67</c:v>
                </c:pt>
                <c:pt idx="12">
                  <c:v>65.94</c:v>
                </c:pt>
                <c:pt idx="13">
                  <c:v>66.55</c:v>
                </c:pt>
                <c:pt idx="14">
                  <c:v>65.16</c:v>
                </c:pt>
                <c:pt idx="15">
                  <c:v>64.39</c:v>
                </c:pt>
                <c:pt idx="16">
                  <c:v>65.040000000000006</c:v>
                </c:pt>
                <c:pt idx="18">
                  <c:v>66.14</c:v>
                </c:pt>
                <c:pt idx="19">
                  <c:v>66.02</c:v>
                </c:pt>
                <c:pt idx="20">
                  <c:v>66.47</c:v>
                </c:pt>
                <c:pt idx="21">
                  <c:v>66.47</c:v>
                </c:pt>
                <c:pt idx="22">
                  <c:v>65.87</c:v>
                </c:pt>
                <c:pt idx="23">
                  <c:v>64.94</c:v>
                </c:pt>
                <c:pt idx="24">
                  <c:v>64.81</c:v>
                </c:pt>
                <c:pt idx="25">
                  <c:v>70.92</c:v>
                </c:pt>
                <c:pt idx="26">
                  <c:v>69.489999999999995</c:v>
                </c:pt>
                <c:pt idx="27">
                  <c:v>68.33</c:v>
                </c:pt>
                <c:pt idx="28">
                  <c:v>68.7</c:v>
                </c:pt>
                <c:pt idx="29">
                  <c:v>67.39</c:v>
                </c:pt>
                <c:pt idx="30">
                  <c:v>67.39</c:v>
                </c:pt>
                <c:pt idx="31">
                  <c:v>65.349999999999994</c:v>
                </c:pt>
                <c:pt idx="32">
                  <c:v>65.8</c:v>
                </c:pt>
                <c:pt idx="33">
                  <c:v>64.64</c:v>
                </c:pt>
                <c:pt idx="34">
                  <c:v>62.91</c:v>
                </c:pt>
                <c:pt idx="35">
                  <c:v>60.89</c:v>
                </c:pt>
                <c:pt idx="36">
                  <c:v>59.16</c:v>
                </c:pt>
                <c:pt idx="37">
                  <c:v>58.82</c:v>
                </c:pt>
                <c:pt idx="38">
                  <c:v>62.6</c:v>
                </c:pt>
                <c:pt idx="39">
                  <c:v>63.28</c:v>
                </c:pt>
                <c:pt idx="40">
                  <c:v>61.73</c:v>
                </c:pt>
                <c:pt idx="41">
                  <c:v>60.26</c:v>
                </c:pt>
                <c:pt idx="42">
                  <c:v>58.01</c:v>
                </c:pt>
                <c:pt idx="43">
                  <c:v>61.61</c:v>
                </c:pt>
                <c:pt idx="44">
                  <c:v>67.209999999999994</c:v>
                </c:pt>
                <c:pt idx="45">
                  <c:v>65.349999999999994</c:v>
                </c:pt>
                <c:pt idx="46">
                  <c:v>65.459999999999994</c:v>
                </c:pt>
                <c:pt idx="47">
                  <c:v>65.95</c:v>
                </c:pt>
                <c:pt idx="48">
                  <c:v>63.97</c:v>
                </c:pt>
                <c:pt idx="49">
                  <c:v>64.78</c:v>
                </c:pt>
                <c:pt idx="50">
                  <c:v>64.989999999999995</c:v>
                </c:pt>
                <c:pt idx="51">
                  <c:v>65.010000000000005</c:v>
                </c:pt>
                <c:pt idx="52">
                  <c:v>64.959999999999994</c:v>
                </c:pt>
                <c:pt idx="53">
                  <c:v>65.55</c:v>
                </c:pt>
                <c:pt idx="54">
                  <c:v>67.97</c:v>
                </c:pt>
                <c:pt idx="55">
                  <c:v>68.38</c:v>
                </c:pt>
                <c:pt idx="56">
                  <c:v>68.67</c:v>
                </c:pt>
                <c:pt idx="57">
                  <c:v>66.11</c:v>
                </c:pt>
                <c:pt idx="58">
                  <c:v>66.94</c:v>
                </c:pt>
                <c:pt idx="59">
                  <c:v>66.58</c:v>
                </c:pt>
                <c:pt idx="60">
                  <c:v>67.27</c:v>
                </c:pt>
                <c:pt idx="61">
                  <c:v>66.760000000000005</c:v>
                </c:pt>
                <c:pt idx="62">
                  <c:v>66.5</c:v>
                </c:pt>
                <c:pt idx="63">
                  <c:v>66.17</c:v>
                </c:pt>
                <c:pt idx="64">
                  <c:v>66.27</c:v>
                </c:pt>
                <c:pt idx="65">
                  <c:v>66.459999999999994</c:v>
                </c:pt>
                <c:pt idx="66">
                  <c:v>65.81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92872"/>
        <c:axId val="566900712"/>
      </c:lineChart>
      <c:dateAx>
        <c:axId val="56689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00712"/>
        <c:crosses val="autoZero"/>
        <c:auto val="1"/>
        <c:lblOffset val="100"/>
        <c:baseTimeUnit val="days"/>
      </c:dateAx>
      <c:valAx>
        <c:axId val="566900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64.959999999999994</c:v>
                </c:pt>
                <c:pt idx="1">
                  <c:v>65.16</c:v>
                </c:pt>
                <c:pt idx="2">
                  <c:v>64.92</c:v>
                </c:pt>
                <c:pt idx="3">
                  <c:v>64.81</c:v>
                </c:pt>
                <c:pt idx="4">
                  <c:v>64.739999999999995</c:v>
                </c:pt>
                <c:pt idx="5">
                  <c:v>64.239999999999995</c:v>
                </c:pt>
                <c:pt idx="6">
                  <c:v>63.44</c:v>
                </c:pt>
                <c:pt idx="7">
                  <c:v>63.36</c:v>
                </c:pt>
                <c:pt idx="8">
                  <c:v>63.09</c:v>
                </c:pt>
                <c:pt idx="9">
                  <c:v>63.53</c:v>
                </c:pt>
                <c:pt idx="10">
                  <c:v>62.7</c:v>
                </c:pt>
                <c:pt idx="11">
                  <c:v>62.74</c:v>
                </c:pt>
                <c:pt idx="12">
                  <c:v>62.29</c:v>
                </c:pt>
                <c:pt idx="13">
                  <c:v>61.95</c:v>
                </c:pt>
                <c:pt idx="14">
                  <c:v>61.8</c:v>
                </c:pt>
                <c:pt idx="15">
                  <c:v>62.26</c:v>
                </c:pt>
                <c:pt idx="16">
                  <c:v>61.82</c:v>
                </c:pt>
                <c:pt idx="17">
                  <c:v>62.71</c:v>
                </c:pt>
                <c:pt idx="18">
                  <c:v>63.21</c:v>
                </c:pt>
                <c:pt idx="19">
                  <c:v>63.56</c:v>
                </c:pt>
                <c:pt idx="20">
                  <c:v>63.65</c:v>
                </c:pt>
                <c:pt idx="21">
                  <c:v>63.33</c:v>
                </c:pt>
                <c:pt idx="22">
                  <c:v>63.47</c:v>
                </c:pt>
                <c:pt idx="23">
                  <c:v>63.33</c:v>
                </c:pt>
                <c:pt idx="24">
                  <c:v>62.96</c:v>
                </c:pt>
                <c:pt idx="25">
                  <c:v>63.63</c:v>
                </c:pt>
                <c:pt idx="26">
                  <c:v>62.58</c:v>
                </c:pt>
                <c:pt idx="27">
                  <c:v>62.72</c:v>
                </c:pt>
                <c:pt idx="28">
                  <c:v>62.29</c:v>
                </c:pt>
                <c:pt idx="29">
                  <c:v>62.43</c:v>
                </c:pt>
                <c:pt idx="30">
                  <c:v>61.73</c:v>
                </c:pt>
                <c:pt idx="31">
                  <c:v>61.19</c:v>
                </c:pt>
                <c:pt idx="32">
                  <c:v>59.53</c:v>
                </c:pt>
                <c:pt idx="33">
                  <c:v>59.91</c:v>
                </c:pt>
                <c:pt idx="34">
                  <c:v>59</c:v>
                </c:pt>
                <c:pt idx="35">
                  <c:v>59.38</c:v>
                </c:pt>
                <c:pt idx="36">
                  <c:v>59.2</c:v>
                </c:pt>
                <c:pt idx="37">
                  <c:v>59.24</c:v>
                </c:pt>
                <c:pt idx="38">
                  <c:v>59.06</c:v>
                </c:pt>
                <c:pt idx="39">
                  <c:v>58.52</c:v>
                </c:pt>
                <c:pt idx="40">
                  <c:v>57.51</c:v>
                </c:pt>
                <c:pt idx="41">
                  <c:v>56.4</c:v>
                </c:pt>
                <c:pt idx="42">
                  <c:v>57.01</c:v>
                </c:pt>
                <c:pt idx="43">
                  <c:v>59.58</c:v>
                </c:pt>
                <c:pt idx="44">
                  <c:v>59.02</c:v>
                </c:pt>
                <c:pt idx="45">
                  <c:v>58.4</c:v>
                </c:pt>
                <c:pt idx="46">
                  <c:v>58.91</c:v>
                </c:pt>
                <c:pt idx="47">
                  <c:v>58.39</c:v>
                </c:pt>
                <c:pt idx="48">
                  <c:v>57.99</c:v>
                </c:pt>
                <c:pt idx="49">
                  <c:v>58.09</c:v>
                </c:pt>
                <c:pt idx="50">
                  <c:v>58.37</c:v>
                </c:pt>
                <c:pt idx="51">
                  <c:v>58.52</c:v>
                </c:pt>
                <c:pt idx="52">
                  <c:v>59.19</c:v>
                </c:pt>
                <c:pt idx="53">
                  <c:v>60.21</c:v>
                </c:pt>
                <c:pt idx="54">
                  <c:v>60.72</c:v>
                </c:pt>
                <c:pt idx="55">
                  <c:v>60.6</c:v>
                </c:pt>
                <c:pt idx="57">
                  <c:v>60.42</c:v>
                </c:pt>
                <c:pt idx="58">
                  <c:v>59.97</c:v>
                </c:pt>
                <c:pt idx="59">
                  <c:v>58.84</c:v>
                </c:pt>
                <c:pt idx="60">
                  <c:v>59.08</c:v>
                </c:pt>
                <c:pt idx="61">
                  <c:v>59.29</c:v>
                </c:pt>
                <c:pt idx="62">
                  <c:v>60.01</c:v>
                </c:pt>
                <c:pt idx="63">
                  <c:v>60.24</c:v>
                </c:pt>
                <c:pt idx="64">
                  <c:v>59.17</c:v>
                </c:pt>
                <c:pt idx="65">
                  <c:v>58.25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99144"/>
        <c:axId val="566890912"/>
      </c:lineChart>
      <c:dateAx>
        <c:axId val="566899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0912"/>
        <c:crosses val="autoZero"/>
        <c:auto val="1"/>
        <c:lblOffset val="100"/>
        <c:baseTimeUnit val="days"/>
      </c:dateAx>
      <c:valAx>
        <c:axId val="566890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48.63</c:v>
                </c:pt>
                <c:pt idx="1">
                  <c:v>48.41</c:v>
                </c:pt>
                <c:pt idx="2">
                  <c:v>48.63</c:v>
                </c:pt>
                <c:pt idx="3">
                  <c:v>48.65</c:v>
                </c:pt>
                <c:pt idx="4">
                  <c:v>48.53</c:v>
                </c:pt>
                <c:pt idx="5">
                  <c:v>48.61</c:v>
                </c:pt>
                <c:pt idx="6">
                  <c:v>48.44</c:v>
                </c:pt>
                <c:pt idx="7">
                  <c:v>48.27</c:v>
                </c:pt>
                <c:pt idx="8">
                  <c:v>47.9</c:v>
                </c:pt>
                <c:pt idx="9">
                  <c:v>48.24</c:v>
                </c:pt>
                <c:pt idx="10">
                  <c:v>48.18</c:v>
                </c:pt>
                <c:pt idx="11">
                  <c:v>48.93</c:v>
                </c:pt>
                <c:pt idx="12">
                  <c:v>48.91</c:v>
                </c:pt>
                <c:pt idx="13">
                  <c:v>48.68</c:v>
                </c:pt>
                <c:pt idx="14">
                  <c:v>47.84</c:v>
                </c:pt>
                <c:pt idx="15">
                  <c:v>47.57</c:v>
                </c:pt>
                <c:pt idx="17">
                  <c:v>47.7</c:v>
                </c:pt>
                <c:pt idx="18">
                  <c:v>47.81</c:v>
                </c:pt>
                <c:pt idx="19">
                  <c:v>47.97</c:v>
                </c:pt>
                <c:pt idx="20">
                  <c:v>48.13</c:v>
                </c:pt>
                <c:pt idx="21">
                  <c:v>48</c:v>
                </c:pt>
                <c:pt idx="22">
                  <c:v>47.97</c:v>
                </c:pt>
                <c:pt idx="23">
                  <c:v>48.12</c:v>
                </c:pt>
                <c:pt idx="24">
                  <c:v>48.32</c:v>
                </c:pt>
                <c:pt idx="25">
                  <c:v>48.3</c:v>
                </c:pt>
                <c:pt idx="26">
                  <c:v>48.61</c:v>
                </c:pt>
                <c:pt idx="27">
                  <c:v>48.37</c:v>
                </c:pt>
                <c:pt idx="28">
                  <c:v>48.28</c:v>
                </c:pt>
                <c:pt idx="29">
                  <c:v>47.71</c:v>
                </c:pt>
                <c:pt idx="30">
                  <c:v>48.94</c:v>
                </c:pt>
                <c:pt idx="31">
                  <c:v>48.27</c:v>
                </c:pt>
                <c:pt idx="32">
                  <c:v>48.35</c:v>
                </c:pt>
                <c:pt idx="33">
                  <c:v>48.08</c:v>
                </c:pt>
                <c:pt idx="34">
                  <c:v>47.79</c:v>
                </c:pt>
                <c:pt idx="35">
                  <c:v>46.8</c:v>
                </c:pt>
                <c:pt idx="36">
                  <c:v>46.65</c:v>
                </c:pt>
                <c:pt idx="37">
                  <c:v>46.21</c:v>
                </c:pt>
                <c:pt idx="38">
                  <c:v>47.03</c:v>
                </c:pt>
                <c:pt idx="39">
                  <c:v>47.33</c:v>
                </c:pt>
                <c:pt idx="40">
                  <c:v>46.97</c:v>
                </c:pt>
                <c:pt idx="41">
                  <c:v>46.1</c:v>
                </c:pt>
                <c:pt idx="42">
                  <c:v>45.01</c:v>
                </c:pt>
                <c:pt idx="43">
                  <c:v>45.71</c:v>
                </c:pt>
                <c:pt idx="44">
                  <c:v>47.91</c:v>
                </c:pt>
                <c:pt idx="45">
                  <c:v>46.97</c:v>
                </c:pt>
                <c:pt idx="46">
                  <c:v>47.23</c:v>
                </c:pt>
                <c:pt idx="47">
                  <c:v>46.93</c:v>
                </c:pt>
                <c:pt idx="48">
                  <c:v>46.6</c:v>
                </c:pt>
                <c:pt idx="49">
                  <c:v>46.85</c:v>
                </c:pt>
                <c:pt idx="50">
                  <c:v>46.78</c:v>
                </c:pt>
                <c:pt idx="51">
                  <c:v>46.88</c:v>
                </c:pt>
                <c:pt idx="52">
                  <c:v>47.97</c:v>
                </c:pt>
                <c:pt idx="53">
                  <c:v>48.34</c:v>
                </c:pt>
                <c:pt idx="54">
                  <c:v>49.14</c:v>
                </c:pt>
                <c:pt idx="55">
                  <c:v>50</c:v>
                </c:pt>
                <c:pt idx="56">
                  <c:v>50.27</c:v>
                </c:pt>
                <c:pt idx="57">
                  <c:v>50.49</c:v>
                </c:pt>
                <c:pt idx="58">
                  <c:v>50.19</c:v>
                </c:pt>
                <c:pt idx="59">
                  <c:v>51.11</c:v>
                </c:pt>
                <c:pt idx="60">
                  <c:v>51</c:v>
                </c:pt>
                <c:pt idx="61">
                  <c:v>50.72</c:v>
                </c:pt>
                <c:pt idx="62">
                  <c:v>50.85</c:v>
                </c:pt>
                <c:pt idx="63">
                  <c:v>50.55</c:v>
                </c:pt>
                <c:pt idx="64">
                  <c:v>50.5</c:v>
                </c:pt>
                <c:pt idx="65">
                  <c:v>49.2</c:v>
                </c:pt>
                <c:pt idx="66">
                  <c:v>48.7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91304"/>
        <c:axId val="566899536"/>
      </c:lineChart>
      <c:dateAx>
        <c:axId val="56689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9536"/>
        <c:crosses val="autoZero"/>
        <c:auto val="1"/>
        <c:lblOffset val="100"/>
        <c:baseTimeUnit val="days"/>
      </c:dateAx>
      <c:valAx>
        <c:axId val="5668995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10.039999999999999</c:v>
                </c:pt>
                <c:pt idx="1">
                  <c:v>10.5</c:v>
                </c:pt>
                <c:pt idx="2">
                  <c:v>10.32</c:v>
                </c:pt>
                <c:pt idx="3">
                  <c:v>10.27</c:v>
                </c:pt>
                <c:pt idx="4">
                  <c:v>10.45</c:v>
                </c:pt>
                <c:pt idx="5">
                  <c:v>10.36</c:v>
                </c:pt>
                <c:pt idx="6">
                  <c:v>10.29</c:v>
                </c:pt>
                <c:pt idx="7">
                  <c:v>10.52</c:v>
                </c:pt>
                <c:pt idx="8">
                  <c:v>10.17</c:v>
                </c:pt>
                <c:pt idx="9">
                  <c:v>10.42</c:v>
                </c:pt>
                <c:pt idx="10">
                  <c:v>10.33</c:v>
                </c:pt>
                <c:pt idx="11">
                  <c:v>10.35</c:v>
                </c:pt>
                <c:pt idx="12">
                  <c:v>10.45</c:v>
                </c:pt>
                <c:pt idx="13">
                  <c:v>10.5</c:v>
                </c:pt>
                <c:pt idx="14">
                  <c:v>10.4</c:v>
                </c:pt>
                <c:pt idx="15">
                  <c:v>10.41</c:v>
                </c:pt>
                <c:pt idx="17">
                  <c:v>10.32</c:v>
                </c:pt>
                <c:pt idx="18">
                  <c:v>10.47</c:v>
                </c:pt>
                <c:pt idx="19">
                  <c:v>10.62</c:v>
                </c:pt>
                <c:pt idx="20">
                  <c:v>10.68</c:v>
                </c:pt>
                <c:pt idx="21">
                  <c:v>10.74</c:v>
                </c:pt>
                <c:pt idx="22">
                  <c:v>10.67</c:v>
                </c:pt>
                <c:pt idx="23">
                  <c:v>10.49</c:v>
                </c:pt>
                <c:pt idx="24">
                  <c:v>10.57</c:v>
                </c:pt>
                <c:pt idx="25">
                  <c:v>10.6</c:v>
                </c:pt>
                <c:pt idx="26">
                  <c:v>10.61</c:v>
                </c:pt>
                <c:pt idx="27">
                  <c:v>10.63</c:v>
                </c:pt>
                <c:pt idx="28">
                  <c:v>10.92</c:v>
                </c:pt>
                <c:pt idx="29">
                  <c:v>10.92</c:v>
                </c:pt>
                <c:pt idx="30">
                  <c:v>10.71</c:v>
                </c:pt>
                <c:pt idx="31">
                  <c:v>10.71</c:v>
                </c:pt>
                <c:pt idx="32">
                  <c:v>10.69</c:v>
                </c:pt>
                <c:pt idx="33">
                  <c:v>10.14</c:v>
                </c:pt>
                <c:pt idx="34">
                  <c:v>9.82</c:v>
                </c:pt>
                <c:pt idx="35">
                  <c:v>9.34</c:v>
                </c:pt>
                <c:pt idx="36">
                  <c:v>9.19</c:v>
                </c:pt>
                <c:pt idx="37">
                  <c:v>9.26</c:v>
                </c:pt>
                <c:pt idx="38">
                  <c:v>9.5500000000000007</c:v>
                </c:pt>
                <c:pt idx="39">
                  <c:v>9.27</c:v>
                </c:pt>
                <c:pt idx="40">
                  <c:v>9.1</c:v>
                </c:pt>
                <c:pt idx="41">
                  <c:v>9.33</c:v>
                </c:pt>
                <c:pt idx="42">
                  <c:v>9.1</c:v>
                </c:pt>
                <c:pt idx="43">
                  <c:v>9.3800000000000008</c:v>
                </c:pt>
                <c:pt idx="44">
                  <c:v>10.15</c:v>
                </c:pt>
                <c:pt idx="45">
                  <c:v>9.89</c:v>
                </c:pt>
                <c:pt idx="46">
                  <c:v>9.86</c:v>
                </c:pt>
                <c:pt idx="47">
                  <c:v>9.76</c:v>
                </c:pt>
                <c:pt idx="48">
                  <c:v>9.58</c:v>
                </c:pt>
                <c:pt idx="49">
                  <c:v>9.39</c:v>
                </c:pt>
                <c:pt idx="50">
                  <c:v>9.4499999999999993</c:v>
                </c:pt>
                <c:pt idx="51">
                  <c:v>9.1</c:v>
                </c:pt>
                <c:pt idx="52">
                  <c:v>9.32</c:v>
                </c:pt>
                <c:pt idx="53">
                  <c:v>9.49</c:v>
                </c:pt>
                <c:pt idx="54">
                  <c:v>9.84</c:v>
                </c:pt>
                <c:pt idx="55">
                  <c:v>9.89</c:v>
                </c:pt>
                <c:pt idx="56">
                  <c:v>9.7899999999999991</c:v>
                </c:pt>
                <c:pt idx="57">
                  <c:v>9.84</c:v>
                </c:pt>
                <c:pt idx="58">
                  <c:v>9.52</c:v>
                </c:pt>
                <c:pt idx="59">
                  <c:v>9.33</c:v>
                </c:pt>
                <c:pt idx="60">
                  <c:v>9.3000000000000007</c:v>
                </c:pt>
                <c:pt idx="61">
                  <c:v>9.27</c:v>
                </c:pt>
                <c:pt idx="62">
                  <c:v>9.35</c:v>
                </c:pt>
                <c:pt idx="63">
                  <c:v>9.51</c:v>
                </c:pt>
                <c:pt idx="64">
                  <c:v>9.6</c:v>
                </c:pt>
                <c:pt idx="65">
                  <c:v>9.42</c:v>
                </c:pt>
                <c:pt idx="66">
                  <c:v>9.2799999999999994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90128"/>
        <c:axId val="566897968"/>
      </c:lineChart>
      <c:dateAx>
        <c:axId val="56689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7968"/>
        <c:crosses val="autoZero"/>
        <c:auto val="1"/>
        <c:lblOffset val="100"/>
        <c:baseTimeUnit val="days"/>
      </c:dateAx>
      <c:valAx>
        <c:axId val="5668979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19.37</c:v>
                </c:pt>
                <c:pt idx="1">
                  <c:v>19.78</c:v>
                </c:pt>
                <c:pt idx="2">
                  <c:v>19.18</c:v>
                </c:pt>
                <c:pt idx="3">
                  <c:v>19.47</c:v>
                </c:pt>
                <c:pt idx="4">
                  <c:v>19.23</c:v>
                </c:pt>
                <c:pt idx="5">
                  <c:v>18.48</c:v>
                </c:pt>
                <c:pt idx="6">
                  <c:v>18.78</c:v>
                </c:pt>
                <c:pt idx="7">
                  <c:v>18.89</c:v>
                </c:pt>
                <c:pt idx="8">
                  <c:v>18.95</c:v>
                </c:pt>
                <c:pt idx="9">
                  <c:v>18.61</c:v>
                </c:pt>
                <c:pt idx="10">
                  <c:v>17.190000000000001</c:v>
                </c:pt>
                <c:pt idx="11">
                  <c:v>17.309999999999999</c:v>
                </c:pt>
                <c:pt idx="12">
                  <c:v>17.46</c:v>
                </c:pt>
                <c:pt idx="13">
                  <c:v>17.55</c:v>
                </c:pt>
                <c:pt idx="14">
                  <c:v>16.8</c:v>
                </c:pt>
                <c:pt idx="15">
                  <c:v>16.47</c:v>
                </c:pt>
                <c:pt idx="16">
                  <c:v>20.14</c:v>
                </c:pt>
                <c:pt idx="17">
                  <c:v>21.5</c:v>
                </c:pt>
                <c:pt idx="18">
                  <c:v>21.69</c:v>
                </c:pt>
                <c:pt idx="19">
                  <c:v>21.84</c:v>
                </c:pt>
                <c:pt idx="20">
                  <c:v>21.66</c:v>
                </c:pt>
                <c:pt idx="21">
                  <c:v>21.75</c:v>
                </c:pt>
                <c:pt idx="22">
                  <c:v>21.58</c:v>
                </c:pt>
                <c:pt idx="23">
                  <c:v>21.48</c:v>
                </c:pt>
                <c:pt idx="24">
                  <c:v>21.26</c:v>
                </c:pt>
                <c:pt idx="25">
                  <c:v>21.54</c:v>
                </c:pt>
                <c:pt idx="26">
                  <c:v>20.81</c:v>
                </c:pt>
                <c:pt idx="27">
                  <c:v>20.94</c:v>
                </c:pt>
                <c:pt idx="28">
                  <c:v>21.06</c:v>
                </c:pt>
                <c:pt idx="29">
                  <c:v>21.02</c:v>
                </c:pt>
                <c:pt idx="30">
                  <c:v>20.99</c:v>
                </c:pt>
                <c:pt idx="31">
                  <c:v>21.59</c:v>
                </c:pt>
                <c:pt idx="32">
                  <c:v>21.33</c:v>
                </c:pt>
                <c:pt idx="33">
                  <c:v>21.43</c:v>
                </c:pt>
                <c:pt idx="34">
                  <c:v>20.71</c:v>
                </c:pt>
                <c:pt idx="35">
                  <c:v>20.059999999999999</c:v>
                </c:pt>
                <c:pt idx="36">
                  <c:v>19.899999999999999</c:v>
                </c:pt>
                <c:pt idx="37">
                  <c:v>21.04</c:v>
                </c:pt>
                <c:pt idx="38">
                  <c:v>20.61</c:v>
                </c:pt>
                <c:pt idx="39">
                  <c:v>20.67</c:v>
                </c:pt>
                <c:pt idx="40">
                  <c:v>19.63</c:v>
                </c:pt>
                <c:pt idx="41">
                  <c:v>18.850000000000001</c:v>
                </c:pt>
                <c:pt idx="42">
                  <c:v>20.010000000000002</c:v>
                </c:pt>
                <c:pt idx="43">
                  <c:v>21.45</c:v>
                </c:pt>
                <c:pt idx="44">
                  <c:v>21.07</c:v>
                </c:pt>
                <c:pt idx="45">
                  <c:v>21.36</c:v>
                </c:pt>
                <c:pt idx="46">
                  <c:v>21.17</c:v>
                </c:pt>
                <c:pt idx="47">
                  <c:v>20.69</c:v>
                </c:pt>
                <c:pt idx="48">
                  <c:v>20.16</c:v>
                </c:pt>
                <c:pt idx="49">
                  <c:v>20.27</c:v>
                </c:pt>
                <c:pt idx="50">
                  <c:v>19.55</c:v>
                </c:pt>
                <c:pt idx="51">
                  <c:v>19.86</c:v>
                </c:pt>
                <c:pt idx="52">
                  <c:v>20.3</c:v>
                </c:pt>
                <c:pt idx="53">
                  <c:v>21.43</c:v>
                </c:pt>
                <c:pt idx="54">
                  <c:v>21.54</c:v>
                </c:pt>
                <c:pt idx="55">
                  <c:v>21.78</c:v>
                </c:pt>
                <c:pt idx="56">
                  <c:v>21.2</c:v>
                </c:pt>
                <c:pt idx="57">
                  <c:v>21.08</c:v>
                </c:pt>
                <c:pt idx="58">
                  <c:v>21.63</c:v>
                </c:pt>
                <c:pt idx="59">
                  <c:v>22.66</c:v>
                </c:pt>
                <c:pt idx="60">
                  <c:v>21.86</c:v>
                </c:pt>
                <c:pt idx="61">
                  <c:v>22.19</c:v>
                </c:pt>
                <c:pt idx="62">
                  <c:v>22.02</c:v>
                </c:pt>
                <c:pt idx="63">
                  <c:v>22.38</c:v>
                </c:pt>
                <c:pt idx="64">
                  <c:v>22.27</c:v>
                </c:pt>
                <c:pt idx="65">
                  <c:v>22.22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92088"/>
        <c:axId val="566892480"/>
      </c:lineChart>
      <c:dateAx>
        <c:axId val="56689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2480"/>
        <c:crosses val="autoZero"/>
        <c:auto val="1"/>
        <c:lblOffset val="100"/>
        <c:baseTimeUnit val="days"/>
      </c:dateAx>
      <c:valAx>
        <c:axId val="5668924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53.84</c:v>
                </c:pt>
                <c:pt idx="1">
                  <c:v>54.46</c:v>
                </c:pt>
                <c:pt idx="2">
                  <c:v>53.85</c:v>
                </c:pt>
                <c:pt idx="3">
                  <c:v>53.8</c:v>
                </c:pt>
                <c:pt idx="4">
                  <c:v>54</c:v>
                </c:pt>
                <c:pt idx="5">
                  <c:v>53.95</c:v>
                </c:pt>
                <c:pt idx="6">
                  <c:v>54.39</c:v>
                </c:pt>
                <c:pt idx="7">
                  <c:v>54.89</c:v>
                </c:pt>
                <c:pt idx="8">
                  <c:v>54.89</c:v>
                </c:pt>
                <c:pt idx="9">
                  <c:v>54.47</c:v>
                </c:pt>
                <c:pt idx="10">
                  <c:v>54.19</c:v>
                </c:pt>
                <c:pt idx="11">
                  <c:v>54.15</c:v>
                </c:pt>
                <c:pt idx="12">
                  <c:v>54.16</c:v>
                </c:pt>
                <c:pt idx="13">
                  <c:v>53.75</c:v>
                </c:pt>
                <c:pt idx="14">
                  <c:v>53.28</c:v>
                </c:pt>
                <c:pt idx="15">
                  <c:v>53.51</c:v>
                </c:pt>
                <c:pt idx="16">
                  <c:v>53.82</c:v>
                </c:pt>
                <c:pt idx="17">
                  <c:v>53.97</c:v>
                </c:pt>
                <c:pt idx="18">
                  <c:v>52.46</c:v>
                </c:pt>
                <c:pt idx="19">
                  <c:v>49.39</c:v>
                </c:pt>
                <c:pt idx="20">
                  <c:v>49.16</c:v>
                </c:pt>
                <c:pt idx="21">
                  <c:v>49.56</c:v>
                </c:pt>
                <c:pt idx="22">
                  <c:v>48.97</c:v>
                </c:pt>
                <c:pt idx="23">
                  <c:v>48.98</c:v>
                </c:pt>
                <c:pt idx="24">
                  <c:v>48.62</c:v>
                </c:pt>
                <c:pt idx="25">
                  <c:v>48.83</c:v>
                </c:pt>
                <c:pt idx="26">
                  <c:v>48.04</c:v>
                </c:pt>
                <c:pt idx="27">
                  <c:v>48.31</c:v>
                </c:pt>
                <c:pt idx="28">
                  <c:v>48.69</c:v>
                </c:pt>
                <c:pt idx="29">
                  <c:v>48.72</c:v>
                </c:pt>
                <c:pt idx="30">
                  <c:v>48.97</c:v>
                </c:pt>
                <c:pt idx="31">
                  <c:v>49.29</c:v>
                </c:pt>
                <c:pt idx="32">
                  <c:v>48.59</c:v>
                </c:pt>
                <c:pt idx="33">
                  <c:v>48.86</c:v>
                </c:pt>
                <c:pt idx="34">
                  <c:v>48.11</c:v>
                </c:pt>
                <c:pt idx="35">
                  <c:v>48.17</c:v>
                </c:pt>
                <c:pt idx="36">
                  <c:v>48.02</c:v>
                </c:pt>
                <c:pt idx="37">
                  <c:v>48.78</c:v>
                </c:pt>
                <c:pt idx="38">
                  <c:v>48.57</c:v>
                </c:pt>
                <c:pt idx="39">
                  <c:v>47.84</c:v>
                </c:pt>
                <c:pt idx="40">
                  <c:v>46.96</c:v>
                </c:pt>
                <c:pt idx="41">
                  <c:v>45.08</c:v>
                </c:pt>
                <c:pt idx="42">
                  <c:v>46.51</c:v>
                </c:pt>
                <c:pt idx="43">
                  <c:v>49.46</c:v>
                </c:pt>
                <c:pt idx="44">
                  <c:v>48.58</c:v>
                </c:pt>
                <c:pt idx="45">
                  <c:v>48.51</c:v>
                </c:pt>
                <c:pt idx="46">
                  <c:v>48.61</c:v>
                </c:pt>
                <c:pt idx="47">
                  <c:v>48.37</c:v>
                </c:pt>
                <c:pt idx="48">
                  <c:v>48.72</c:v>
                </c:pt>
                <c:pt idx="49">
                  <c:v>48.46</c:v>
                </c:pt>
                <c:pt idx="50">
                  <c:v>48.06</c:v>
                </c:pt>
                <c:pt idx="51">
                  <c:v>47.73</c:v>
                </c:pt>
                <c:pt idx="52">
                  <c:v>47.95</c:v>
                </c:pt>
                <c:pt idx="53">
                  <c:v>48.96</c:v>
                </c:pt>
                <c:pt idx="54">
                  <c:v>48.98</c:v>
                </c:pt>
                <c:pt idx="55">
                  <c:v>48.86</c:v>
                </c:pt>
                <c:pt idx="56">
                  <c:v>48.06</c:v>
                </c:pt>
                <c:pt idx="57">
                  <c:v>47.96</c:v>
                </c:pt>
                <c:pt idx="58">
                  <c:v>48</c:v>
                </c:pt>
                <c:pt idx="59">
                  <c:v>47.93</c:v>
                </c:pt>
                <c:pt idx="60">
                  <c:v>47.69</c:v>
                </c:pt>
                <c:pt idx="61">
                  <c:v>47.76</c:v>
                </c:pt>
                <c:pt idx="62">
                  <c:v>47.72</c:v>
                </c:pt>
                <c:pt idx="64">
                  <c:v>47.88</c:v>
                </c:pt>
                <c:pt idx="65">
                  <c:v>47.89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95616"/>
        <c:axId val="566896400"/>
      </c:lineChart>
      <c:dateAx>
        <c:axId val="566895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6400"/>
        <c:crosses val="autoZero"/>
        <c:auto val="1"/>
        <c:lblOffset val="100"/>
        <c:baseTimeUnit val="days"/>
      </c:dateAx>
      <c:valAx>
        <c:axId val="566896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9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50.34</c:v>
                </c:pt>
                <c:pt idx="1">
                  <c:v>50.78</c:v>
                </c:pt>
                <c:pt idx="2">
                  <c:v>50.13</c:v>
                </c:pt>
                <c:pt idx="3">
                  <c:v>50.08</c:v>
                </c:pt>
                <c:pt idx="4">
                  <c:v>49.31</c:v>
                </c:pt>
                <c:pt idx="5">
                  <c:v>48.8</c:v>
                </c:pt>
                <c:pt idx="6">
                  <c:v>49.9</c:v>
                </c:pt>
                <c:pt idx="7">
                  <c:v>49.96</c:v>
                </c:pt>
                <c:pt idx="8">
                  <c:v>48.79</c:v>
                </c:pt>
                <c:pt idx="9">
                  <c:v>49.13</c:v>
                </c:pt>
                <c:pt idx="10">
                  <c:v>48.71</c:v>
                </c:pt>
                <c:pt idx="11">
                  <c:v>50.11</c:v>
                </c:pt>
                <c:pt idx="12">
                  <c:v>50.27</c:v>
                </c:pt>
                <c:pt idx="13">
                  <c:v>50.41</c:v>
                </c:pt>
                <c:pt idx="14">
                  <c:v>49.67</c:v>
                </c:pt>
                <c:pt idx="15">
                  <c:v>49.02</c:v>
                </c:pt>
                <c:pt idx="16">
                  <c:v>50.32</c:v>
                </c:pt>
                <c:pt idx="17">
                  <c:v>52.9</c:v>
                </c:pt>
                <c:pt idx="18">
                  <c:v>51.72</c:v>
                </c:pt>
                <c:pt idx="19">
                  <c:v>52.06</c:v>
                </c:pt>
                <c:pt idx="20">
                  <c:v>52.33</c:v>
                </c:pt>
                <c:pt idx="21">
                  <c:v>52.16</c:v>
                </c:pt>
                <c:pt idx="22">
                  <c:v>51.68</c:v>
                </c:pt>
                <c:pt idx="23">
                  <c:v>51.44</c:v>
                </c:pt>
                <c:pt idx="24">
                  <c:v>51.35</c:v>
                </c:pt>
                <c:pt idx="25">
                  <c:v>51.59</c:v>
                </c:pt>
                <c:pt idx="26">
                  <c:v>51.19</c:v>
                </c:pt>
                <c:pt idx="27">
                  <c:v>52</c:v>
                </c:pt>
                <c:pt idx="28">
                  <c:v>51.64</c:v>
                </c:pt>
                <c:pt idx="29">
                  <c:v>51.57</c:v>
                </c:pt>
                <c:pt idx="30">
                  <c:v>51.72</c:v>
                </c:pt>
                <c:pt idx="31">
                  <c:v>51.91</c:v>
                </c:pt>
                <c:pt idx="32">
                  <c:v>51.1</c:v>
                </c:pt>
                <c:pt idx="33">
                  <c:v>50.23</c:v>
                </c:pt>
                <c:pt idx="34">
                  <c:v>49.05</c:v>
                </c:pt>
                <c:pt idx="35">
                  <c:v>48.54</c:v>
                </c:pt>
                <c:pt idx="36">
                  <c:v>49.16</c:v>
                </c:pt>
                <c:pt idx="37">
                  <c:v>50.08</c:v>
                </c:pt>
                <c:pt idx="38">
                  <c:v>49.48</c:v>
                </c:pt>
                <c:pt idx="39">
                  <c:v>48.42</c:v>
                </c:pt>
                <c:pt idx="40">
                  <c:v>47.44</c:v>
                </c:pt>
                <c:pt idx="41">
                  <c:v>46.19</c:v>
                </c:pt>
                <c:pt idx="42">
                  <c:v>47.61</c:v>
                </c:pt>
                <c:pt idx="43">
                  <c:v>50.82</c:v>
                </c:pt>
                <c:pt idx="44">
                  <c:v>50.8</c:v>
                </c:pt>
                <c:pt idx="45">
                  <c:v>50.66</c:v>
                </c:pt>
                <c:pt idx="46">
                  <c:v>50.04</c:v>
                </c:pt>
                <c:pt idx="47">
                  <c:v>49.97</c:v>
                </c:pt>
                <c:pt idx="48">
                  <c:v>49.09</c:v>
                </c:pt>
                <c:pt idx="49">
                  <c:v>49.88</c:v>
                </c:pt>
                <c:pt idx="50">
                  <c:v>49.42</c:v>
                </c:pt>
                <c:pt idx="51">
                  <c:v>49.67</c:v>
                </c:pt>
                <c:pt idx="52">
                  <c:v>49.84</c:v>
                </c:pt>
                <c:pt idx="53">
                  <c:v>50.74</c:v>
                </c:pt>
                <c:pt idx="54">
                  <c:v>50.67</c:v>
                </c:pt>
                <c:pt idx="55">
                  <c:v>50.85</c:v>
                </c:pt>
                <c:pt idx="56">
                  <c:v>49.59</c:v>
                </c:pt>
                <c:pt idx="57">
                  <c:v>48.45</c:v>
                </c:pt>
                <c:pt idx="58">
                  <c:v>47.51</c:v>
                </c:pt>
                <c:pt idx="59">
                  <c:v>45.55</c:v>
                </c:pt>
                <c:pt idx="60">
                  <c:v>42.72</c:v>
                </c:pt>
                <c:pt idx="61">
                  <c:v>41.79</c:v>
                </c:pt>
                <c:pt idx="62">
                  <c:v>41.82</c:v>
                </c:pt>
                <c:pt idx="63">
                  <c:v>41.8</c:v>
                </c:pt>
                <c:pt idx="64">
                  <c:v>41.56</c:v>
                </c:pt>
                <c:pt idx="65">
                  <c:v>41.51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4576"/>
        <c:axId val="613696736"/>
      </c:lineChart>
      <c:dateAx>
        <c:axId val="613704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6736"/>
        <c:crosses val="autoZero"/>
        <c:auto val="1"/>
        <c:lblOffset val="100"/>
        <c:baseTimeUnit val="days"/>
      </c:dateAx>
      <c:valAx>
        <c:axId val="613696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7-Jun-16</c:v>
                </c:pt>
                <c:pt idx="56">
                  <c:v>6-Jun-16</c:v>
                </c:pt>
                <c:pt idx="57">
                  <c:v>3-Jun-16</c:v>
                </c:pt>
                <c:pt idx="58">
                  <c:v>2-Jun-16</c:v>
                </c:pt>
                <c:pt idx="59">
                  <c:v>1-Jun-16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68.260000000000005</c:v>
                </c:pt>
                <c:pt idx="1">
                  <c:v>68.36</c:v>
                </c:pt>
                <c:pt idx="2">
                  <c:v>68.87</c:v>
                </c:pt>
                <c:pt idx="3">
                  <c:v>69.17</c:v>
                </c:pt>
                <c:pt idx="4">
                  <c:v>69.44</c:v>
                </c:pt>
                <c:pt idx="5">
                  <c:v>69.12</c:v>
                </c:pt>
                <c:pt idx="6">
                  <c:v>68.95</c:v>
                </c:pt>
                <c:pt idx="7">
                  <c:v>69.39</c:v>
                </c:pt>
                <c:pt idx="8">
                  <c:v>69.13</c:v>
                </c:pt>
                <c:pt idx="9">
                  <c:v>69.11</c:v>
                </c:pt>
                <c:pt idx="10">
                  <c:v>69.42</c:v>
                </c:pt>
                <c:pt idx="11">
                  <c:v>69.37</c:v>
                </c:pt>
                <c:pt idx="12">
                  <c:v>69.17</c:v>
                </c:pt>
                <c:pt idx="13">
                  <c:v>68.84</c:v>
                </c:pt>
                <c:pt idx="14">
                  <c:v>68.62</c:v>
                </c:pt>
                <c:pt idx="15">
                  <c:v>68.63</c:v>
                </c:pt>
                <c:pt idx="16">
                  <c:v>68.11</c:v>
                </c:pt>
                <c:pt idx="17">
                  <c:v>68.39</c:v>
                </c:pt>
                <c:pt idx="18">
                  <c:v>68.33</c:v>
                </c:pt>
                <c:pt idx="19">
                  <c:v>69.17</c:v>
                </c:pt>
                <c:pt idx="20">
                  <c:v>68.86</c:v>
                </c:pt>
                <c:pt idx="21">
                  <c:v>69.040000000000006</c:v>
                </c:pt>
                <c:pt idx="22">
                  <c:v>69.22</c:v>
                </c:pt>
                <c:pt idx="23">
                  <c:v>69.2</c:v>
                </c:pt>
                <c:pt idx="24">
                  <c:v>68.89</c:v>
                </c:pt>
                <c:pt idx="25">
                  <c:v>69.099999999999994</c:v>
                </c:pt>
                <c:pt idx="26">
                  <c:v>69.12</c:v>
                </c:pt>
                <c:pt idx="27">
                  <c:v>69.349999999999994</c:v>
                </c:pt>
                <c:pt idx="28">
                  <c:v>69.489999999999995</c:v>
                </c:pt>
                <c:pt idx="29">
                  <c:v>69.31</c:v>
                </c:pt>
                <c:pt idx="30">
                  <c:v>69.28</c:v>
                </c:pt>
                <c:pt idx="31">
                  <c:v>69.599999999999994</c:v>
                </c:pt>
                <c:pt idx="32">
                  <c:v>69.94</c:v>
                </c:pt>
                <c:pt idx="33">
                  <c:v>69.66</c:v>
                </c:pt>
                <c:pt idx="34">
                  <c:v>68.94</c:v>
                </c:pt>
                <c:pt idx="35">
                  <c:v>69.459999999999994</c:v>
                </c:pt>
                <c:pt idx="36">
                  <c:v>69.31</c:v>
                </c:pt>
                <c:pt idx="37">
                  <c:v>69.56</c:v>
                </c:pt>
                <c:pt idx="38">
                  <c:v>69.95</c:v>
                </c:pt>
                <c:pt idx="39">
                  <c:v>68.47</c:v>
                </c:pt>
                <c:pt idx="40">
                  <c:v>67.73</c:v>
                </c:pt>
                <c:pt idx="41">
                  <c:v>66.06</c:v>
                </c:pt>
                <c:pt idx="42">
                  <c:v>66.260000000000005</c:v>
                </c:pt>
                <c:pt idx="43">
                  <c:v>67.86</c:v>
                </c:pt>
                <c:pt idx="44">
                  <c:v>67.02</c:v>
                </c:pt>
                <c:pt idx="45">
                  <c:v>66.8</c:v>
                </c:pt>
                <c:pt idx="46">
                  <c:v>66.569999999999993</c:v>
                </c:pt>
                <c:pt idx="47">
                  <c:v>66.42</c:v>
                </c:pt>
                <c:pt idx="48">
                  <c:v>66.47</c:v>
                </c:pt>
                <c:pt idx="49">
                  <c:v>65.87</c:v>
                </c:pt>
                <c:pt idx="50">
                  <c:v>66.69</c:v>
                </c:pt>
                <c:pt idx="51">
                  <c:v>66.88</c:v>
                </c:pt>
                <c:pt idx="52">
                  <c:v>67.459999999999994</c:v>
                </c:pt>
                <c:pt idx="53">
                  <c:v>67.790000000000006</c:v>
                </c:pt>
                <c:pt idx="54">
                  <c:v>67.680000000000007</c:v>
                </c:pt>
                <c:pt idx="55">
                  <c:v>67.430000000000007</c:v>
                </c:pt>
                <c:pt idx="56">
                  <c:v>67.62</c:v>
                </c:pt>
                <c:pt idx="57">
                  <c:v>67.430000000000007</c:v>
                </c:pt>
                <c:pt idx="58">
                  <c:v>67.44</c:v>
                </c:pt>
                <c:pt idx="59">
                  <c:v>67.44</c:v>
                </c:pt>
                <c:pt idx="61">
                  <c:v>67.510000000000005</c:v>
                </c:pt>
                <c:pt idx="62">
                  <c:v>67.680000000000007</c:v>
                </c:pt>
                <c:pt idx="63">
                  <c:v>67.510000000000005</c:v>
                </c:pt>
                <c:pt idx="64">
                  <c:v>67.28</c:v>
                </c:pt>
                <c:pt idx="65">
                  <c:v>67.44</c:v>
                </c:pt>
                <c:pt idx="66">
                  <c:v>66.88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4968"/>
        <c:axId val="613706536"/>
      </c:lineChart>
      <c:catAx>
        <c:axId val="61370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6536"/>
        <c:crosses val="autoZero"/>
        <c:auto val="1"/>
        <c:lblAlgn val="ctr"/>
        <c:lblOffset val="100"/>
        <c:noMultiLvlLbl val="0"/>
      </c:catAx>
      <c:valAx>
        <c:axId val="6137065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8/24/2016</c:v>
                </c:pt>
                <c:pt idx="1">
                  <c:v>8/23/2016</c:v>
                </c:pt>
                <c:pt idx="2">
                  <c:v>8/22/2016</c:v>
                </c:pt>
                <c:pt idx="3">
                  <c:v>8/19/2016</c:v>
                </c:pt>
                <c:pt idx="4">
                  <c:v>8/18/2016</c:v>
                </c:pt>
                <c:pt idx="5">
                  <c:v>8/17/2016</c:v>
                </c:pt>
                <c:pt idx="6">
                  <c:v>8/16/2016</c:v>
                </c:pt>
                <c:pt idx="7">
                  <c:v>8/15/2016</c:v>
                </c:pt>
                <c:pt idx="8">
                  <c:v>8/12/2016</c:v>
                </c:pt>
                <c:pt idx="9">
                  <c:v>8/11/2016</c:v>
                </c:pt>
                <c:pt idx="10">
                  <c:v>8/10/2016</c:v>
                </c:pt>
                <c:pt idx="11">
                  <c:v>8/9/2016</c:v>
                </c:pt>
                <c:pt idx="12">
                  <c:v>8/8/2016</c:v>
                </c:pt>
                <c:pt idx="13">
                  <c:v>8/5/2016</c:v>
                </c:pt>
                <c:pt idx="14">
                  <c:v>8/4/2016</c:v>
                </c:pt>
                <c:pt idx="15">
                  <c:v>8/4/2016</c:v>
                </c:pt>
                <c:pt idx="16">
                  <c:v>8/3/2016</c:v>
                </c:pt>
                <c:pt idx="17">
                  <c:v>8/2/2016</c:v>
                </c:pt>
                <c:pt idx="18">
                  <c:v>8/1/2016</c:v>
                </c:pt>
                <c:pt idx="19">
                  <c:v>7/29/2016</c:v>
                </c:pt>
                <c:pt idx="20">
                  <c:v>7/28/2016</c:v>
                </c:pt>
                <c:pt idx="21">
                  <c:v>7/27/2016</c:v>
                </c:pt>
                <c:pt idx="22">
                  <c:v>7/26/2016</c:v>
                </c:pt>
                <c:pt idx="23">
                  <c:v>7/25/2016</c:v>
                </c:pt>
                <c:pt idx="24">
                  <c:v>7/22/2016</c:v>
                </c:pt>
                <c:pt idx="25">
                  <c:v>7/21/2016</c:v>
                </c:pt>
                <c:pt idx="26">
                  <c:v>7/20/2016</c:v>
                </c:pt>
                <c:pt idx="27">
                  <c:v>7/19/2016</c:v>
                </c:pt>
                <c:pt idx="28">
                  <c:v>7/18/2016</c:v>
                </c:pt>
                <c:pt idx="29">
                  <c:v>7/15/2016</c:v>
                </c:pt>
                <c:pt idx="30">
                  <c:v>7/14/2016</c:v>
                </c:pt>
                <c:pt idx="31">
                  <c:v>7/13/2016</c:v>
                </c:pt>
                <c:pt idx="32">
                  <c:v>7/12/2016</c:v>
                </c:pt>
                <c:pt idx="33">
                  <c:v>7/11/2016</c:v>
                </c:pt>
                <c:pt idx="34">
                  <c:v>7/8/2016</c:v>
                </c:pt>
                <c:pt idx="35">
                  <c:v>7/7/2016</c:v>
                </c:pt>
                <c:pt idx="36">
                  <c:v>7/6/2016</c:v>
                </c:pt>
                <c:pt idx="37">
                  <c:v>7/5/2016</c:v>
                </c:pt>
                <c:pt idx="38">
                  <c:v>7/1/2016</c:v>
                </c:pt>
                <c:pt idx="39">
                  <c:v>6/30/2016</c:v>
                </c:pt>
                <c:pt idx="40">
                  <c:v>6/29/2016</c:v>
                </c:pt>
                <c:pt idx="41">
                  <c:v>6/28/2016</c:v>
                </c:pt>
                <c:pt idx="42">
                  <c:v>6/27/2016</c:v>
                </c:pt>
                <c:pt idx="43">
                  <c:v>6/24/2016</c:v>
                </c:pt>
                <c:pt idx="44">
                  <c:v>6/23/2016</c:v>
                </c:pt>
                <c:pt idx="45">
                  <c:v>6/22/2016</c:v>
                </c:pt>
                <c:pt idx="46">
                  <c:v>6/21/2016</c:v>
                </c:pt>
                <c:pt idx="47">
                  <c:v>6/20/2016</c:v>
                </c:pt>
                <c:pt idx="48">
                  <c:v>6/17/2016</c:v>
                </c:pt>
                <c:pt idx="49">
                  <c:v>6/16/2016</c:v>
                </c:pt>
                <c:pt idx="50">
                  <c:v>6/15/2016</c:v>
                </c:pt>
                <c:pt idx="51">
                  <c:v>6/14/2016</c:v>
                </c:pt>
                <c:pt idx="52">
                  <c:v>6/13/2016</c:v>
                </c:pt>
                <c:pt idx="53">
                  <c:v>6/10/2016</c:v>
                </c:pt>
                <c:pt idx="54">
                  <c:v>6/9/2016</c:v>
                </c:pt>
                <c:pt idx="55">
                  <c:v>6/8/2016</c:v>
                </c:pt>
                <c:pt idx="56">
                  <c:v>6/7/2016</c:v>
                </c:pt>
                <c:pt idx="57">
                  <c:v>6/6/2016</c:v>
                </c:pt>
                <c:pt idx="58">
                  <c:v>6/3/2016</c:v>
                </c:pt>
                <c:pt idx="59">
                  <c:v>6/2/2016</c:v>
                </c:pt>
                <c:pt idx="60">
                  <c:v>6/1/2016</c:v>
                </c:pt>
                <c:pt idx="61">
                  <c:v>5/31/2016</c:v>
                </c:pt>
                <c:pt idx="62">
                  <c:v>5/27/2016</c:v>
                </c:pt>
                <c:pt idx="63">
                  <c:v>5/26/2016</c:v>
                </c:pt>
                <c:pt idx="64">
                  <c:v>5/25/2016</c:v>
                </c:pt>
                <c:pt idx="65">
                  <c:v>5/24/2016</c:v>
                </c:pt>
                <c:pt idx="66">
                  <c:v>5/23/2016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92.1</c:v>
                </c:pt>
                <c:pt idx="1">
                  <c:v>92.03</c:v>
                </c:pt>
                <c:pt idx="2">
                  <c:v>91.36</c:v>
                </c:pt>
                <c:pt idx="3">
                  <c:v>91.58</c:v>
                </c:pt>
                <c:pt idx="4">
                  <c:v>91.67</c:v>
                </c:pt>
                <c:pt idx="5">
                  <c:v>89.82</c:v>
                </c:pt>
                <c:pt idx="6">
                  <c:v>89.12</c:v>
                </c:pt>
                <c:pt idx="7">
                  <c:v>88.92</c:v>
                </c:pt>
                <c:pt idx="8">
                  <c:v>88.36</c:v>
                </c:pt>
                <c:pt idx="9">
                  <c:v>89.48</c:v>
                </c:pt>
                <c:pt idx="10">
                  <c:v>88.57</c:v>
                </c:pt>
                <c:pt idx="11">
                  <c:v>89.25</c:v>
                </c:pt>
                <c:pt idx="12">
                  <c:v>89.52</c:v>
                </c:pt>
                <c:pt idx="13">
                  <c:v>88.88</c:v>
                </c:pt>
                <c:pt idx="14">
                  <c:v>87.61</c:v>
                </c:pt>
                <c:pt idx="16">
                  <c:v>88.33</c:v>
                </c:pt>
                <c:pt idx="17">
                  <c:v>87.17</c:v>
                </c:pt>
                <c:pt idx="18">
                  <c:v>88.55</c:v>
                </c:pt>
                <c:pt idx="19">
                  <c:v>89.78</c:v>
                </c:pt>
                <c:pt idx="20">
                  <c:v>90.02</c:v>
                </c:pt>
                <c:pt idx="21">
                  <c:v>90.14</c:v>
                </c:pt>
                <c:pt idx="22">
                  <c:v>92.75</c:v>
                </c:pt>
                <c:pt idx="23">
                  <c:v>91.96</c:v>
                </c:pt>
                <c:pt idx="24">
                  <c:v>92.01</c:v>
                </c:pt>
                <c:pt idx="25">
                  <c:v>91.56</c:v>
                </c:pt>
                <c:pt idx="26">
                  <c:v>91.75</c:v>
                </c:pt>
                <c:pt idx="27">
                  <c:v>91.4</c:v>
                </c:pt>
                <c:pt idx="28">
                  <c:v>91.61</c:v>
                </c:pt>
                <c:pt idx="29">
                  <c:v>91.49</c:v>
                </c:pt>
                <c:pt idx="30">
                  <c:v>91.79</c:v>
                </c:pt>
                <c:pt idx="31">
                  <c:v>90.77</c:v>
                </c:pt>
                <c:pt idx="32">
                  <c:v>88.42</c:v>
                </c:pt>
                <c:pt idx="33">
                  <c:v>86.95</c:v>
                </c:pt>
                <c:pt idx="34">
                  <c:v>86.42</c:v>
                </c:pt>
                <c:pt idx="35">
                  <c:v>84.04</c:v>
                </c:pt>
                <c:pt idx="36">
                  <c:v>84.95</c:v>
                </c:pt>
                <c:pt idx="37">
                  <c:v>83.9</c:v>
                </c:pt>
                <c:pt idx="38">
                  <c:v>85.2</c:v>
                </c:pt>
                <c:pt idx="39">
                  <c:v>85.13</c:v>
                </c:pt>
                <c:pt idx="40">
                  <c:v>83.75</c:v>
                </c:pt>
                <c:pt idx="41">
                  <c:v>82.23</c:v>
                </c:pt>
                <c:pt idx="42">
                  <c:v>79.680000000000007</c:v>
                </c:pt>
                <c:pt idx="43">
                  <c:v>82.64</c:v>
                </c:pt>
                <c:pt idx="44">
                  <c:v>87</c:v>
                </c:pt>
                <c:pt idx="45">
                  <c:v>86.05</c:v>
                </c:pt>
                <c:pt idx="46">
                  <c:v>85.01</c:v>
                </c:pt>
                <c:pt idx="47">
                  <c:v>85.65</c:v>
                </c:pt>
                <c:pt idx="48">
                  <c:v>85.19</c:v>
                </c:pt>
                <c:pt idx="49">
                  <c:v>84.19</c:v>
                </c:pt>
                <c:pt idx="50">
                  <c:v>83.5</c:v>
                </c:pt>
                <c:pt idx="51">
                  <c:v>82.8</c:v>
                </c:pt>
                <c:pt idx="52">
                  <c:v>83.23</c:v>
                </c:pt>
                <c:pt idx="53">
                  <c:v>84.09</c:v>
                </c:pt>
                <c:pt idx="54">
                  <c:v>85.6</c:v>
                </c:pt>
                <c:pt idx="55">
                  <c:v>85.95</c:v>
                </c:pt>
                <c:pt idx="56">
                  <c:v>83.74</c:v>
                </c:pt>
                <c:pt idx="57">
                  <c:v>83.27</c:v>
                </c:pt>
                <c:pt idx="58">
                  <c:v>83.11</c:v>
                </c:pt>
                <c:pt idx="59">
                  <c:v>83.17</c:v>
                </c:pt>
                <c:pt idx="60">
                  <c:v>83.01</c:v>
                </c:pt>
                <c:pt idx="61">
                  <c:v>84.06</c:v>
                </c:pt>
                <c:pt idx="62">
                  <c:v>84</c:v>
                </c:pt>
                <c:pt idx="63">
                  <c:v>83.83</c:v>
                </c:pt>
                <c:pt idx="64">
                  <c:v>83.31</c:v>
                </c:pt>
                <c:pt idx="65">
                  <c:v>82.23</c:v>
                </c:pt>
                <c:pt idx="66">
                  <c:v>84.69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7320"/>
        <c:axId val="613698304"/>
      </c:lineChart>
      <c:catAx>
        <c:axId val="613707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8304"/>
        <c:crosses val="autoZero"/>
        <c:auto val="1"/>
        <c:lblAlgn val="ctr"/>
        <c:lblOffset val="100"/>
        <c:noMultiLvlLbl val="0"/>
      </c:catAx>
      <c:valAx>
        <c:axId val="6136983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15-Jun-16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175.3</c:v>
                </c:pt>
                <c:pt idx="1">
                  <c:v>177.34</c:v>
                </c:pt>
                <c:pt idx="2">
                  <c:v>175.93</c:v>
                </c:pt>
                <c:pt idx="3">
                  <c:v>174.93</c:v>
                </c:pt>
                <c:pt idx="4">
                  <c:v>173.93</c:v>
                </c:pt>
                <c:pt idx="5">
                  <c:v>173.03</c:v>
                </c:pt>
                <c:pt idx="6">
                  <c:v>172.4</c:v>
                </c:pt>
                <c:pt idx="7">
                  <c:v>175.54</c:v>
                </c:pt>
                <c:pt idx="8">
                  <c:v>172.47</c:v>
                </c:pt>
                <c:pt idx="9">
                  <c:v>172.09</c:v>
                </c:pt>
                <c:pt idx="10">
                  <c:v>171.85</c:v>
                </c:pt>
                <c:pt idx="11">
                  <c:v>171.17</c:v>
                </c:pt>
                <c:pt idx="12">
                  <c:v>168.35</c:v>
                </c:pt>
                <c:pt idx="13">
                  <c:v>170.12</c:v>
                </c:pt>
                <c:pt idx="14">
                  <c:v>166.99</c:v>
                </c:pt>
                <c:pt idx="15">
                  <c:v>164.11</c:v>
                </c:pt>
                <c:pt idx="16">
                  <c:v>162.88999999999999</c:v>
                </c:pt>
                <c:pt idx="17">
                  <c:v>163.51</c:v>
                </c:pt>
                <c:pt idx="18">
                  <c:v>161.97999999999999</c:v>
                </c:pt>
                <c:pt idx="19">
                  <c:v>164.23</c:v>
                </c:pt>
                <c:pt idx="20">
                  <c:v>165.66</c:v>
                </c:pt>
                <c:pt idx="21">
                  <c:v>163.44</c:v>
                </c:pt>
                <c:pt idx="22">
                  <c:v>159.78</c:v>
                </c:pt>
                <c:pt idx="23">
                  <c:v>159.66999999999999</c:v>
                </c:pt>
                <c:pt idx="24">
                  <c:v>160.41</c:v>
                </c:pt>
                <c:pt idx="25">
                  <c:v>162.66999999999999</c:v>
                </c:pt>
                <c:pt idx="26">
                  <c:v>160.53</c:v>
                </c:pt>
                <c:pt idx="27">
                  <c:v>162.33000000000001</c:v>
                </c:pt>
                <c:pt idx="28">
                  <c:v>161.16</c:v>
                </c:pt>
                <c:pt idx="29">
                  <c:v>160.79</c:v>
                </c:pt>
                <c:pt idx="30">
                  <c:v>157.41</c:v>
                </c:pt>
                <c:pt idx="31">
                  <c:v>158.59</c:v>
                </c:pt>
                <c:pt idx="32">
                  <c:v>157.36000000000001</c:v>
                </c:pt>
                <c:pt idx="33">
                  <c:v>155.13999999999999</c:v>
                </c:pt>
                <c:pt idx="34">
                  <c:v>150.99</c:v>
                </c:pt>
                <c:pt idx="35">
                  <c:v>150.63</c:v>
                </c:pt>
                <c:pt idx="36">
                  <c:v>150.76</c:v>
                </c:pt>
                <c:pt idx="37">
                  <c:v>154.22</c:v>
                </c:pt>
                <c:pt idx="38">
                  <c:v>155.4</c:v>
                </c:pt>
                <c:pt idx="39">
                  <c:v>155</c:v>
                </c:pt>
                <c:pt idx="40">
                  <c:v>149.77000000000001</c:v>
                </c:pt>
                <c:pt idx="41">
                  <c:v>143.63</c:v>
                </c:pt>
                <c:pt idx="42">
                  <c:v>148.72</c:v>
                </c:pt>
                <c:pt idx="43">
                  <c:v>158.62</c:v>
                </c:pt>
                <c:pt idx="44">
                  <c:v>155.13999999999999</c:v>
                </c:pt>
                <c:pt idx="45">
                  <c:v>155.81</c:v>
                </c:pt>
                <c:pt idx="46">
                  <c:v>156.93</c:v>
                </c:pt>
                <c:pt idx="47">
                  <c:v>156</c:v>
                </c:pt>
                <c:pt idx="48">
                  <c:v>158.63</c:v>
                </c:pt>
                <c:pt idx="49">
                  <c:v>158.4</c:v>
                </c:pt>
                <c:pt idx="51">
                  <c:v>158.99</c:v>
                </c:pt>
                <c:pt idx="52">
                  <c:v>160.01</c:v>
                </c:pt>
                <c:pt idx="53">
                  <c:v>160.82</c:v>
                </c:pt>
                <c:pt idx="54">
                  <c:v>164.14</c:v>
                </c:pt>
                <c:pt idx="55">
                  <c:v>163.69999999999999</c:v>
                </c:pt>
                <c:pt idx="56">
                  <c:v>164.84</c:v>
                </c:pt>
                <c:pt idx="57">
                  <c:v>162.84</c:v>
                </c:pt>
                <c:pt idx="58">
                  <c:v>162.56</c:v>
                </c:pt>
                <c:pt idx="59">
                  <c:v>154.91</c:v>
                </c:pt>
                <c:pt idx="60">
                  <c:v>154.77000000000001</c:v>
                </c:pt>
                <c:pt idx="61">
                  <c:v>154.36000000000001</c:v>
                </c:pt>
                <c:pt idx="62">
                  <c:v>153.30000000000001</c:v>
                </c:pt>
                <c:pt idx="63">
                  <c:v>153.02000000000001</c:v>
                </c:pt>
                <c:pt idx="64">
                  <c:v>153.57</c:v>
                </c:pt>
                <c:pt idx="65">
                  <c:v>151.41999999999999</c:v>
                </c:pt>
                <c:pt idx="66">
                  <c:v>148.1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95952"/>
        <c:axId val="613703400"/>
      </c:lineChart>
      <c:catAx>
        <c:axId val="613695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3400"/>
        <c:crosses val="autoZero"/>
        <c:auto val="1"/>
        <c:lblAlgn val="ctr"/>
        <c:lblOffset val="100"/>
        <c:noMultiLvlLbl val="0"/>
      </c:catAx>
      <c:valAx>
        <c:axId val="6137034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42531</c:v>
                </c:pt>
                <c:pt idx="53">
                  <c:v>42530</c:v>
                </c:pt>
                <c:pt idx="54">
                  <c:v>42529</c:v>
                </c:pt>
                <c:pt idx="55">
                  <c:v>42528</c:v>
                </c:pt>
                <c:pt idx="56">
                  <c:v>42527</c:v>
                </c:pt>
                <c:pt idx="57">
                  <c:v>42524</c:v>
                </c:pt>
                <c:pt idx="58">
                  <c:v>42523</c:v>
                </c:pt>
                <c:pt idx="59">
                  <c:v>42522</c:v>
                </c:pt>
                <c:pt idx="60">
                  <c:v>42521</c:v>
                </c:pt>
                <c:pt idx="61">
                  <c:v>42517</c:v>
                </c:pt>
                <c:pt idx="62">
                  <c:v>42516</c:v>
                </c:pt>
                <c:pt idx="63">
                  <c:v>42515</c:v>
                </c:pt>
                <c:pt idx="64">
                  <c:v>42514</c:v>
                </c:pt>
                <c:pt idx="65">
                  <c:v>42513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47.6</c:v>
                </c:pt>
                <c:pt idx="1">
                  <c:v>47.49</c:v>
                </c:pt>
                <c:pt idx="2">
                  <c:v>46.95</c:v>
                </c:pt>
                <c:pt idx="3">
                  <c:v>47.09</c:v>
                </c:pt>
                <c:pt idx="4">
                  <c:v>47.6</c:v>
                </c:pt>
                <c:pt idx="5">
                  <c:v>48.18</c:v>
                </c:pt>
                <c:pt idx="6">
                  <c:v>47.99</c:v>
                </c:pt>
                <c:pt idx="7">
                  <c:v>48.01</c:v>
                </c:pt>
                <c:pt idx="8">
                  <c:v>47.1</c:v>
                </c:pt>
                <c:pt idx="9">
                  <c:v>47.27</c:v>
                </c:pt>
                <c:pt idx="10">
                  <c:v>47.12</c:v>
                </c:pt>
                <c:pt idx="11">
                  <c:v>47.81</c:v>
                </c:pt>
                <c:pt idx="12">
                  <c:v>48.49</c:v>
                </c:pt>
                <c:pt idx="13">
                  <c:v>48.41</c:v>
                </c:pt>
                <c:pt idx="14">
                  <c:v>45.9</c:v>
                </c:pt>
                <c:pt idx="15">
                  <c:v>44.9</c:v>
                </c:pt>
                <c:pt idx="16">
                  <c:v>44.4</c:v>
                </c:pt>
                <c:pt idx="17">
                  <c:v>47.36</c:v>
                </c:pt>
                <c:pt idx="18">
                  <c:v>46.89</c:v>
                </c:pt>
                <c:pt idx="19">
                  <c:v>47.4</c:v>
                </c:pt>
                <c:pt idx="20">
                  <c:v>47.44</c:v>
                </c:pt>
                <c:pt idx="21">
                  <c:v>47.73</c:v>
                </c:pt>
                <c:pt idx="22">
                  <c:v>46.89</c:v>
                </c:pt>
                <c:pt idx="23">
                  <c:v>47.57</c:v>
                </c:pt>
                <c:pt idx="24">
                  <c:v>46.66</c:v>
                </c:pt>
                <c:pt idx="25">
                  <c:v>48.3</c:v>
                </c:pt>
                <c:pt idx="26">
                  <c:v>47.85</c:v>
                </c:pt>
                <c:pt idx="27">
                  <c:v>47.71</c:v>
                </c:pt>
                <c:pt idx="28">
                  <c:v>47.43</c:v>
                </c:pt>
                <c:pt idx="29">
                  <c:v>47.85</c:v>
                </c:pt>
                <c:pt idx="30">
                  <c:v>45.86</c:v>
                </c:pt>
                <c:pt idx="31">
                  <c:v>46.16</c:v>
                </c:pt>
                <c:pt idx="32">
                  <c:v>42.41</c:v>
                </c:pt>
                <c:pt idx="33">
                  <c:v>41.48</c:v>
                </c:pt>
                <c:pt idx="34">
                  <c:v>40.090000000000003</c:v>
                </c:pt>
                <c:pt idx="35">
                  <c:v>39.31</c:v>
                </c:pt>
                <c:pt idx="36">
                  <c:v>40.29</c:v>
                </c:pt>
                <c:pt idx="37">
                  <c:v>41.37</c:v>
                </c:pt>
                <c:pt idx="38">
                  <c:v>41.04</c:v>
                </c:pt>
                <c:pt idx="39">
                  <c:v>40.57</c:v>
                </c:pt>
                <c:pt idx="40">
                  <c:v>38.950000000000003</c:v>
                </c:pt>
                <c:pt idx="41">
                  <c:v>37.75</c:v>
                </c:pt>
                <c:pt idx="42">
                  <c:v>41.06</c:v>
                </c:pt>
                <c:pt idx="43">
                  <c:v>45.17</c:v>
                </c:pt>
                <c:pt idx="44">
                  <c:v>45.09</c:v>
                </c:pt>
                <c:pt idx="45">
                  <c:v>44.86</c:v>
                </c:pt>
                <c:pt idx="46">
                  <c:v>43.4</c:v>
                </c:pt>
                <c:pt idx="47">
                  <c:v>42.62</c:v>
                </c:pt>
                <c:pt idx="48">
                  <c:v>41.83</c:v>
                </c:pt>
                <c:pt idx="49">
                  <c:v>42.89</c:v>
                </c:pt>
                <c:pt idx="50">
                  <c:v>42.09</c:v>
                </c:pt>
                <c:pt idx="51">
                  <c:v>44.06</c:v>
                </c:pt>
                <c:pt idx="52">
                  <c:v>46.08</c:v>
                </c:pt>
                <c:pt idx="53">
                  <c:v>46.7</c:v>
                </c:pt>
                <c:pt idx="54">
                  <c:v>45.69</c:v>
                </c:pt>
                <c:pt idx="55">
                  <c:v>45.81</c:v>
                </c:pt>
                <c:pt idx="56">
                  <c:v>44.53</c:v>
                </c:pt>
                <c:pt idx="57">
                  <c:v>44.3</c:v>
                </c:pt>
                <c:pt idx="58">
                  <c:v>45.17</c:v>
                </c:pt>
                <c:pt idx="59">
                  <c:v>45.25</c:v>
                </c:pt>
                <c:pt idx="60">
                  <c:v>45.09</c:v>
                </c:pt>
                <c:pt idx="61">
                  <c:v>45.18</c:v>
                </c:pt>
                <c:pt idx="62">
                  <c:v>44.5</c:v>
                </c:pt>
                <c:pt idx="63">
                  <c:v>45.13</c:v>
                </c:pt>
                <c:pt idx="64">
                  <c:v>44.99</c:v>
                </c:pt>
                <c:pt idx="65">
                  <c:v>44.2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02616"/>
        <c:axId val="613703008"/>
      </c:lineChart>
      <c:dateAx>
        <c:axId val="61370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3008"/>
        <c:crosses val="autoZero"/>
        <c:auto val="1"/>
        <c:lblOffset val="100"/>
        <c:baseTimeUnit val="days"/>
      </c:dateAx>
      <c:valAx>
        <c:axId val="613703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29-Jun-16</c:v>
                </c:pt>
                <c:pt idx="41">
                  <c:v>28-Jun-16</c:v>
                </c:pt>
                <c:pt idx="42">
                  <c:v>27-Jun-16</c:v>
                </c:pt>
                <c:pt idx="43">
                  <c:v>24-Jun-16</c:v>
                </c:pt>
                <c:pt idx="44">
                  <c:v>23-Jun-16</c:v>
                </c:pt>
                <c:pt idx="45">
                  <c:v>22-Jun-16</c:v>
                </c:pt>
                <c:pt idx="46">
                  <c:v>21-Jun-16</c:v>
                </c:pt>
                <c:pt idx="47">
                  <c:v>20-Jun-16</c:v>
                </c:pt>
                <c:pt idx="48">
                  <c:v>17-Jun-16</c:v>
                </c:pt>
                <c:pt idx="49">
                  <c:v>16-Jun-16</c:v>
                </c:pt>
                <c:pt idx="50">
                  <c:v>15-Jun-16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81.08</c:v>
                </c:pt>
                <c:pt idx="1">
                  <c:v>82.02</c:v>
                </c:pt>
                <c:pt idx="2">
                  <c:v>82.15</c:v>
                </c:pt>
                <c:pt idx="3">
                  <c:v>81.72</c:v>
                </c:pt>
                <c:pt idx="4">
                  <c:v>82.42</c:v>
                </c:pt>
                <c:pt idx="5">
                  <c:v>82.78</c:v>
                </c:pt>
                <c:pt idx="6">
                  <c:v>82.68</c:v>
                </c:pt>
                <c:pt idx="7">
                  <c:v>83.19</c:v>
                </c:pt>
                <c:pt idx="8">
                  <c:v>83.6</c:v>
                </c:pt>
                <c:pt idx="9">
                  <c:v>83.61</c:v>
                </c:pt>
                <c:pt idx="10">
                  <c:v>83.55</c:v>
                </c:pt>
                <c:pt idx="11">
                  <c:v>83.8</c:v>
                </c:pt>
                <c:pt idx="12">
                  <c:v>83.78</c:v>
                </c:pt>
                <c:pt idx="13">
                  <c:v>84.36</c:v>
                </c:pt>
                <c:pt idx="14">
                  <c:v>83.58</c:v>
                </c:pt>
                <c:pt idx="15">
                  <c:v>84.64</c:v>
                </c:pt>
                <c:pt idx="16">
                  <c:v>84.92</c:v>
                </c:pt>
                <c:pt idx="17">
                  <c:v>82.41</c:v>
                </c:pt>
                <c:pt idx="18">
                  <c:v>83.6</c:v>
                </c:pt>
                <c:pt idx="19">
                  <c:v>82.56</c:v>
                </c:pt>
                <c:pt idx="20">
                  <c:v>83.34</c:v>
                </c:pt>
                <c:pt idx="21">
                  <c:v>83.64</c:v>
                </c:pt>
                <c:pt idx="22">
                  <c:v>82.86</c:v>
                </c:pt>
                <c:pt idx="23">
                  <c:v>82.99</c:v>
                </c:pt>
                <c:pt idx="24">
                  <c:v>82.61</c:v>
                </c:pt>
                <c:pt idx="25">
                  <c:v>83.29</c:v>
                </c:pt>
                <c:pt idx="26">
                  <c:v>82.82</c:v>
                </c:pt>
                <c:pt idx="27">
                  <c:v>83.21</c:v>
                </c:pt>
                <c:pt idx="28">
                  <c:v>82.36</c:v>
                </c:pt>
                <c:pt idx="29">
                  <c:v>82.97</c:v>
                </c:pt>
                <c:pt idx="30">
                  <c:v>82.28</c:v>
                </c:pt>
                <c:pt idx="31">
                  <c:v>81.77</c:v>
                </c:pt>
                <c:pt idx="32">
                  <c:v>81.06</c:v>
                </c:pt>
                <c:pt idx="33">
                  <c:v>80.38</c:v>
                </c:pt>
                <c:pt idx="34">
                  <c:v>79.44</c:v>
                </c:pt>
                <c:pt idx="35">
                  <c:v>79.989999999999995</c:v>
                </c:pt>
                <c:pt idx="36">
                  <c:v>78.23</c:v>
                </c:pt>
                <c:pt idx="37">
                  <c:v>78.290000000000006</c:v>
                </c:pt>
                <c:pt idx="38">
                  <c:v>78.010000000000005</c:v>
                </c:pt>
                <c:pt idx="39">
                  <c:v>77.290000000000006</c:v>
                </c:pt>
                <c:pt idx="41">
                  <c:v>75.430000000000007</c:v>
                </c:pt>
                <c:pt idx="42">
                  <c:v>73.69</c:v>
                </c:pt>
                <c:pt idx="43">
                  <c:v>75.23</c:v>
                </c:pt>
                <c:pt idx="44">
                  <c:v>78.12</c:v>
                </c:pt>
                <c:pt idx="45">
                  <c:v>77.040000000000006</c:v>
                </c:pt>
                <c:pt idx="46">
                  <c:v>76.89</c:v>
                </c:pt>
                <c:pt idx="47">
                  <c:v>76.48</c:v>
                </c:pt>
                <c:pt idx="48">
                  <c:v>75.510000000000005</c:v>
                </c:pt>
                <c:pt idx="49">
                  <c:v>76.540000000000006</c:v>
                </c:pt>
                <c:pt idx="50">
                  <c:v>76.680000000000007</c:v>
                </c:pt>
                <c:pt idx="51">
                  <c:v>77.930000000000007</c:v>
                </c:pt>
                <c:pt idx="52">
                  <c:v>78.2</c:v>
                </c:pt>
                <c:pt idx="53">
                  <c:v>78.53</c:v>
                </c:pt>
                <c:pt idx="54">
                  <c:v>79.290000000000006</c:v>
                </c:pt>
                <c:pt idx="55">
                  <c:v>79.66</c:v>
                </c:pt>
                <c:pt idx="56">
                  <c:v>80</c:v>
                </c:pt>
                <c:pt idx="57">
                  <c:v>80.42</c:v>
                </c:pt>
                <c:pt idx="58">
                  <c:v>79.790000000000006</c:v>
                </c:pt>
                <c:pt idx="59">
                  <c:v>79.89</c:v>
                </c:pt>
                <c:pt idx="60">
                  <c:v>78.72</c:v>
                </c:pt>
                <c:pt idx="61">
                  <c:v>78.95</c:v>
                </c:pt>
                <c:pt idx="62">
                  <c:v>78.150000000000006</c:v>
                </c:pt>
                <c:pt idx="63">
                  <c:v>77.290000000000006</c:v>
                </c:pt>
                <c:pt idx="64">
                  <c:v>76.73</c:v>
                </c:pt>
                <c:pt idx="65">
                  <c:v>77.459999999999994</c:v>
                </c:pt>
                <c:pt idx="66">
                  <c:v>76.739999999999995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14376"/>
        <c:axId val="613709672"/>
      </c:lineChart>
      <c:catAx>
        <c:axId val="613714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09672"/>
        <c:crosses val="autoZero"/>
        <c:auto val="1"/>
        <c:lblAlgn val="ctr"/>
        <c:lblOffset val="100"/>
        <c:noMultiLvlLbl val="0"/>
      </c:catAx>
      <c:valAx>
        <c:axId val="61370967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1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36.770000000000003</c:v>
                </c:pt>
                <c:pt idx="1">
                  <c:v>36.69</c:v>
                </c:pt>
                <c:pt idx="2">
                  <c:v>36.61</c:v>
                </c:pt>
                <c:pt idx="3">
                  <c:v>36.770000000000003</c:v>
                </c:pt>
                <c:pt idx="4">
                  <c:v>37.07</c:v>
                </c:pt>
                <c:pt idx="5">
                  <c:v>37.51</c:v>
                </c:pt>
                <c:pt idx="6">
                  <c:v>36.94</c:v>
                </c:pt>
                <c:pt idx="7">
                  <c:v>36.92</c:v>
                </c:pt>
                <c:pt idx="8">
                  <c:v>36.35</c:v>
                </c:pt>
                <c:pt idx="9">
                  <c:v>36.700000000000003</c:v>
                </c:pt>
                <c:pt idx="10">
                  <c:v>36.479999999999997</c:v>
                </c:pt>
                <c:pt idx="12">
                  <c:v>37.15</c:v>
                </c:pt>
                <c:pt idx="13">
                  <c:v>37.44</c:v>
                </c:pt>
                <c:pt idx="14">
                  <c:v>37.67</c:v>
                </c:pt>
                <c:pt idx="15">
                  <c:v>36.54</c:v>
                </c:pt>
                <c:pt idx="16">
                  <c:v>36.479999999999997</c:v>
                </c:pt>
                <c:pt idx="17">
                  <c:v>36.39</c:v>
                </c:pt>
                <c:pt idx="18">
                  <c:v>39.479999999999997</c:v>
                </c:pt>
                <c:pt idx="19">
                  <c:v>38.75</c:v>
                </c:pt>
                <c:pt idx="20">
                  <c:v>39.36</c:v>
                </c:pt>
                <c:pt idx="21">
                  <c:v>38.54</c:v>
                </c:pt>
                <c:pt idx="22">
                  <c:v>39.03</c:v>
                </c:pt>
                <c:pt idx="23">
                  <c:v>38.96</c:v>
                </c:pt>
                <c:pt idx="24">
                  <c:v>38.96</c:v>
                </c:pt>
                <c:pt idx="25">
                  <c:v>38.520000000000003</c:v>
                </c:pt>
                <c:pt idx="26">
                  <c:v>40.21</c:v>
                </c:pt>
                <c:pt idx="27">
                  <c:v>40.53</c:v>
                </c:pt>
                <c:pt idx="28">
                  <c:v>40.1</c:v>
                </c:pt>
                <c:pt idx="29">
                  <c:v>39.979999999999997</c:v>
                </c:pt>
                <c:pt idx="30">
                  <c:v>40.98</c:v>
                </c:pt>
                <c:pt idx="31">
                  <c:v>39.56</c:v>
                </c:pt>
                <c:pt idx="32">
                  <c:v>40.21</c:v>
                </c:pt>
                <c:pt idx="33">
                  <c:v>38.119999999999997</c:v>
                </c:pt>
                <c:pt idx="34">
                  <c:v>37.369999999999997</c:v>
                </c:pt>
                <c:pt idx="35">
                  <c:v>36.369999999999997</c:v>
                </c:pt>
                <c:pt idx="36">
                  <c:v>35.58</c:v>
                </c:pt>
                <c:pt idx="37">
                  <c:v>35.619999999999997</c:v>
                </c:pt>
                <c:pt idx="38">
                  <c:v>36.770000000000003</c:v>
                </c:pt>
                <c:pt idx="39">
                  <c:v>36.43</c:v>
                </c:pt>
                <c:pt idx="40">
                  <c:v>36.24</c:v>
                </c:pt>
                <c:pt idx="41">
                  <c:v>34.67</c:v>
                </c:pt>
                <c:pt idx="42">
                  <c:v>33.36</c:v>
                </c:pt>
                <c:pt idx="43">
                  <c:v>35.18</c:v>
                </c:pt>
                <c:pt idx="44">
                  <c:v>38.31</c:v>
                </c:pt>
                <c:pt idx="45">
                  <c:v>38.549999999999997</c:v>
                </c:pt>
                <c:pt idx="46">
                  <c:v>38.67</c:v>
                </c:pt>
                <c:pt idx="47">
                  <c:v>38.090000000000003</c:v>
                </c:pt>
                <c:pt idx="48">
                  <c:v>38.01</c:v>
                </c:pt>
                <c:pt idx="49">
                  <c:v>38.020000000000003</c:v>
                </c:pt>
                <c:pt idx="50">
                  <c:v>38.89</c:v>
                </c:pt>
                <c:pt idx="51">
                  <c:v>39.11</c:v>
                </c:pt>
                <c:pt idx="52">
                  <c:v>40.57</c:v>
                </c:pt>
                <c:pt idx="53">
                  <c:v>42.04</c:v>
                </c:pt>
                <c:pt idx="54">
                  <c:v>42.4</c:v>
                </c:pt>
                <c:pt idx="55">
                  <c:v>41.85</c:v>
                </c:pt>
                <c:pt idx="56">
                  <c:v>42.1</c:v>
                </c:pt>
                <c:pt idx="57">
                  <c:v>41.28</c:v>
                </c:pt>
                <c:pt idx="58">
                  <c:v>41.57</c:v>
                </c:pt>
                <c:pt idx="59">
                  <c:v>42.45</c:v>
                </c:pt>
                <c:pt idx="60">
                  <c:v>43.51</c:v>
                </c:pt>
                <c:pt idx="61">
                  <c:v>43.46</c:v>
                </c:pt>
                <c:pt idx="62">
                  <c:v>43.12</c:v>
                </c:pt>
                <c:pt idx="63">
                  <c:v>42.76</c:v>
                </c:pt>
                <c:pt idx="64">
                  <c:v>43.5</c:v>
                </c:pt>
                <c:pt idx="65">
                  <c:v>43.63</c:v>
                </c:pt>
                <c:pt idx="66">
                  <c:v>42.95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13592"/>
        <c:axId val="613713984"/>
      </c:lineChart>
      <c:dateAx>
        <c:axId val="61371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13984"/>
        <c:crosses val="autoZero"/>
        <c:auto val="1"/>
        <c:lblOffset val="100"/>
        <c:baseTimeUnit val="days"/>
      </c:dateAx>
      <c:valAx>
        <c:axId val="6137139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1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95.82</c:v>
                </c:pt>
                <c:pt idx="1">
                  <c:v>95.97</c:v>
                </c:pt>
                <c:pt idx="2">
                  <c:v>95.87</c:v>
                </c:pt>
                <c:pt idx="3">
                  <c:v>96.39</c:v>
                </c:pt>
                <c:pt idx="4">
                  <c:v>96.65</c:v>
                </c:pt>
                <c:pt idx="5">
                  <c:v>96.87</c:v>
                </c:pt>
                <c:pt idx="6">
                  <c:v>96.88</c:v>
                </c:pt>
                <c:pt idx="7">
                  <c:v>97.1</c:v>
                </c:pt>
                <c:pt idx="8">
                  <c:v>96.84</c:v>
                </c:pt>
                <c:pt idx="9">
                  <c:v>97.77</c:v>
                </c:pt>
                <c:pt idx="10">
                  <c:v>97.86</c:v>
                </c:pt>
                <c:pt idx="11">
                  <c:v>96.67</c:v>
                </c:pt>
                <c:pt idx="12">
                  <c:v>95.75</c:v>
                </c:pt>
                <c:pt idx="13">
                  <c:v>95.83</c:v>
                </c:pt>
                <c:pt idx="14">
                  <c:v>95.16</c:v>
                </c:pt>
                <c:pt idx="15">
                  <c:v>96.09</c:v>
                </c:pt>
                <c:pt idx="16">
                  <c:v>95.01</c:v>
                </c:pt>
                <c:pt idx="17">
                  <c:v>95.54</c:v>
                </c:pt>
                <c:pt idx="18">
                  <c:v>95.95</c:v>
                </c:pt>
                <c:pt idx="19">
                  <c:v>95.91</c:v>
                </c:pt>
                <c:pt idx="20">
                  <c:v>96.33</c:v>
                </c:pt>
                <c:pt idx="21">
                  <c:v>96.69</c:v>
                </c:pt>
                <c:pt idx="22">
                  <c:v>97.39</c:v>
                </c:pt>
                <c:pt idx="23">
                  <c:v>97.71</c:v>
                </c:pt>
                <c:pt idx="24">
                  <c:v>98.01</c:v>
                </c:pt>
                <c:pt idx="25">
                  <c:v>98.22</c:v>
                </c:pt>
                <c:pt idx="26">
                  <c:v>99.47</c:v>
                </c:pt>
                <c:pt idx="27">
                  <c:v>100.15</c:v>
                </c:pt>
                <c:pt idx="28">
                  <c:v>99.8</c:v>
                </c:pt>
                <c:pt idx="29">
                  <c:v>99.97</c:v>
                </c:pt>
                <c:pt idx="30">
                  <c:v>99.88</c:v>
                </c:pt>
                <c:pt idx="31">
                  <c:v>100.2</c:v>
                </c:pt>
                <c:pt idx="32">
                  <c:v>99.98</c:v>
                </c:pt>
                <c:pt idx="33">
                  <c:v>99.62</c:v>
                </c:pt>
                <c:pt idx="34">
                  <c:v>98.41</c:v>
                </c:pt>
                <c:pt idx="36">
                  <c:v>98.45</c:v>
                </c:pt>
                <c:pt idx="37">
                  <c:v>97.66</c:v>
                </c:pt>
                <c:pt idx="38">
                  <c:v>98.03</c:v>
                </c:pt>
                <c:pt idx="39">
                  <c:v>97.82</c:v>
                </c:pt>
                <c:pt idx="40">
                  <c:v>96.98</c:v>
                </c:pt>
                <c:pt idx="41">
                  <c:v>96.05</c:v>
                </c:pt>
                <c:pt idx="42">
                  <c:v>94.38</c:v>
                </c:pt>
                <c:pt idx="43">
                  <c:v>95.72</c:v>
                </c:pt>
                <c:pt idx="44">
                  <c:v>99.02</c:v>
                </c:pt>
                <c:pt idx="45">
                  <c:v>98.79</c:v>
                </c:pt>
                <c:pt idx="46">
                  <c:v>98.82</c:v>
                </c:pt>
                <c:pt idx="47">
                  <c:v>99.57</c:v>
                </c:pt>
                <c:pt idx="48">
                  <c:v>99</c:v>
                </c:pt>
                <c:pt idx="49">
                  <c:v>98.38</c:v>
                </c:pt>
                <c:pt idx="50">
                  <c:v>98.27</c:v>
                </c:pt>
                <c:pt idx="51">
                  <c:v>98.4</c:v>
                </c:pt>
                <c:pt idx="52">
                  <c:v>97.57</c:v>
                </c:pt>
                <c:pt idx="53">
                  <c:v>97.34</c:v>
                </c:pt>
                <c:pt idx="54">
                  <c:v>97.84</c:v>
                </c:pt>
                <c:pt idx="55">
                  <c:v>98.04</c:v>
                </c:pt>
                <c:pt idx="56">
                  <c:v>98.35</c:v>
                </c:pt>
                <c:pt idx="57">
                  <c:v>98.78</c:v>
                </c:pt>
                <c:pt idx="58">
                  <c:v>98.75</c:v>
                </c:pt>
                <c:pt idx="59">
                  <c:v>98.72</c:v>
                </c:pt>
                <c:pt idx="60">
                  <c:v>98.52</c:v>
                </c:pt>
                <c:pt idx="61">
                  <c:v>99.22</c:v>
                </c:pt>
                <c:pt idx="62">
                  <c:v>100.29</c:v>
                </c:pt>
                <c:pt idx="63">
                  <c:v>99.81</c:v>
                </c:pt>
                <c:pt idx="64">
                  <c:v>99.86</c:v>
                </c:pt>
                <c:pt idx="65">
                  <c:v>99.51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712416"/>
        <c:axId val="613714768"/>
      </c:lineChart>
      <c:dateAx>
        <c:axId val="61371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14768"/>
        <c:crosses val="autoZero"/>
        <c:auto val="1"/>
        <c:lblOffset val="100"/>
        <c:baseTimeUnit val="days"/>
      </c:dateAx>
      <c:valAx>
        <c:axId val="613714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1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42535</c:v>
                </c:pt>
                <c:pt idx="51">
                  <c:v>42534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4.66</c:v>
                </c:pt>
                <c:pt idx="1">
                  <c:v>4.6500000000000004</c:v>
                </c:pt>
                <c:pt idx="2">
                  <c:v>4.6399999999999997</c:v>
                </c:pt>
                <c:pt idx="3">
                  <c:v>4.6900000000000004</c:v>
                </c:pt>
                <c:pt idx="4">
                  <c:v>4.78</c:v>
                </c:pt>
                <c:pt idx="5">
                  <c:v>4.72</c:v>
                </c:pt>
                <c:pt idx="6">
                  <c:v>4.8499999999999996</c:v>
                </c:pt>
                <c:pt idx="7">
                  <c:v>4.9000000000000004</c:v>
                </c:pt>
                <c:pt idx="8">
                  <c:v>4.8499999999999996</c:v>
                </c:pt>
                <c:pt idx="9">
                  <c:v>4.8499999999999996</c:v>
                </c:pt>
                <c:pt idx="10">
                  <c:v>4.88</c:v>
                </c:pt>
                <c:pt idx="11">
                  <c:v>4.95</c:v>
                </c:pt>
                <c:pt idx="12">
                  <c:v>4.93</c:v>
                </c:pt>
                <c:pt idx="13">
                  <c:v>4.8600000000000003</c:v>
                </c:pt>
                <c:pt idx="14">
                  <c:v>4.93</c:v>
                </c:pt>
                <c:pt idx="15">
                  <c:v>4.82</c:v>
                </c:pt>
                <c:pt idx="16">
                  <c:v>4.8499999999999996</c:v>
                </c:pt>
                <c:pt idx="17">
                  <c:v>5.08</c:v>
                </c:pt>
                <c:pt idx="18">
                  <c:v>5.2</c:v>
                </c:pt>
                <c:pt idx="19">
                  <c:v>5.09</c:v>
                </c:pt>
                <c:pt idx="20">
                  <c:v>5.09</c:v>
                </c:pt>
                <c:pt idx="21">
                  <c:v>5.15</c:v>
                </c:pt>
                <c:pt idx="22">
                  <c:v>5.13</c:v>
                </c:pt>
                <c:pt idx="23">
                  <c:v>5.17</c:v>
                </c:pt>
                <c:pt idx="24">
                  <c:v>5.0999999999999996</c:v>
                </c:pt>
                <c:pt idx="25">
                  <c:v>5.04</c:v>
                </c:pt>
                <c:pt idx="26">
                  <c:v>5.0199999999999996</c:v>
                </c:pt>
                <c:pt idx="27">
                  <c:v>5.2</c:v>
                </c:pt>
                <c:pt idx="28">
                  <c:v>5.17</c:v>
                </c:pt>
                <c:pt idx="29">
                  <c:v>5.1100000000000003</c:v>
                </c:pt>
                <c:pt idx="30">
                  <c:v>5.0599999999999996</c:v>
                </c:pt>
                <c:pt idx="31">
                  <c:v>5.04</c:v>
                </c:pt>
                <c:pt idx="32">
                  <c:v>4.92</c:v>
                </c:pt>
                <c:pt idx="33">
                  <c:v>4.97</c:v>
                </c:pt>
                <c:pt idx="34">
                  <c:v>4.91</c:v>
                </c:pt>
                <c:pt idx="35">
                  <c:v>4.88</c:v>
                </c:pt>
                <c:pt idx="36">
                  <c:v>4.9800000000000004</c:v>
                </c:pt>
                <c:pt idx="37">
                  <c:v>4.96</c:v>
                </c:pt>
                <c:pt idx="38">
                  <c:v>4.9400000000000004</c:v>
                </c:pt>
                <c:pt idx="39">
                  <c:v>4.8499999999999996</c:v>
                </c:pt>
                <c:pt idx="40">
                  <c:v>4.74</c:v>
                </c:pt>
                <c:pt idx="41">
                  <c:v>4.5999999999999996</c:v>
                </c:pt>
                <c:pt idx="42">
                  <c:v>4.87</c:v>
                </c:pt>
                <c:pt idx="43">
                  <c:v>5.0999999999999996</c:v>
                </c:pt>
                <c:pt idx="44">
                  <c:v>5.09</c:v>
                </c:pt>
                <c:pt idx="45">
                  <c:v>5.21</c:v>
                </c:pt>
                <c:pt idx="46">
                  <c:v>5.17</c:v>
                </c:pt>
                <c:pt idx="47">
                  <c:v>5.1100000000000003</c:v>
                </c:pt>
                <c:pt idx="48">
                  <c:v>5.04</c:v>
                </c:pt>
                <c:pt idx="49">
                  <c:v>4.8600000000000003</c:v>
                </c:pt>
                <c:pt idx="50">
                  <c:v>4.83</c:v>
                </c:pt>
                <c:pt idx="51">
                  <c:v>4.87</c:v>
                </c:pt>
                <c:pt idx="53">
                  <c:v>5.1100000000000003</c:v>
                </c:pt>
                <c:pt idx="54">
                  <c:v>5.12</c:v>
                </c:pt>
                <c:pt idx="55">
                  <c:v>5.2</c:v>
                </c:pt>
                <c:pt idx="56">
                  <c:v>5.21</c:v>
                </c:pt>
                <c:pt idx="57">
                  <c:v>5.19</c:v>
                </c:pt>
                <c:pt idx="58">
                  <c:v>5.23</c:v>
                </c:pt>
                <c:pt idx="59">
                  <c:v>5.16</c:v>
                </c:pt>
                <c:pt idx="60">
                  <c:v>5.07</c:v>
                </c:pt>
                <c:pt idx="61">
                  <c:v>5.17</c:v>
                </c:pt>
                <c:pt idx="62">
                  <c:v>5.15</c:v>
                </c:pt>
                <c:pt idx="63">
                  <c:v>5.16</c:v>
                </c:pt>
                <c:pt idx="64">
                  <c:v>5.22</c:v>
                </c:pt>
                <c:pt idx="65">
                  <c:v>5.09</c:v>
                </c:pt>
                <c:pt idx="66">
                  <c:v>4.8899999999999997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84192"/>
        <c:axId val="613687720"/>
      </c:lineChart>
      <c:dateAx>
        <c:axId val="613684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7720"/>
        <c:crosses val="autoZero"/>
        <c:auto val="1"/>
        <c:lblOffset val="100"/>
        <c:baseTimeUnit val="days"/>
      </c:dateAx>
      <c:valAx>
        <c:axId val="6136877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80.5</c:v>
                </c:pt>
                <c:pt idx="1">
                  <c:v>81.47</c:v>
                </c:pt>
                <c:pt idx="2">
                  <c:v>80.92</c:v>
                </c:pt>
                <c:pt idx="3">
                  <c:v>81</c:v>
                </c:pt>
                <c:pt idx="4">
                  <c:v>80.59</c:v>
                </c:pt>
                <c:pt idx="5">
                  <c:v>80.7</c:v>
                </c:pt>
                <c:pt idx="6">
                  <c:v>79.25</c:v>
                </c:pt>
                <c:pt idx="7">
                  <c:v>79.650000000000006</c:v>
                </c:pt>
                <c:pt idx="8">
                  <c:v>79.66</c:v>
                </c:pt>
                <c:pt idx="9">
                  <c:v>79.569999999999993</c:v>
                </c:pt>
                <c:pt idx="10">
                  <c:v>78.900000000000006</c:v>
                </c:pt>
                <c:pt idx="11">
                  <c:v>79.33</c:v>
                </c:pt>
                <c:pt idx="12">
                  <c:v>79.739999999999995</c:v>
                </c:pt>
                <c:pt idx="13">
                  <c:v>80.41</c:v>
                </c:pt>
                <c:pt idx="14">
                  <c:v>79.77</c:v>
                </c:pt>
                <c:pt idx="15">
                  <c:v>80.09</c:v>
                </c:pt>
                <c:pt idx="16">
                  <c:v>79.569999999999993</c:v>
                </c:pt>
                <c:pt idx="17">
                  <c:v>80.459999999999994</c:v>
                </c:pt>
                <c:pt idx="18">
                  <c:v>79.47</c:v>
                </c:pt>
                <c:pt idx="19">
                  <c:v>81.239999999999995</c:v>
                </c:pt>
                <c:pt idx="20">
                  <c:v>81.790000000000006</c:v>
                </c:pt>
                <c:pt idx="21">
                  <c:v>81.05</c:v>
                </c:pt>
                <c:pt idx="22">
                  <c:v>88.55</c:v>
                </c:pt>
                <c:pt idx="23">
                  <c:v>86.55</c:v>
                </c:pt>
                <c:pt idx="24">
                  <c:v>87.24</c:v>
                </c:pt>
                <c:pt idx="25">
                  <c:v>86.66</c:v>
                </c:pt>
                <c:pt idx="26">
                  <c:v>85.44</c:v>
                </c:pt>
                <c:pt idx="27">
                  <c:v>86.93</c:v>
                </c:pt>
                <c:pt idx="28">
                  <c:v>86.67</c:v>
                </c:pt>
                <c:pt idx="29">
                  <c:v>85.54</c:v>
                </c:pt>
                <c:pt idx="30">
                  <c:v>85.75</c:v>
                </c:pt>
                <c:pt idx="31">
                  <c:v>86.63</c:v>
                </c:pt>
                <c:pt idx="32">
                  <c:v>86.25</c:v>
                </c:pt>
                <c:pt idx="33">
                  <c:v>86.55</c:v>
                </c:pt>
                <c:pt idx="34">
                  <c:v>85.47</c:v>
                </c:pt>
                <c:pt idx="35">
                  <c:v>85.73</c:v>
                </c:pt>
                <c:pt idx="36">
                  <c:v>83.89</c:v>
                </c:pt>
                <c:pt idx="37">
                  <c:v>84.86</c:v>
                </c:pt>
                <c:pt idx="38">
                  <c:v>83.42</c:v>
                </c:pt>
                <c:pt idx="39">
                  <c:v>82.27</c:v>
                </c:pt>
                <c:pt idx="40">
                  <c:v>82.31</c:v>
                </c:pt>
                <c:pt idx="41">
                  <c:v>78.25</c:v>
                </c:pt>
                <c:pt idx="42">
                  <c:v>80.47</c:v>
                </c:pt>
                <c:pt idx="43">
                  <c:v>83.37</c:v>
                </c:pt>
                <c:pt idx="44">
                  <c:v>82.45</c:v>
                </c:pt>
                <c:pt idx="45">
                  <c:v>81.790000000000006</c:v>
                </c:pt>
                <c:pt idx="46">
                  <c:v>82.99</c:v>
                </c:pt>
                <c:pt idx="47">
                  <c:v>82.65</c:v>
                </c:pt>
                <c:pt idx="48">
                  <c:v>83.51</c:v>
                </c:pt>
                <c:pt idx="49">
                  <c:v>83.04</c:v>
                </c:pt>
                <c:pt idx="50">
                  <c:v>83.57</c:v>
                </c:pt>
                <c:pt idx="52">
                  <c:v>83.98</c:v>
                </c:pt>
                <c:pt idx="53">
                  <c:v>84.45</c:v>
                </c:pt>
                <c:pt idx="54">
                  <c:v>85.77</c:v>
                </c:pt>
                <c:pt idx="55">
                  <c:v>87.42</c:v>
                </c:pt>
                <c:pt idx="56">
                  <c:v>87.5</c:v>
                </c:pt>
                <c:pt idx="57">
                  <c:v>87.6</c:v>
                </c:pt>
                <c:pt idx="58">
                  <c:v>86.15</c:v>
                </c:pt>
                <c:pt idx="59">
                  <c:v>86.72</c:v>
                </c:pt>
                <c:pt idx="60">
                  <c:v>86.58</c:v>
                </c:pt>
                <c:pt idx="61">
                  <c:v>87.06</c:v>
                </c:pt>
                <c:pt idx="62">
                  <c:v>85.82</c:v>
                </c:pt>
                <c:pt idx="63">
                  <c:v>85.29</c:v>
                </c:pt>
                <c:pt idx="64">
                  <c:v>86.51</c:v>
                </c:pt>
                <c:pt idx="65">
                  <c:v>86.22</c:v>
                </c:pt>
                <c:pt idx="66">
                  <c:v>83.33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87328"/>
        <c:axId val="613685760"/>
      </c:lineChart>
      <c:catAx>
        <c:axId val="613687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5760"/>
        <c:crosses val="autoZero"/>
        <c:auto val="1"/>
        <c:lblAlgn val="ctr"/>
        <c:lblOffset val="100"/>
        <c:noMultiLvlLbl val="0"/>
      </c:catAx>
      <c:valAx>
        <c:axId val="6136857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62.1</c:v>
                </c:pt>
                <c:pt idx="1">
                  <c:v>62.11</c:v>
                </c:pt>
                <c:pt idx="2">
                  <c:v>61.78</c:v>
                </c:pt>
                <c:pt idx="3">
                  <c:v>61.23</c:v>
                </c:pt>
                <c:pt idx="4">
                  <c:v>60.46</c:v>
                </c:pt>
                <c:pt idx="5">
                  <c:v>59.8</c:v>
                </c:pt>
                <c:pt idx="6">
                  <c:v>60.38</c:v>
                </c:pt>
                <c:pt idx="7">
                  <c:v>59.35</c:v>
                </c:pt>
                <c:pt idx="8">
                  <c:v>59.66</c:v>
                </c:pt>
                <c:pt idx="10">
                  <c:v>59.29</c:v>
                </c:pt>
                <c:pt idx="11">
                  <c:v>59.58</c:v>
                </c:pt>
                <c:pt idx="12">
                  <c:v>59.21</c:v>
                </c:pt>
                <c:pt idx="13">
                  <c:v>58.93</c:v>
                </c:pt>
                <c:pt idx="14">
                  <c:v>58.44</c:v>
                </c:pt>
                <c:pt idx="15">
                  <c:v>58.13</c:v>
                </c:pt>
                <c:pt idx="16">
                  <c:v>57.35</c:v>
                </c:pt>
                <c:pt idx="17">
                  <c:v>58.48</c:v>
                </c:pt>
                <c:pt idx="18">
                  <c:v>58.54</c:v>
                </c:pt>
                <c:pt idx="19">
                  <c:v>58.36</c:v>
                </c:pt>
                <c:pt idx="20">
                  <c:v>58.52</c:v>
                </c:pt>
                <c:pt idx="21">
                  <c:v>58.32</c:v>
                </c:pt>
                <c:pt idx="22">
                  <c:v>57.69</c:v>
                </c:pt>
                <c:pt idx="23">
                  <c:v>57.86</c:v>
                </c:pt>
                <c:pt idx="24">
                  <c:v>57.65</c:v>
                </c:pt>
                <c:pt idx="25">
                  <c:v>59.42</c:v>
                </c:pt>
                <c:pt idx="26">
                  <c:v>59.3</c:v>
                </c:pt>
                <c:pt idx="27">
                  <c:v>59.37</c:v>
                </c:pt>
                <c:pt idx="28">
                  <c:v>59.81</c:v>
                </c:pt>
                <c:pt idx="29">
                  <c:v>59.68</c:v>
                </c:pt>
                <c:pt idx="30">
                  <c:v>59.87</c:v>
                </c:pt>
                <c:pt idx="31">
                  <c:v>59.87</c:v>
                </c:pt>
                <c:pt idx="32">
                  <c:v>59.33</c:v>
                </c:pt>
                <c:pt idx="33">
                  <c:v>58.76</c:v>
                </c:pt>
                <c:pt idx="34">
                  <c:v>57.18</c:v>
                </c:pt>
                <c:pt idx="35">
                  <c:v>56.8</c:v>
                </c:pt>
                <c:pt idx="36">
                  <c:v>56.53</c:v>
                </c:pt>
                <c:pt idx="37">
                  <c:v>57.91</c:v>
                </c:pt>
                <c:pt idx="38">
                  <c:v>57.64</c:v>
                </c:pt>
                <c:pt idx="39">
                  <c:v>56.06</c:v>
                </c:pt>
                <c:pt idx="40">
                  <c:v>54.51</c:v>
                </c:pt>
                <c:pt idx="41">
                  <c:v>53.52</c:v>
                </c:pt>
                <c:pt idx="42">
                  <c:v>55.67</c:v>
                </c:pt>
                <c:pt idx="43">
                  <c:v>59.2</c:v>
                </c:pt>
                <c:pt idx="44">
                  <c:v>58.2</c:v>
                </c:pt>
                <c:pt idx="45">
                  <c:v>58.45</c:v>
                </c:pt>
                <c:pt idx="46">
                  <c:v>58.49</c:v>
                </c:pt>
                <c:pt idx="47">
                  <c:v>57.87</c:v>
                </c:pt>
                <c:pt idx="48">
                  <c:v>57.8</c:v>
                </c:pt>
                <c:pt idx="49">
                  <c:v>57.31</c:v>
                </c:pt>
                <c:pt idx="50">
                  <c:v>56.84</c:v>
                </c:pt>
                <c:pt idx="51">
                  <c:v>56.77</c:v>
                </c:pt>
                <c:pt idx="52">
                  <c:v>57.96</c:v>
                </c:pt>
                <c:pt idx="53">
                  <c:v>59.13</c:v>
                </c:pt>
                <c:pt idx="54">
                  <c:v>59.39</c:v>
                </c:pt>
                <c:pt idx="55">
                  <c:v>58.84</c:v>
                </c:pt>
                <c:pt idx="56">
                  <c:v>58.64</c:v>
                </c:pt>
                <c:pt idx="57">
                  <c:v>57.72</c:v>
                </c:pt>
                <c:pt idx="58">
                  <c:v>57.86</c:v>
                </c:pt>
                <c:pt idx="59">
                  <c:v>57.48</c:v>
                </c:pt>
                <c:pt idx="60">
                  <c:v>56.94</c:v>
                </c:pt>
                <c:pt idx="61">
                  <c:v>56.87</c:v>
                </c:pt>
                <c:pt idx="62">
                  <c:v>57.14</c:v>
                </c:pt>
                <c:pt idx="63">
                  <c:v>57.21</c:v>
                </c:pt>
                <c:pt idx="64">
                  <c:v>56.71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89680"/>
        <c:axId val="613686544"/>
      </c:lineChart>
      <c:dateAx>
        <c:axId val="61368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6544"/>
        <c:crosses val="autoZero"/>
        <c:auto val="1"/>
        <c:lblOffset val="100"/>
        <c:baseTimeUnit val="days"/>
      </c:dateAx>
      <c:valAx>
        <c:axId val="6136865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7-Jul-16</c:v>
                </c:pt>
                <c:pt idx="36">
                  <c:v>6-Jul-16</c:v>
                </c:pt>
                <c:pt idx="37">
                  <c:v>5-Jul-16</c:v>
                </c:pt>
                <c:pt idx="38">
                  <c:v>1-Jul-16</c:v>
                </c:pt>
                <c:pt idx="39">
                  <c:v>30-Jun-16</c:v>
                </c:pt>
                <c:pt idx="40">
                  <c:v>29-Jun-16</c:v>
                </c:pt>
                <c:pt idx="41">
                  <c:v>28-Jun-16</c:v>
                </c:pt>
                <c:pt idx="42">
                  <c:v>27-Jun-16</c:v>
                </c:pt>
                <c:pt idx="43">
                  <c:v>24-Jun-16</c:v>
                </c:pt>
                <c:pt idx="44">
                  <c:v>23-Jun-16</c:v>
                </c:pt>
                <c:pt idx="45">
                  <c:v>22-Jun-16</c:v>
                </c:pt>
                <c:pt idx="46">
                  <c:v>21-Jun-16</c:v>
                </c:pt>
                <c:pt idx="47">
                  <c:v>20-Jun-16</c:v>
                </c:pt>
                <c:pt idx="48">
                  <c:v>17-Jun-16</c:v>
                </c:pt>
                <c:pt idx="49">
                  <c:v>16-Jun-16</c:v>
                </c:pt>
                <c:pt idx="50">
                  <c:v>15-Jun-16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71</c:v>
                </c:pt>
                <c:pt idx="1">
                  <c:v>71.099999999999994</c:v>
                </c:pt>
                <c:pt idx="2">
                  <c:v>71.56</c:v>
                </c:pt>
                <c:pt idx="3">
                  <c:v>71.45</c:v>
                </c:pt>
                <c:pt idx="4">
                  <c:v>71.27</c:v>
                </c:pt>
                <c:pt idx="5">
                  <c:v>70.56</c:v>
                </c:pt>
                <c:pt idx="6">
                  <c:v>70.5</c:v>
                </c:pt>
                <c:pt idx="7">
                  <c:v>71.040000000000006</c:v>
                </c:pt>
                <c:pt idx="8">
                  <c:v>71.17</c:v>
                </c:pt>
                <c:pt idx="9">
                  <c:v>71.069999999999993</c:v>
                </c:pt>
                <c:pt idx="10">
                  <c:v>71.06</c:v>
                </c:pt>
                <c:pt idx="11">
                  <c:v>70.930000000000007</c:v>
                </c:pt>
                <c:pt idx="12">
                  <c:v>70.63</c:v>
                </c:pt>
                <c:pt idx="13">
                  <c:v>70.55</c:v>
                </c:pt>
                <c:pt idx="14">
                  <c:v>70.489999999999995</c:v>
                </c:pt>
                <c:pt idx="15">
                  <c:v>69.78</c:v>
                </c:pt>
                <c:pt idx="16">
                  <c:v>70.97</c:v>
                </c:pt>
                <c:pt idx="17">
                  <c:v>71.63</c:v>
                </c:pt>
                <c:pt idx="18">
                  <c:v>71.89</c:v>
                </c:pt>
                <c:pt idx="19">
                  <c:v>71.34</c:v>
                </c:pt>
                <c:pt idx="20">
                  <c:v>70.55</c:v>
                </c:pt>
                <c:pt idx="21">
                  <c:v>71.28</c:v>
                </c:pt>
                <c:pt idx="22">
                  <c:v>71.69</c:v>
                </c:pt>
                <c:pt idx="23">
                  <c:v>71.22</c:v>
                </c:pt>
                <c:pt idx="24">
                  <c:v>71.209999999999994</c:v>
                </c:pt>
                <c:pt idx="25">
                  <c:v>71.7</c:v>
                </c:pt>
                <c:pt idx="26">
                  <c:v>72.64</c:v>
                </c:pt>
                <c:pt idx="27">
                  <c:v>72.28</c:v>
                </c:pt>
                <c:pt idx="28">
                  <c:v>72.02</c:v>
                </c:pt>
                <c:pt idx="29">
                  <c:v>72.09</c:v>
                </c:pt>
                <c:pt idx="30">
                  <c:v>71.94</c:v>
                </c:pt>
                <c:pt idx="31">
                  <c:v>71.42</c:v>
                </c:pt>
                <c:pt idx="32">
                  <c:v>71.81</c:v>
                </c:pt>
                <c:pt idx="33">
                  <c:v>72.459999999999994</c:v>
                </c:pt>
                <c:pt idx="34">
                  <c:v>72.02</c:v>
                </c:pt>
                <c:pt idx="36">
                  <c:v>72.56</c:v>
                </c:pt>
                <c:pt idx="37">
                  <c:v>72.11</c:v>
                </c:pt>
                <c:pt idx="38">
                  <c:v>71.94</c:v>
                </c:pt>
                <c:pt idx="39">
                  <c:v>71.319999999999993</c:v>
                </c:pt>
                <c:pt idx="40">
                  <c:v>67.86</c:v>
                </c:pt>
                <c:pt idx="41">
                  <c:v>65.760000000000005</c:v>
                </c:pt>
                <c:pt idx="42">
                  <c:v>66.19</c:v>
                </c:pt>
                <c:pt idx="43">
                  <c:v>66.14</c:v>
                </c:pt>
                <c:pt idx="44">
                  <c:v>66.77</c:v>
                </c:pt>
                <c:pt idx="45">
                  <c:v>66.400000000000006</c:v>
                </c:pt>
                <c:pt idx="46">
                  <c:v>66.52</c:v>
                </c:pt>
                <c:pt idx="47">
                  <c:v>65.88</c:v>
                </c:pt>
                <c:pt idx="48">
                  <c:v>65.81</c:v>
                </c:pt>
                <c:pt idx="49">
                  <c:v>65.78</c:v>
                </c:pt>
                <c:pt idx="50">
                  <c:v>64.89</c:v>
                </c:pt>
                <c:pt idx="51">
                  <c:v>65.040000000000006</c:v>
                </c:pt>
                <c:pt idx="52">
                  <c:v>64.849999999999994</c:v>
                </c:pt>
                <c:pt idx="53">
                  <c:v>65.41</c:v>
                </c:pt>
                <c:pt idx="54">
                  <c:v>65.34</c:v>
                </c:pt>
                <c:pt idx="55">
                  <c:v>64.42</c:v>
                </c:pt>
                <c:pt idx="56">
                  <c:v>64.02</c:v>
                </c:pt>
                <c:pt idx="57">
                  <c:v>63.58</c:v>
                </c:pt>
                <c:pt idx="58">
                  <c:v>63.69</c:v>
                </c:pt>
                <c:pt idx="59">
                  <c:v>63.23</c:v>
                </c:pt>
                <c:pt idx="60">
                  <c:v>63.17</c:v>
                </c:pt>
                <c:pt idx="61">
                  <c:v>62.78</c:v>
                </c:pt>
                <c:pt idx="62">
                  <c:v>62.87</c:v>
                </c:pt>
                <c:pt idx="63">
                  <c:v>62.87</c:v>
                </c:pt>
                <c:pt idx="64">
                  <c:v>62.36</c:v>
                </c:pt>
                <c:pt idx="65">
                  <c:v>62.4</c:v>
                </c:pt>
                <c:pt idx="66">
                  <c:v>62.7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92032"/>
        <c:axId val="613695168"/>
      </c:lineChart>
      <c:catAx>
        <c:axId val="613692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5168"/>
        <c:crosses val="autoZero"/>
        <c:auto val="1"/>
        <c:lblAlgn val="ctr"/>
        <c:lblOffset val="100"/>
        <c:noMultiLvlLbl val="0"/>
      </c:catAx>
      <c:valAx>
        <c:axId val="61369516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10-Jun-16</c:v>
                </c:pt>
                <c:pt idx="53">
                  <c:v>9-Jun-16</c:v>
                </c:pt>
                <c:pt idx="54">
                  <c:v>8-Jun-16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31.78</c:v>
                </c:pt>
                <c:pt idx="1">
                  <c:v>31.9</c:v>
                </c:pt>
                <c:pt idx="2">
                  <c:v>31.87</c:v>
                </c:pt>
                <c:pt idx="3">
                  <c:v>31.83</c:v>
                </c:pt>
                <c:pt idx="4">
                  <c:v>31.55</c:v>
                </c:pt>
                <c:pt idx="5">
                  <c:v>31.85</c:v>
                </c:pt>
                <c:pt idx="6">
                  <c:v>31.71</c:v>
                </c:pt>
                <c:pt idx="7">
                  <c:v>31.86</c:v>
                </c:pt>
                <c:pt idx="8">
                  <c:v>31.57</c:v>
                </c:pt>
                <c:pt idx="9">
                  <c:v>31.75</c:v>
                </c:pt>
                <c:pt idx="10">
                  <c:v>31.25</c:v>
                </c:pt>
                <c:pt idx="11">
                  <c:v>31.07</c:v>
                </c:pt>
                <c:pt idx="12">
                  <c:v>30.88</c:v>
                </c:pt>
                <c:pt idx="13">
                  <c:v>30.8</c:v>
                </c:pt>
                <c:pt idx="14">
                  <c:v>30.34</c:v>
                </c:pt>
                <c:pt idx="15">
                  <c:v>30.24</c:v>
                </c:pt>
                <c:pt idx="16">
                  <c:v>29.93</c:v>
                </c:pt>
                <c:pt idx="17">
                  <c:v>31.3</c:v>
                </c:pt>
                <c:pt idx="18">
                  <c:v>31.54</c:v>
                </c:pt>
                <c:pt idx="19">
                  <c:v>30.99</c:v>
                </c:pt>
                <c:pt idx="20">
                  <c:v>32.020000000000003</c:v>
                </c:pt>
                <c:pt idx="21">
                  <c:v>32.15</c:v>
                </c:pt>
                <c:pt idx="22">
                  <c:v>32.06</c:v>
                </c:pt>
                <c:pt idx="23">
                  <c:v>32.159999999999997</c:v>
                </c:pt>
                <c:pt idx="24">
                  <c:v>32.03</c:v>
                </c:pt>
                <c:pt idx="25">
                  <c:v>31.49</c:v>
                </c:pt>
                <c:pt idx="26">
                  <c:v>31.25</c:v>
                </c:pt>
                <c:pt idx="27">
                  <c:v>30.87</c:v>
                </c:pt>
                <c:pt idx="28">
                  <c:v>30.77</c:v>
                </c:pt>
                <c:pt idx="29">
                  <c:v>30.76</c:v>
                </c:pt>
                <c:pt idx="30">
                  <c:v>30.63</c:v>
                </c:pt>
                <c:pt idx="31">
                  <c:v>30.6</c:v>
                </c:pt>
                <c:pt idx="32">
                  <c:v>30.13</c:v>
                </c:pt>
                <c:pt idx="33">
                  <c:v>29.66</c:v>
                </c:pt>
                <c:pt idx="34">
                  <c:v>28.74</c:v>
                </c:pt>
                <c:pt idx="35">
                  <c:v>28.4</c:v>
                </c:pt>
                <c:pt idx="36">
                  <c:v>28.17</c:v>
                </c:pt>
                <c:pt idx="37">
                  <c:v>28.89</c:v>
                </c:pt>
                <c:pt idx="38">
                  <c:v>28.3</c:v>
                </c:pt>
                <c:pt idx="39">
                  <c:v>28.17</c:v>
                </c:pt>
                <c:pt idx="40">
                  <c:v>27.74</c:v>
                </c:pt>
                <c:pt idx="41">
                  <c:v>27.51</c:v>
                </c:pt>
                <c:pt idx="42">
                  <c:v>28.35</c:v>
                </c:pt>
                <c:pt idx="43">
                  <c:v>29.82</c:v>
                </c:pt>
                <c:pt idx="44">
                  <c:v>29.32</c:v>
                </c:pt>
                <c:pt idx="45">
                  <c:v>29.51</c:v>
                </c:pt>
                <c:pt idx="46">
                  <c:v>29.65</c:v>
                </c:pt>
                <c:pt idx="47">
                  <c:v>29.23</c:v>
                </c:pt>
                <c:pt idx="48">
                  <c:v>29.02</c:v>
                </c:pt>
                <c:pt idx="49">
                  <c:v>28.86</c:v>
                </c:pt>
                <c:pt idx="50">
                  <c:v>28.83</c:v>
                </c:pt>
                <c:pt idx="51">
                  <c:v>29.08</c:v>
                </c:pt>
                <c:pt idx="52">
                  <c:v>29.06</c:v>
                </c:pt>
                <c:pt idx="53">
                  <c:v>29.36</c:v>
                </c:pt>
                <c:pt idx="54">
                  <c:v>29.57</c:v>
                </c:pt>
                <c:pt idx="56">
                  <c:v>30.23</c:v>
                </c:pt>
                <c:pt idx="57">
                  <c:v>29.99</c:v>
                </c:pt>
                <c:pt idx="58">
                  <c:v>29.6</c:v>
                </c:pt>
                <c:pt idx="59">
                  <c:v>30.26</c:v>
                </c:pt>
                <c:pt idx="60">
                  <c:v>30.22</c:v>
                </c:pt>
                <c:pt idx="61">
                  <c:v>31.28</c:v>
                </c:pt>
                <c:pt idx="62">
                  <c:v>31.39</c:v>
                </c:pt>
                <c:pt idx="63">
                  <c:v>31.29</c:v>
                </c:pt>
                <c:pt idx="64">
                  <c:v>31.65</c:v>
                </c:pt>
                <c:pt idx="65">
                  <c:v>31.05</c:v>
                </c:pt>
                <c:pt idx="66">
                  <c:v>30.59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83800"/>
        <c:axId val="613692424"/>
      </c:lineChart>
      <c:catAx>
        <c:axId val="613683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2424"/>
        <c:crosses val="autoZero"/>
        <c:auto val="1"/>
        <c:lblAlgn val="ctr"/>
        <c:lblOffset val="100"/>
        <c:noMultiLvlLbl val="0"/>
      </c:catAx>
      <c:valAx>
        <c:axId val="613692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8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10-Aug-16</c:v>
                </c:pt>
                <c:pt idx="11">
                  <c:v>9-Aug-16</c:v>
                </c:pt>
                <c:pt idx="12">
                  <c:v>8-Aug-16</c:v>
                </c:pt>
                <c:pt idx="13">
                  <c:v>5-Aug-16</c:v>
                </c:pt>
                <c:pt idx="14">
                  <c:v>4-Aug-16</c:v>
                </c:pt>
                <c:pt idx="15">
                  <c:v>3-Aug-16</c:v>
                </c:pt>
                <c:pt idx="16">
                  <c:v>2-Aug-16</c:v>
                </c:pt>
                <c:pt idx="17">
                  <c:v>1-Aug-16</c:v>
                </c:pt>
                <c:pt idx="18">
                  <c:v>29-Jul-16</c:v>
                </c:pt>
                <c:pt idx="19">
                  <c:v>28-Jul-16</c:v>
                </c:pt>
                <c:pt idx="20">
                  <c:v>27-Jul-16</c:v>
                </c:pt>
                <c:pt idx="21">
                  <c:v>26-Jul-16</c:v>
                </c:pt>
                <c:pt idx="22">
                  <c:v>25-Jul-16</c:v>
                </c:pt>
                <c:pt idx="23">
                  <c:v>22-Jul-16</c:v>
                </c:pt>
                <c:pt idx="24">
                  <c:v>21-Jul-16</c:v>
                </c:pt>
                <c:pt idx="25">
                  <c:v>20-Jul-16</c:v>
                </c:pt>
                <c:pt idx="26">
                  <c:v>19-Jul-16</c:v>
                </c:pt>
                <c:pt idx="27">
                  <c:v>18-Jul-16</c:v>
                </c:pt>
                <c:pt idx="28">
                  <c:v>15-Jul-16</c:v>
                </c:pt>
                <c:pt idx="29">
                  <c:v>14-Jul-16</c:v>
                </c:pt>
                <c:pt idx="30">
                  <c:v>13-Jul-16</c:v>
                </c:pt>
                <c:pt idx="31">
                  <c:v>12-Jul-16</c:v>
                </c:pt>
                <c:pt idx="32">
                  <c:v>11-Jul-16</c:v>
                </c:pt>
                <c:pt idx="33">
                  <c:v>8-Jul-16</c:v>
                </c:pt>
                <c:pt idx="34">
                  <c:v>7-Jul-16</c:v>
                </c:pt>
                <c:pt idx="35">
                  <c:v>6-Jul-16</c:v>
                </c:pt>
                <c:pt idx="36">
                  <c:v>5-Jul-16</c:v>
                </c:pt>
                <c:pt idx="37">
                  <c:v>1-Jul-16</c:v>
                </c:pt>
                <c:pt idx="38">
                  <c:v>30-Jun-16</c:v>
                </c:pt>
                <c:pt idx="39">
                  <c:v>29-Jun-16</c:v>
                </c:pt>
                <c:pt idx="40">
                  <c:v>28-Jun-16</c:v>
                </c:pt>
                <c:pt idx="41">
                  <c:v>27-Jun-16</c:v>
                </c:pt>
                <c:pt idx="42">
                  <c:v>24-Jun-16</c:v>
                </c:pt>
                <c:pt idx="43">
                  <c:v>23-Jun-16</c:v>
                </c:pt>
                <c:pt idx="44">
                  <c:v>22-Jun-16</c:v>
                </c:pt>
                <c:pt idx="45">
                  <c:v>21-Jun-16</c:v>
                </c:pt>
                <c:pt idx="46">
                  <c:v>20-Jun-16</c:v>
                </c:pt>
                <c:pt idx="47">
                  <c:v>17-Jun-16</c:v>
                </c:pt>
                <c:pt idx="48">
                  <c:v>16-Jun-16</c:v>
                </c:pt>
                <c:pt idx="49">
                  <c:v>15-Jun-16</c:v>
                </c:pt>
                <c:pt idx="50">
                  <c:v>14-Jun-16</c:v>
                </c:pt>
                <c:pt idx="51">
                  <c:v>13-Jun-16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151.26</c:v>
                </c:pt>
                <c:pt idx="1">
                  <c:v>154.55000000000001</c:v>
                </c:pt>
                <c:pt idx="2">
                  <c:v>153.99</c:v>
                </c:pt>
                <c:pt idx="3">
                  <c:v>153.58000000000001</c:v>
                </c:pt>
                <c:pt idx="4">
                  <c:v>153.35</c:v>
                </c:pt>
                <c:pt idx="5">
                  <c:v>154.66999999999999</c:v>
                </c:pt>
                <c:pt idx="6">
                  <c:v>154.97</c:v>
                </c:pt>
                <c:pt idx="7">
                  <c:v>155.97</c:v>
                </c:pt>
                <c:pt idx="8">
                  <c:v>155.49</c:v>
                </c:pt>
                <c:pt idx="9">
                  <c:v>157.46</c:v>
                </c:pt>
                <c:pt idx="10">
                  <c:v>156.01</c:v>
                </c:pt>
                <c:pt idx="11">
                  <c:v>156.68</c:v>
                </c:pt>
                <c:pt idx="12">
                  <c:v>156.52000000000001</c:v>
                </c:pt>
                <c:pt idx="13">
                  <c:v>157.51</c:v>
                </c:pt>
                <c:pt idx="14">
                  <c:v>156.41999999999999</c:v>
                </c:pt>
                <c:pt idx="15">
                  <c:v>156</c:v>
                </c:pt>
                <c:pt idx="16">
                  <c:v>156.44</c:v>
                </c:pt>
                <c:pt idx="17">
                  <c:v>159.56</c:v>
                </c:pt>
                <c:pt idx="18">
                  <c:v>158.84</c:v>
                </c:pt>
                <c:pt idx="19">
                  <c:v>158.82</c:v>
                </c:pt>
                <c:pt idx="20">
                  <c:v>158.9</c:v>
                </c:pt>
                <c:pt idx="21">
                  <c:v>158.88999999999999</c:v>
                </c:pt>
                <c:pt idx="22">
                  <c:v>156.97999999999999</c:v>
                </c:pt>
                <c:pt idx="23">
                  <c:v>156.88999999999999</c:v>
                </c:pt>
                <c:pt idx="24">
                  <c:v>156.19999999999999</c:v>
                </c:pt>
                <c:pt idx="25">
                  <c:v>157.69</c:v>
                </c:pt>
                <c:pt idx="26">
                  <c:v>156.63999999999999</c:v>
                </c:pt>
                <c:pt idx="27">
                  <c:v>157.05000000000001</c:v>
                </c:pt>
                <c:pt idx="28">
                  <c:v>157.04</c:v>
                </c:pt>
                <c:pt idx="29">
                  <c:v>157.72999999999999</c:v>
                </c:pt>
                <c:pt idx="30">
                  <c:v>154.80000000000001</c:v>
                </c:pt>
                <c:pt idx="31">
                  <c:v>154.38</c:v>
                </c:pt>
                <c:pt idx="32">
                  <c:v>152.34</c:v>
                </c:pt>
                <c:pt idx="33">
                  <c:v>152.69</c:v>
                </c:pt>
                <c:pt idx="34">
                  <c:v>149.06</c:v>
                </c:pt>
                <c:pt idx="35">
                  <c:v>149.11000000000001</c:v>
                </c:pt>
                <c:pt idx="36">
                  <c:v>147.25</c:v>
                </c:pt>
                <c:pt idx="37">
                  <c:v>149.22999999999999</c:v>
                </c:pt>
                <c:pt idx="38">
                  <c:v>147.76</c:v>
                </c:pt>
                <c:pt idx="39">
                  <c:v>145.16</c:v>
                </c:pt>
                <c:pt idx="40">
                  <c:v>143.15</c:v>
                </c:pt>
                <c:pt idx="41">
                  <c:v>140.93</c:v>
                </c:pt>
                <c:pt idx="42">
                  <c:v>145.35</c:v>
                </c:pt>
                <c:pt idx="43">
                  <c:v>152.13999999999999</c:v>
                </c:pt>
                <c:pt idx="44">
                  <c:v>149.85</c:v>
                </c:pt>
                <c:pt idx="45">
                  <c:v>148.91</c:v>
                </c:pt>
                <c:pt idx="46">
                  <c:v>148.37</c:v>
                </c:pt>
                <c:pt idx="47">
                  <c:v>146.24</c:v>
                </c:pt>
                <c:pt idx="48">
                  <c:v>147.22999999999999</c:v>
                </c:pt>
                <c:pt idx="49">
                  <c:v>147.41</c:v>
                </c:pt>
                <c:pt idx="50">
                  <c:v>147.97999999999999</c:v>
                </c:pt>
                <c:pt idx="51">
                  <c:v>150.52000000000001</c:v>
                </c:pt>
                <c:pt idx="53">
                  <c:v>151.80000000000001</c:v>
                </c:pt>
                <c:pt idx="54">
                  <c:v>154.15</c:v>
                </c:pt>
                <c:pt idx="55">
                  <c:v>154.13999999999999</c:v>
                </c:pt>
                <c:pt idx="56">
                  <c:v>152.69</c:v>
                </c:pt>
                <c:pt idx="57">
                  <c:v>153.19</c:v>
                </c:pt>
                <c:pt idx="58">
                  <c:v>152.87</c:v>
                </c:pt>
                <c:pt idx="59">
                  <c:v>153.55000000000001</c:v>
                </c:pt>
                <c:pt idx="60">
                  <c:v>153.06</c:v>
                </c:pt>
                <c:pt idx="61">
                  <c:v>151.77000000000001</c:v>
                </c:pt>
                <c:pt idx="62">
                  <c:v>152.13</c:v>
                </c:pt>
                <c:pt idx="63">
                  <c:v>151.19999999999999</c:v>
                </c:pt>
                <c:pt idx="64">
                  <c:v>151.16</c:v>
                </c:pt>
                <c:pt idx="65">
                  <c:v>150.68</c:v>
                </c:pt>
                <c:pt idx="66">
                  <c:v>148.84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693992"/>
        <c:axId val="646451696"/>
      </c:lineChart>
      <c:catAx>
        <c:axId val="613693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51696"/>
        <c:crosses val="autoZero"/>
        <c:auto val="1"/>
        <c:lblAlgn val="ctr"/>
        <c:lblOffset val="100"/>
        <c:noMultiLvlLbl val="0"/>
      </c:catAx>
      <c:valAx>
        <c:axId val="646451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69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24-Aug-16</c:v>
                </c:pt>
                <c:pt idx="1">
                  <c:v>23-Aug-16</c:v>
                </c:pt>
                <c:pt idx="2">
                  <c:v>22-Aug-16</c:v>
                </c:pt>
                <c:pt idx="3">
                  <c:v>19-Aug-16</c:v>
                </c:pt>
                <c:pt idx="4">
                  <c:v>18-Aug-16</c:v>
                </c:pt>
                <c:pt idx="5">
                  <c:v>17-Aug-16</c:v>
                </c:pt>
                <c:pt idx="6">
                  <c:v>16-Aug-16</c:v>
                </c:pt>
                <c:pt idx="7">
                  <c:v>15-Aug-16</c:v>
                </c:pt>
                <c:pt idx="8">
                  <c:v>12-Aug-16</c:v>
                </c:pt>
                <c:pt idx="9">
                  <c:v>11-Aug-16</c:v>
                </c:pt>
                <c:pt idx="10">
                  <c:v>11-Aug-16</c:v>
                </c:pt>
                <c:pt idx="11">
                  <c:v>10-Aug-16</c:v>
                </c:pt>
                <c:pt idx="12">
                  <c:v>9-Aug-16</c:v>
                </c:pt>
                <c:pt idx="13">
                  <c:v>8-Aug-16</c:v>
                </c:pt>
                <c:pt idx="14">
                  <c:v>5-Aug-16</c:v>
                </c:pt>
                <c:pt idx="15">
                  <c:v>4-Aug-16</c:v>
                </c:pt>
                <c:pt idx="16">
                  <c:v>3-Aug-16</c:v>
                </c:pt>
                <c:pt idx="17">
                  <c:v>2-Aug-16</c:v>
                </c:pt>
                <c:pt idx="18">
                  <c:v>1-Aug-16</c:v>
                </c:pt>
                <c:pt idx="19">
                  <c:v>29-Jul-16</c:v>
                </c:pt>
                <c:pt idx="20">
                  <c:v>28-Jul-16</c:v>
                </c:pt>
                <c:pt idx="21">
                  <c:v>27-Jul-16</c:v>
                </c:pt>
                <c:pt idx="22">
                  <c:v>26-Jul-16</c:v>
                </c:pt>
                <c:pt idx="23">
                  <c:v>25-Jul-16</c:v>
                </c:pt>
                <c:pt idx="24">
                  <c:v>22-Jul-16</c:v>
                </c:pt>
                <c:pt idx="25">
                  <c:v>21-Jul-16</c:v>
                </c:pt>
                <c:pt idx="26">
                  <c:v>20-Jul-16</c:v>
                </c:pt>
                <c:pt idx="27">
                  <c:v>19-Jul-16</c:v>
                </c:pt>
                <c:pt idx="28">
                  <c:v>18-Jul-16</c:v>
                </c:pt>
                <c:pt idx="29">
                  <c:v>15-Jul-16</c:v>
                </c:pt>
                <c:pt idx="30">
                  <c:v>14-Jul-16</c:v>
                </c:pt>
                <c:pt idx="31">
                  <c:v>13-Jul-16</c:v>
                </c:pt>
                <c:pt idx="32">
                  <c:v>12-Jul-16</c:v>
                </c:pt>
                <c:pt idx="33">
                  <c:v>11-Jul-16</c:v>
                </c:pt>
                <c:pt idx="34">
                  <c:v>8-Jul-16</c:v>
                </c:pt>
                <c:pt idx="35">
                  <c:v>7-Jul-16</c:v>
                </c:pt>
                <c:pt idx="36">
                  <c:v>6-Jul-16</c:v>
                </c:pt>
                <c:pt idx="37">
                  <c:v>5-Jul-16</c:v>
                </c:pt>
                <c:pt idx="38">
                  <c:v>1-Jul-16</c:v>
                </c:pt>
                <c:pt idx="39">
                  <c:v>30-Jun-16</c:v>
                </c:pt>
                <c:pt idx="40">
                  <c:v>29-Jun-16</c:v>
                </c:pt>
                <c:pt idx="41">
                  <c:v>28-Jun-16</c:v>
                </c:pt>
                <c:pt idx="42">
                  <c:v>27-Jun-16</c:v>
                </c:pt>
                <c:pt idx="43">
                  <c:v>24-Jun-16</c:v>
                </c:pt>
                <c:pt idx="44">
                  <c:v>23-Jun-16</c:v>
                </c:pt>
                <c:pt idx="45">
                  <c:v>22-Jun-16</c:v>
                </c:pt>
                <c:pt idx="46">
                  <c:v>21-Jun-16</c:v>
                </c:pt>
                <c:pt idx="47">
                  <c:v>20-Jun-16</c:v>
                </c:pt>
                <c:pt idx="48">
                  <c:v>17-Jun-16</c:v>
                </c:pt>
                <c:pt idx="49">
                  <c:v>16-Jun-16</c:v>
                </c:pt>
                <c:pt idx="50">
                  <c:v>15-Jun-16</c:v>
                </c:pt>
                <c:pt idx="51">
                  <c:v>14-Jun-16</c:v>
                </c:pt>
                <c:pt idx="52">
                  <c:v>13-Jun-16</c:v>
                </c:pt>
                <c:pt idx="53">
                  <c:v>10-Jun-16</c:v>
                </c:pt>
                <c:pt idx="54">
                  <c:v>9-Jun-16</c:v>
                </c:pt>
                <c:pt idx="55">
                  <c:v>8-Jun-16</c:v>
                </c:pt>
                <c:pt idx="56">
                  <c:v>7-Jun-16</c:v>
                </c:pt>
                <c:pt idx="57">
                  <c:v>6-Jun-16</c:v>
                </c:pt>
                <c:pt idx="58">
                  <c:v>3-Jun-16</c:v>
                </c:pt>
                <c:pt idx="59">
                  <c:v>2-Jun-16</c:v>
                </c:pt>
                <c:pt idx="60">
                  <c:v>1-Jun-16</c:v>
                </c:pt>
                <c:pt idx="61">
                  <c:v>31-May-16</c:v>
                </c:pt>
                <c:pt idx="62">
                  <c:v>27-May-16</c:v>
                </c:pt>
                <c:pt idx="63">
                  <c:v>26-May-16</c:v>
                </c:pt>
                <c:pt idx="64">
                  <c:v>25-May-16</c:v>
                </c:pt>
                <c:pt idx="65">
                  <c:v>24-May-16</c:v>
                </c:pt>
                <c:pt idx="66">
                  <c:v>23-May-16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34.07</c:v>
                </c:pt>
                <c:pt idx="1">
                  <c:v>34.299999999999997</c:v>
                </c:pt>
                <c:pt idx="2">
                  <c:v>33.64</c:v>
                </c:pt>
                <c:pt idx="3">
                  <c:v>33.72</c:v>
                </c:pt>
                <c:pt idx="4">
                  <c:v>33.6</c:v>
                </c:pt>
                <c:pt idx="5">
                  <c:v>33.630000000000003</c:v>
                </c:pt>
                <c:pt idx="6">
                  <c:v>33.54</c:v>
                </c:pt>
                <c:pt idx="7">
                  <c:v>33.72</c:v>
                </c:pt>
                <c:pt idx="8">
                  <c:v>33.520000000000003</c:v>
                </c:pt>
                <c:pt idx="9">
                  <c:v>33.880000000000003</c:v>
                </c:pt>
                <c:pt idx="11">
                  <c:v>33.729999999999997</c:v>
                </c:pt>
                <c:pt idx="12">
                  <c:v>33.880000000000003</c:v>
                </c:pt>
                <c:pt idx="13">
                  <c:v>34.159999999999997</c:v>
                </c:pt>
                <c:pt idx="14">
                  <c:v>34.01</c:v>
                </c:pt>
                <c:pt idx="15">
                  <c:v>33.36</c:v>
                </c:pt>
                <c:pt idx="16">
                  <c:v>33.42</c:v>
                </c:pt>
                <c:pt idx="17">
                  <c:v>33.340000000000003</c:v>
                </c:pt>
                <c:pt idx="18">
                  <c:v>33.61</c:v>
                </c:pt>
                <c:pt idx="19">
                  <c:v>33.450000000000003</c:v>
                </c:pt>
                <c:pt idx="20">
                  <c:v>33.35</c:v>
                </c:pt>
                <c:pt idx="21">
                  <c:v>32.409999999999997</c:v>
                </c:pt>
                <c:pt idx="22">
                  <c:v>31.99</c:v>
                </c:pt>
                <c:pt idx="23">
                  <c:v>31.13</c:v>
                </c:pt>
                <c:pt idx="24">
                  <c:v>31.06</c:v>
                </c:pt>
                <c:pt idx="25">
                  <c:v>30.88</c:v>
                </c:pt>
                <c:pt idx="26">
                  <c:v>31.6</c:v>
                </c:pt>
                <c:pt idx="27">
                  <c:v>31.53</c:v>
                </c:pt>
                <c:pt idx="28">
                  <c:v>31.7</c:v>
                </c:pt>
                <c:pt idx="29">
                  <c:v>31.73</c:v>
                </c:pt>
                <c:pt idx="30">
                  <c:v>31.52</c:v>
                </c:pt>
                <c:pt idx="31">
                  <c:v>31.53</c:v>
                </c:pt>
                <c:pt idx="32">
                  <c:v>31.82</c:v>
                </c:pt>
                <c:pt idx="33">
                  <c:v>31.28</c:v>
                </c:pt>
                <c:pt idx="34">
                  <c:v>30.7</c:v>
                </c:pt>
                <c:pt idx="35">
                  <c:v>30</c:v>
                </c:pt>
                <c:pt idx="36">
                  <c:v>30.11</c:v>
                </c:pt>
                <c:pt idx="37">
                  <c:v>30.02</c:v>
                </c:pt>
                <c:pt idx="38">
                  <c:v>30.9</c:v>
                </c:pt>
                <c:pt idx="39">
                  <c:v>30.66</c:v>
                </c:pt>
                <c:pt idx="40">
                  <c:v>29.72</c:v>
                </c:pt>
                <c:pt idx="41">
                  <c:v>29.58</c:v>
                </c:pt>
                <c:pt idx="42">
                  <c:v>28.97</c:v>
                </c:pt>
                <c:pt idx="43">
                  <c:v>30.44</c:v>
                </c:pt>
                <c:pt idx="44">
                  <c:v>33.46</c:v>
                </c:pt>
                <c:pt idx="45">
                  <c:v>32.630000000000003</c:v>
                </c:pt>
                <c:pt idx="46">
                  <c:v>32.659999999999997</c:v>
                </c:pt>
                <c:pt idx="47">
                  <c:v>33.36</c:v>
                </c:pt>
                <c:pt idx="48">
                  <c:v>32.92</c:v>
                </c:pt>
                <c:pt idx="49">
                  <c:v>32.49</c:v>
                </c:pt>
                <c:pt idx="50">
                  <c:v>32.44</c:v>
                </c:pt>
                <c:pt idx="51">
                  <c:v>32.520000000000003</c:v>
                </c:pt>
                <c:pt idx="52">
                  <c:v>32.909999999999997</c:v>
                </c:pt>
                <c:pt idx="53">
                  <c:v>33.44</c:v>
                </c:pt>
                <c:pt idx="54">
                  <c:v>34.090000000000003</c:v>
                </c:pt>
                <c:pt idx="55">
                  <c:v>34.380000000000003</c:v>
                </c:pt>
                <c:pt idx="56">
                  <c:v>34.270000000000003</c:v>
                </c:pt>
                <c:pt idx="57">
                  <c:v>33.94</c:v>
                </c:pt>
                <c:pt idx="58">
                  <c:v>33.56</c:v>
                </c:pt>
                <c:pt idx="59">
                  <c:v>33.799999999999997</c:v>
                </c:pt>
                <c:pt idx="60">
                  <c:v>33.26</c:v>
                </c:pt>
                <c:pt idx="61">
                  <c:v>33.25</c:v>
                </c:pt>
                <c:pt idx="62">
                  <c:v>33.44</c:v>
                </c:pt>
                <c:pt idx="63">
                  <c:v>33.68</c:v>
                </c:pt>
                <c:pt idx="64">
                  <c:v>34.04</c:v>
                </c:pt>
                <c:pt idx="65">
                  <c:v>33.22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445816"/>
        <c:axId val="646453656"/>
      </c:lineChart>
      <c:catAx>
        <c:axId val="646445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53656"/>
        <c:crosses val="autoZero"/>
        <c:auto val="1"/>
        <c:lblAlgn val="ctr"/>
        <c:lblOffset val="100"/>
        <c:noMultiLvlLbl val="0"/>
      </c:catAx>
      <c:valAx>
        <c:axId val="646453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4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42599</c:v>
                </c:pt>
                <c:pt idx="7">
                  <c:v>42598</c:v>
                </c:pt>
                <c:pt idx="8">
                  <c:v>42597</c:v>
                </c:pt>
                <c:pt idx="9">
                  <c:v>42594</c:v>
                </c:pt>
                <c:pt idx="10">
                  <c:v>42593</c:v>
                </c:pt>
                <c:pt idx="11">
                  <c:v>42592</c:v>
                </c:pt>
                <c:pt idx="12">
                  <c:v>42591</c:v>
                </c:pt>
                <c:pt idx="13">
                  <c:v>42590</c:v>
                </c:pt>
                <c:pt idx="14">
                  <c:v>42587</c:v>
                </c:pt>
                <c:pt idx="15">
                  <c:v>42586</c:v>
                </c:pt>
                <c:pt idx="16">
                  <c:v>42585</c:v>
                </c:pt>
                <c:pt idx="17">
                  <c:v>42584</c:v>
                </c:pt>
                <c:pt idx="18">
                  <c:v>42583</c:v>
                </c:pt>
                <c:pt idx="19">
                  <c:v>42580</c:v>
                </c:pt>
                <c:pt idx="20">
                  <c:v>42579</c:v>
                </c:pt>
                <c:pt idx="21">
                  <c:v>42578</c:v>
                </c:pt>
                <c:pt idx="22">
                  <c:v>42577</c:v>
                </c:pt>
                <c:pt idx="23">
                  <c:v>42576</c:v>
                </c:pt>
                <c:pt idx="24">
                  <c:v>42573</c:v>
                </c:pt>
                <c:pt idx="25">
                  <c:v>42572</c:v>
                </c:pt>
                <c:pt idx="26">
                  <c:v>42571</c:v>
                </c:pt>
                <c:pt idx="27">
                  <c:v>42570</c:v>
                </c:pt>
                <c:pt idx="28">
                  <c:v>42569</c:v>
                </c:pt>
                <c:pt idx="29">
                  <c:v>42566</c:v>
                </c:pt>
                <c:pt idx="30">
                  <c:v>42565</c:v>
                </c:pt>
                <c:pt idx="31">
                  <c:v>42564</c:v>
                </c:pt>
                <c:pt idx="32">
                  <c:v>42563</c:v>
                </c:pt>
                <c:pt idx="33">
                  <c:v>42562</c:v>
                </c:pt>
                <c:pt idx="34">
                  <c:v>42559</c:v>
                </c:pt>
                <c:pt idx="35">
                  <c:v>42558</c:v>
                </c:pt>
                <c:pt idx="36">
                  <c:v>42557</c:v>
                </c:pt>
                <c:pt idx="37">
                  <c:v>42556</c:v>
                </c:pt>
                <c:pt idx="38">
                  <c:v>42552</c:v>
                </c:pt>
                <c:pt idx="39">
                  <c:v>42551</c:v>
                </c:pt>
                <c:pt idx="40">
                  <c:v>42550</c:v>
                </c:pt>
                <c:pt idx="41">
                  <c:v>42549</c:v>
                </c:pt>
                <c:pt idx="42">
                  <c:v>42548</c:v>
                </c:pt>
                <c:pt idx="43">
                  <c:v>42545</c:v>
                </c:pt>
                <c:pt idx="44">
                  <c:v>42544</c:v>
                </c:pt>
                <c:pt idx="45">
                  <c:v>42543</c:v>
                </c:pt>
                <c:pt idx="46">
                  <c:v>42542</c:v>
                </c:pt>
                <c:pt idx="47">
                  <c:v>42541</c:v>
                </c:pt>
                <c:pt idx="48">
                  <c:v>42538</c:v>
                </c:pt>
                <c:pt idx="49">
                  <c:v>42537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  <c:pt idx="66">
                  <c:v>42513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107.96</c:v>
                </c:pt>
                <c:pt idx="1">
                  <c:v>108</c:v>
                </c:pt>
                <c:pt idx="2">
                  <c:v>108.5</c:v>
                </c:pt>
                <c:pt idx="3">
                  <c:v>109.14</c:v>
                </c:pt>
                <c:pt idx="4">
                  <c:v>109.33</c:v>
                </c:pt>
                <c:pt idx="5">
                  <c:v>108.94</c:v>
                </c:pt>
                <c:pt idx="7">
                  <c:v>109.16</c:v>
                </c:pt>
                <c:pt idx="8">
                  <c:v>109.69</c:v>
                </c:pt>
                <c:pt idx="9">
                  <c:v>108.87</c:v>
                </c:pt>
                <c:pt idx="10">
                  <c:v>109.18</c:v>
                </c:pt>
                <c:pt idx="11">
                  <c:v>108.12</c:v>
                </c:pt>
                <c:pt idx="12">
                  <c:v>108.34</c:v>
                </c:pt>
                <c:pt idx="13">
                  <c:v>107.79</c:v>
                </c:pt>
                <c:pt idx="14">
                  <c:v>107.74</c:v>
                </c:pt>
                <c:pt idx="15">
                  <c:v>106.36</c:v>
                </c:pt>
                <c:pt idx="16">
                  <c:v>106.29</c:v>
                </c:pt>
                <c:pt idx="17">
                  <c:v>106.27</c:v>
                </c:pt>
                <c:pt idx="18">
                  <c:v>106.94</c:v>
                </c:pt>
                <c:pt idx="19">
                  <c:v>107.65</c:v>
                </c:pt>
                <c:pt idx="20">
                  <c:v>107.58</c:v>
                </c:pt>
                <c:pt idx="21">
                  <c:v>107.69</c:v>
                </c:pt>
                <c:pt idx="22">
                  <c:v>107.89</c:v>
                </c:pt>
                <c:pt idx="23">
                  <c:v>104.65</c:v>
                </c:pt>
                <c:pt idx="24">
                  <c:v>105.13</c:v>
                </c:pt>
                <c:pt idx="25">
                  <c:v>105.85</c:v>
                </c:pt>
                <c:pt idx="26">
                  <c:v>106.04</c:v>
                </c:pt>
                <c:pt idx="27">
                  <c:v>105.62</c:v>
                </c:pt>
                <c:pt idx="28">
                  <c:v>105.49</c:v>
                </c:pt>
                <c:pt idx="29">
                  <c:v>105.5</c:v>
                </c:pt>
                <c:pt idx="30">
                  <c:v>105.14</c:v>
                </c:pt>
                <c:pt idx="31">
                  <c:v>105.09</c:v>
                </c:pt>
                <c:pt idx="32">
                  <c:v>104.5</c:v>
                </c:pt>
                <c:pt idx="33">
                  <c:v>103.96</c:v>
                </c:pt>
                <c:pt idx="34">
                  <c:v>103.66</c:v>
                </c:pt>
                <c:pt idx="35">
                  <c:v>101.97</c:v>
                </c:pt>
                <c:pt idx="36">
                  <c:v>101.38</c:v>
                </c:pt>
                <c:pt idx="37">
                  <c:v>100.62</c:v>
                </c:pt>
                <c:pt idx="38">
                  <c:v>102.73</c:v>
                </c:pt>
                <c:pt idx="39">
                  <c:v>102.55</c:v>
                </c:pt>
                <c:pt idx="40">
                  <c:v>100.47</c:v>
                </c:pt>
                <c:pt idx="41">
                  <c:v>99.03</c:v>
                </c:pt>
                <c:pt idx="42">
                  <c:v>97.21</c:v>
                </c:pt>
                <c:pt idx="43">
                  <c:v>98.89</c:v>
                </c:pt>
                <c:pt idx="44">
                  <c:v>102.33</c:v>
                </c:pt>
                <c:pt idx="45">
                  <c:v>101.35</c:v>
                </c:pt>
                <c:pt idx="46">
                  <c:v>101.57</c:v>
                </c:pt>
                <c:pt idx="47">
                  <c:v>101.7</c:v>
                </c:pt>
                <c:pt idx="48">
                  <c:v>101.2</c:v>
                </c:pt>
                <c:pt idx="49">
                  <c:v>101.12</c:v>
                </c:pt>
                <c:pt idx="50">
                  <c:v>100.54</c:v>
                </c:pt>
                <c:pt idx="51">
                  <c:v>101.19</c:v>
                </c:pt>
                <c:pt idx="52">
                  <c:v>101.21</c:v>
                </c:pt>
                <c:pt idx="53">
                  <c:v>102</c:v>
                </c:pt>
                <c:pt idx="54">
                  <c:v>102.32</c:v>
                </c:pt>
                <c:pt idx="55">
                  <c:v>102.07</c:v>
                </c:pt>
                <c:pt idx="56">
                  <c:v>101.45</c:v>
                </c:pt>
                <c:pt idx="57">
                  <c:v>101.36</c:v>
                </c:pt>
                <c:pt idx="58">
                  <c:v>100.43</c:v>
                </c:pt>
                <c:pt idx="59">
                  <c:v>100.79</c:v>
                </c:pt>
                <c:pt idx="60">
                  <c:v>100.35</c:v>
                </c:pt>
                <c:pt idx="61">
                  <c:v>100.58</c:v>
                </c:pt>
                <c:pt idx="62">
                  <c:v>100.76</c:v>
                </c:pt>
                <c:pt idx="63">
                  <c:v>100.41</c:v>
                </c:pt>
                <c:pt idx="64">
                  <c:v>100.32</c:v>
                </c:pt>
                <c:pt idx="65">
                  <c:v>99.91</c:v>
                </c:pt>
                <c:pt idx="66">
                  <c:v>98.9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452088"/>
        <c:axId val="646448560"/>
      </c:lineChart>
      <c:dateAx>
        <c:axId val="646452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48560"/>
        <c:crosses val="autoZero"/>
        <c:auto val="1"/>
        <c:lblOffset val="100"/>
        <c:baseTimeUnit val="days"/>
      </c:dateAx>
      <c:valAx>
        <c:axId val="646448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5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42606</c:v>
                </c:pt>
                <c:pt idx="1">
                  <c:v>42605</c:v>
                </c:pt>
                <c:pt idx="2">
                  <c:v>42604</c:v>
                </c:pt>
                <c:pt idx="3">
                  <c:v>42601</c:v>
                </c:pt>
                <c:pt idx="4">
                  <c:v>42600</c:v>
                </c:pt>
                <c:pt idx="5">
                  <c:v>42599</c:v>
                </c:pt>
                <c:pt idx="6">
                  <c:v>42598</c:v>
                </c:pt>
                <c:pt idx="7">
                  <c:v>42597</c:v>
                </c:pt>
                <c:pt idx="8">
                  <c:v>42594</c:v>
                </c:pt>
                <c:pt idx="9">
                  <c:v>42593</c:v>
                </c:pt>
                <c:pt idx="10">
                  <c:v>42592</c:v>
                </c:pt>
                <c:pt idx="11">
                  <c:v>42591</c:v>
                </c:pt>
                <c:pt idx="12">
                  <c:v>42590</c:v>
                </c:pt>
                <c:pt idx="13">
                  <c:v>42587</c:v>
                </c:pt>
                <c:pt idx="14">
                  <c:v>42586</c:v>
                </c:pt>
                <c:pt idx="15">
                  <c:v>42585</c:v>
                </c:pt>
                <c:pt idx="16">
                  <c:v>42584</c:v>
                </c:pt>
                <c:pt idx="17">
                  <c:v>42583</c:v>
                </c:pt>
                <c:pt idx="18">
                  <c:v>42580</c:v>
                </c:pt>
                <c:pt idx="19">
                  <c:v>42579</c:v>
                </c:pt>
                <c:pt idx="20">
                  <c:v>42578</c:v>
                </c:pt>
                <c:pt idx="21">
                  <c:v>42577</c:v>
                </c:pt>
                <c:pt idx="22">
                  <c:v>42576</c:v>
                </c:pt>
                <c:pt idx="23">
                  <c:v>42573</c:v>
                </c:pt>
                <c:pt idx="24">
                  <c:v>42572</c:v>
                </c:pt>
                <c:pt idx="25">
                  <c:v>42571</c:v>
                </c:pt>
                <c:pt idx="26">
                  <c:v>42570</c:v>
                </c:pt>
                <c:pt idx="27">
                  <c:v>42569</c:v>
                </c:pt>
                <c:pt idx="28">
                  <c:v>42566</c:v>
                </c:pt>
                <c:pt idx="29">
                  <c:v>42565</c:v>
                </c:pt>
                <c:pt idx="30">
                  <c:v>42564</c:v>
                </c:pt>
                <c:pt idx="31">
                  <c:v>42563</c:v>
                </c:pt>
                <c:pt idx="32">
                  <c:v>42562</c:v>
                </c:pt>
                <c:pt idx="33">
                  <c:v>42559</c:v>
                </c:pt>
                <c:pt idx="34">
                  <c:v>42558</c:v>
                </c:pt>
                <c:pt idx="35">
                  <c:v>42557</c:v>
                </c:pt>
                <c:pt idx="36">
                  <c:v>42556</c:v>
                </c:pt>
                <c:pt idx="37">
                  <c:v>42552</c:v>
                </c:pt>
                <c:pt idx="38">
                  <c:v>42551</c:v>
                </c:pt>
                <c:pt idx="39">
                  <c:v>42550</c:v>
                </c:pt>
                <c:pt idx="40">
                  <c:v>42549</c:v>
                </c:pt>
                <c:pt idx="41">
                  <c:v>42548</c:v>
                </c:pt>
                <c:pt idx="42">
                  <c:v>42545</c:v>
                </c:pt>
                <c:pt idx="43">
                  <c:v>42544</c:v>
                </c:pt>
                <c:pt idx="44">
                  <c:v>42543</c:v>
                </c:pt>
                <c:pt idx="45">
                  <c:v>42542</c:v>
                </c:pt>
                <c:pt idx="46">
                  <c:v>42541</c:v>
                </c:pt>
                <c:pt idx="47">
                  <c:v>42538</c:v>
                </c:pt>
                <c:pt idx="48">
                  <c:v>42537</c:v>
                </c:pt>
                <c:pt idx="49">
                  <c:v>42536</c:v>
                </c:pt>
                <c:pt idx="50">
                  <c:v>42536</c:v>
                </c:pt>
                <c:pt idx="51">
                  <c:v>42535</c:v>
                </c:pt>
                <c:pt idx="52">
                  <c:v>42534</c:v>
                </c:pt>
                <c:pt idx="53">
                  <c:v>42531</c:v>
                </c:pt>
                <c:pt idx="54">
                  <c:v>42530</c:v>
                </c:pt>
                <c:pt idx="55">
                  <c:v>42529</c:v>
                </c:pt>
                <c:pt idx="56">
                  <c:v>42528</c:v>
                </c:pt>
                <c:pt idx="57">
                  <c:v>42527</c:v>
                </c:pt>
                <c:pt idx="58">
                  <c:v>42524</c:v>
                </c:pt>
                <c:pt idx="59">
                  <c:v>42523</c:v>
                </c:pt>
                <c:pt idx="60">
                  <c:v>42522</c:v>
                </c:pt>
                <c:pt idx="61">
                  <c:v>42521</c:v>
                </c:pt>
                <c:pt idx="62">
                  <c:v>42517</c:v>
                </c:pt>
                <c:pt idx="63">
                  <c:v>42516</c:v>
                </c:pt>
                <c:pt idx="64">
                  <c:v>42515</c:v>
                </c:pt>
                <c:pt idx="65">
                  <c:v>42514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139.87</c:v>
                </c:pt>
                <c:pt idx="1">
                  <c:v>142.01</c:v>
                </c:pt>
                <c:pt idx="2">
                  <c:v>142.09</c:v>
                </c:pt>
                <c:pt idx="3">
                  <c:v>142.04</c:v>
                </c:pt>
                <c:pt idx="4">
                  <c:v>142.16999999999999</c:v>
                </c:pt>
                <c:pt idx="5">
                  <c:v>141.71</c:v>
                </c:pt>
                <c:pt idx="6">
                  <c:v>141.08000000000001</c:v>
                </c:pt>
                <c:pt idx="7">
                  <c:v>141.62</c:v>
                </c:pt>
                <c:pt idx="8">
                  <c:v>142.88</c:v>
                </c:pt>
                <c:pt idx="9">
                  <c:v>142.63</c:v>
                </c:pt>
                <c:pt idx="10">
                  <c:v>142.19</c:v>
                </c:pt>
                <c:pt idx="11">
                  <c:v>141.82</c:v>
                </c:pt>
                <c:pt idx="12">
                  <c:v>142.13</c:v>
                </c:pt>
                <c:pt idx="13">
                  <c:v>142.99</c:v>
                </c:pt>
                <c:pt idx="14">
                  <c:v>142.71</c:v>
                </c:pt>
                <c:pt idx="15">
                  <c:v>142.88</c:v>
                </c:pt>
                <c:pt idx="16">
                  <c:v>143.16999999999999</c:v>
                </c:pt>
                <c:pt idx="17">
                  <c:v>143.51</c:v>
                </c:pt>
                <c:pt idx="18">
                  <c:v>143.19999999999999</c:v>
                </c:pt>
                <c:pt idx="19">
                  <c:v>142.76</c:v>
                </c:pt>
                <c:pt idx="20">
                  <c:v>141.68</c:v>
                </c:pt>
                <c:pt idx="21">
                  <c:v>141.69999999999999</c:v>
                </c:pt>
                <c:pt idx="22">
                  <c:v>141.72999999999999</c:v>
                </c:pt>
                <c:pt idx="23">
                  <c:v>143.69</c:v>
                </c:pt>
                <c:pt idx="24">
                  <c:v>142.87</c:v>
                </c:pt>
                <c:pt idx="25">
                  <c:v>143.02000000000001</c:v>
                </c:pt>
                <c:pt idx="26">
                  <c:v>142.59</c:v>
                </c:pt>
                <c:pt idx="27">
                  <c:v>140.75</c:v>
                </c:pt>
                <c:pt idx="28">
                  <c:v>141.33000000000001</c:v>
                </c:pt>
                <c:pt idx="29">
                  <c:v>140.84</c:v>
                </c:pt>
                <c:pt idx="30">
                  <c:v>141.47999999999999</c:v>
                </c:pt>
                <c:pt idx="31">
                  <c:v>139.86000000000001</c:v>
                </c:pt>
                <c:pt idx="32">
                  <c:v>140.32</c:v>
                </c:pt>
                <c:pt idx="33">
                  <c:v>141.27000000000001</c:v>
                </c:pt>
                <c:pt idx="34">
                  <c:v>140.80000000000001</c:v>
                </c:pt>
                <c:pt idx="35">
                  <c:v>142.38</c:v>
                </c:pt>
                <c:pt idx="36">
                  <c:v>141.56</c:v>
                </c:pt>
                <c:pt idx="37">
                  <c:v>140.86000000000001</c:v>
                </c:pt>
                <c:pt idx="38">
                  <c:v>141.19999999999999</c:v>
                </c:pt>
                <c:pt idx="39">
                  <c:v>140.52000000000001</c:v>
                </c:pt>
                <c:pt idx="40">
                  <c:v>138.71</c:v>
                </c:pt>
                <c:pt idx="41">
                  <c:v>137.11000000000001</c:v>
                </c:pt>
                <c:pt idx="42">
                  <c:v>137.29</c:v>
                </c:pt>
                <c:pt idx="43">
                  <c:v>139.19</c:v>
                </c:pt>
                <c:pt idx="44">
                  <c:v>137.9</c:v>
                </c:pt>
                <c:pt idx="45">
                  <c:v>138.19</c:v>
                </c:pt>
                <c:pt idx="46">
                  <c:v>138.52000000000001</c:v>
                </c:pt>
                <c:pt idx="47">
                  <c:v>137.69</c:v>
                </c:pt>
                <c:pt idx="48">
                  <c:v>138.66</c:v>
                </c:pt>
                <c:pt idx="49">
                  <c:v>137.26</c:v>
                </c:pt>
                <c:pt idx="51">
                  <c:v>137.87</c:v>
                </c:pt>
                <c:pt idx="52">
                  <c:v>138.09</c:v>
                </c:pt>
                <c:pt idx="53">
                  <c:v>139.24</c:v>
                </c:pt>
                <c:pt idx="54">
                  <c:v>140.68</c:v>
                </c:pt>
                <c:pt idx="55">
                  <c:v>140.4</c:v>
                </c:pt>
                <c:pt idx="56">
                  <c:v>136.94</c:v>
                </c:pt>
                <c:pt idx="57">
                  <c:v>138.15</c:v>
                </c:pt>
                <c:pt idx="58">
                  <c:v>136.84</c:v>
                </c:pt>
                <c:pt idx="59">
                  <c:v>136.04</c:v>
                </c:pt>
                <c:pt idx="60">
                  <c:v>134.53</c:v>
                </c:pt>
                <c:pt idx="61">
                  <c:v>133.66999999999999</c:v>
                </c:pt>
                <c:pt idx="62">
                  <c:v>134</c:v>
                </c:pt>
                <c:pt idx="63">
                  <c:v>132.97999999999999</c:v>
                </c:pt>
                <c:pt idx="64">
                  <c:v>133.41999999999999</c:v>
                </c:pt>
                <c:pt idx="65">
                  <c:v>132.59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445032"/>
        <c:axId val="646446208"/>
      </c:lineChart>
      <c:dateAx>
        <c:axId val="646445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46208"/>
        <c:crosses val="autoZero"/>
        <c:auto val="1"/>
        <c:lblOffset val="100"/>
        <c:baseTimeUnit val="days"/>
      </c:dateAx>
      <c:valAx>
        <c:axId val="646446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4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8"/>
  <sheetViews>
    <sheetView tabSelected="1" zoomScaleNormal="100" workbookViewId="0">
      <pane ySplit="1" topLeftCell="A122" activePane="bottomLeft" state="frozen"/>
      <selection pane="bottomLeft" activeCell="O263" sqref="O263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5" bestFit="1" customWidth="1"/>
    <col min="17" max="17" width="15" style="345" bestFit="1" customWidth="1"/>
    <col min="18" max="20" width="12" style="345" customWidth="1"/>
    <col min="21" max="22" width="11.5703125" style="345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9"/>
      <c r="B1" s="350" t="s">
        <v>86</v>
      </c>
      <c r="C1" s="349" t="s">
        <v>138</v>
      </c>
      <c r="D1" s="351" t="s">
        <v>140</v>
      </c>
      <c r="E1" s="351" t="s">
        <v>144</v>
      </c>
      <c r="F1" s="351" t="s">
        <v>157</v>
      </c>
      <c r="G1" s="351" t="s">
        <v>158</v>
      </c>
      <c r="H1" s="351" t="s">
        <v>159</v>
      </c>
      <c r="I1" s="349" t="s">
        <v>85</v>
      </c>
      <c r="J1" s="349" t="s">
        <v>87</v>
      </c>
      <c r="K1" s="349" t="s">
        <v>137</v>
      </c>
      <c r="L1" s="349" t="s">
        <v>139</v>
      </c>
      <c r="M1" s="352" t="s">
        <v>96</v>
      </c>
      <c r="N1" s="352" t="s">
        <v>76</v>
      </c>
      <c r="O1" s="349" t="s">
        <v>153</v>
      </c>
      <c r="P1" s="353" t="s">
        <v>197</v>
      </c>
      <c r="Q1" s="353" t="s">
        <v>198</v>
      </c>
      <c r="R1" s="353" t="s">
        <v>199</v>
      </c>
      <c r="S1" s="353" t="s">
        <v>240</v>
      </c>
      <c r="T1" s="353" t="s">
        <v>241</v>
      </c>
      <c r="U1" s="353" t="s">
        <v>258</v>
      </c>
      <c r="V1" s="353" t="s">
        <v>259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6"/>
      <c r="R2" s="346"/>
      <c r="S2" s="346"/>
      <c r="T2" s="346"/>
      <c r="U2" s="188"/>
      <c r="V2" s="188"/>
      <c r="W2" s="344">
        <f>LOOKUP(2,1/(M:M&lt;&gt;""),M:M)</f>
        <v>-19991.75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6"/>
      <c r="R3" s="346"/>
      <c r="S3" s="346"/>
      <c r="T3" s="346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6"/>
      <c r="R4" s="346"/>
      <c r="S4" s="346"/>
      <c r="T4" s="346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6"/>
      <c r="R5" s="346"/>
      <c r="S5" s="346"/>
      <c r="T5" s="346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6"/>
      <c r="R6" s="346"/>
      <c r="S6" s="346"/>
      <c r="T6" s="346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7"/>
      <c r="R7" s="347"/>
      <c r="S7" s="347"/>
      <c r="T7" s="347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7"/>
      <c r="R8" s="347"/>
      <c r="S8" s="347"/>
      <c r="T8" s="347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7"/>
      <c r="R9" s="347"/>
      <c r="S9" s="347"/>
      <c r="T9" s="347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7"/>
      <c r="R10" s="347"/>
      <c r="S10" s="347"/>
      <c r="T10" s="347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7"/>
      <c r="R11" s="347"/>
      <c r="S11" s="347"/>
      <c r="T11" s="347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6"/>
      <c r="R12" s="346"/>
      <c r="S12" s="346"/>
      <c r="T12" s="346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6"/>
      <c r="R13" s="346"/>
      <c r="S13" s="346"/>
      <c r="T13" s="346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6"/>
      <c r="R14" s="346"/>
      <c r="S14" s="346"/>
      <c r="T14" s="346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6"/>
      <c r="R15" s="346"/>
      <c r="S15" s="346"/>
      <c r="T15" s="346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6"/>
      <c r="R16" s="346"/>
      <c r="S16" s="346"/>
      <c r="T16" s="346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7"/>
      <c r="R17" s="347"/>
      <c r="S17" s="347"/>
      <c r="T17" s="347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7"/>
      <c r="R18" s="347"/>
      <c r="S18" s="347"/>
      <c r="T18" s="347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7"/>
      <c r="R19" s="347"/>
      <c r="S19" s="347"/>
      <c r="T19" s="347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7"/>
      <c r="R20" s="347"/>
      <c r="S20" s="347"/>
      <c r="T20" s="347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6"/>
      <c r="R21" s="346"/>
      <c r="S21" s="346"/>
      <c r="T21" s="346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6"/>
      <c r="R22" s="346"/>
      <c r="S22" s="346"/>
      <c r="T22" s="346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6"/>
      <c r="R23" s="346"/>
      <c r="S23" s="346"/>
      <c r="T23" s="346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6"/>
      <c r="R24" s="346"/>
      <c r="S24" s="346"/>
      <c r="T24" s="346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6"/>
      <c r="R25" s="346"/>
      <c r="S25" s="346"/>
      <c r="T25" s="346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7"/>
      <c r="R26" s="347"/>
      <c r="S26" s="347"/>
      <c r="T26" s="347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7"/>
      <c r="R27" s="347"/>
      <c r="S27" s="347"/>
      <c r="T27" s="347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7"/>
      <c r="R28" s="347"/>
      <c r="S28" s="347"/>
      <c r="T28" s="347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7"/>
      <c r="R29" s="347"/>
      <c r="S29" s="347"/>
      <c r="T29" s="347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7"/>
      <c r="R30" s="347"/>
      <c r="S30" s="347"/>
      <c r="T30" s="347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6"/>
      <c r="R31" s="346"/>
      <c r="S31" s="346"/>
      <c r="T31" s="346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6"/>
      <c r="R32" s="346"/>
      <c r="S32" s="346"/>
      <c r="T32" s="346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8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6"/>
      <c r="R33" s="346"/>
      <c r="S33" s="346"/>
      <c r="T33" s="346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6"/>
      <c r="R34" s="346"/>
      <c r="S34" s="346"/>
      <c r="T34" s="346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6"/>
      <c r="R35" s="346"/>
      <c r="S35" s="346"/>
      <c r="T35" s="346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7"/>
      <c r="R36" s="347"/>
      <c r="S36" s="347"/>
      <c r="T36" s="347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7"/>
      <c r="R37" s="347"/>
      <c r="S37" s="347"/>
      <c r="T37" s="347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7"/>
      <c r="R38" s="347"/>
      <c r="S38" s="347"/>
      <c r="T38" s="347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7"/>
      <c r="R39" s="347"/>
      <c r="S39" s="347"/>
      <c r="T39" s="347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7">
        <f t="shared" si="10"/>
        <v>-38308.080000000016</v>
      </c>
      <c r="N40" s="189">
        <f t="shared" si="11"/>
        <v>-9.8225846153846191E-2</v>
      </c>
      <c r="O40" s="247" t="b">
        <f t="shared" si="8"/>
        <v>0</v>
      </c>
      <c r="P40" s="189">
        <f>COUNTIF(O$2:O40, TRUE)/(COUNTIF(O$2:O40,FALSE) + COUNTIF(O$2:O40, TRUE))</f>
        <v>0.46153846153846156</v>
      </c>
      <c r="Q40" s="347"/>
      <c r="R40" s="347"/>
      <c r="S40" s="347"/>
      <c r="T40" s="347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6"/>
      <c r="R41" s="346"/>
      <c r="S41" s="346"/>
      <c r="T41" s="346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6"/>
      <c r="R42" s="346"/>
      <c r="S42" s="346"/>
      <c r="T42" s="346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6"/>
      <c r="R43" s="346"/>
      <c r="S43" s="346"/>
      <c r="T43" s="346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6"/>
      <c r="R44" s="346"/>
      <c r="S44" s="346"/>
      <c r="T44" s="346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6"/>
      <c r="R45" s="346"/>
      <c r="S45" s="346"/>
      <c r="T45" s="346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7"/>
      <c r="R46" s="347"/>
      <c r="S46" s="347"/>
      <c r="T46" s="347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7"/>
      <c r="R47" s="347"/>
      <c r="S47" s="347"/>
      <c r="T47" s="347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7"/>
      <c r="R48" s="347"/>
      <c r="S48" s="347"/>
      <c r="T48" s="347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7"/>
      <c r="R49" s="347"/>
      <c r="S49" s="347"/>
      <c r="T49" s="347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7"/>
      <c r="R50" s="347"/>
      <c r="S50" s="347"/>
      <c r="T50" s="347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6"/>
      <c r="R51" s="346"/>
      <c r="S51" s="346"/>
      <c r="T51" s="346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6"/>
      <c r="R52" s="346"/>
      <c r="S52" s="346"/>
      <c r="T52" s="346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6"/>
      <c r="R53" s="346"/>
      <c r="S53" s="346"/>
      <c r="T53" s="346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6"/>
      <c r="R54" s="346"/>
      <c r="S54" s="346"/>
      <c r="T54" s="346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8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6"/>
      <c r="R55" s="346"/>
      <c r="S55" s="346"/>
      <c r="T55" s="346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7"/>
      <c r="R56" s="347"/>
      <c r="S56" s="347"/>
      <c r="T56" s="347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7"/>
      <c r="R57" s="347"/>
      <c r="S57" s="347"/>
      <c r="T57" s="347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7"/>
      <c r="R58" s="347"/>
      <c r="S58" s="347"/>
      <c r="T58" s="347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7"/>
      <c r="R59" s="347"/>
      <c r="S59" s="347"/>
      <c r="T59" s="347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7"/>
      <c r="R60" s="347"/>
      <c r="S60" s="347"/>
      <c r="T60" s="347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6"/>
      <c r="R61" s="346"/>
      <c r="S61" s="346"/>
      <c r="T61" s="346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6"/>
      <c r="R62" s="346"/>
      <c r="S62" s="346"/>
      <c r="T62" s="346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6"/>
      <c r="R63" s="346"/>
      <c r="S63" s="346"/>
      <c r="T63" s="346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6"/>
      <c r="R64" s="346"/>
      <c r="S64" s="346"/>
      <c r="T64" s="346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6"/>
      <c r="R65" s="346"/>
      <c r="S65" s="346"/>
      <c r="T65" s="346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7"/>
      <c r="R66" s="347"/>
      <c r="S66" s="347"/>
      <c r="T66" s="347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7"/>
      <c r="R67" s="347"/>
      <c r="S67" s="347"/>
      <c r="T67" s="347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7"/>
      <c r="R68" s="347"/>
      <c r="S68" s="347"/>
      <c r="T68" s="347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7"/>
      <c r="R69" s="347"/>
      <c r="S69" s="347"/>
      <c r="T69" s="347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7"/>
      <c r="R70" s="347"/>
      <c r="S70" s="347"/>
      <c r="T70" s="347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6"/>
      <c r="R71" s="346"/>
      <c r="S71" s="346"/>
      <c r="T71" s="346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6"/>
      <c r="R72" s="346"/>
      <c r="S72" s="346"/>
      <c r="T72" s="346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6"/>
      <c r="R73" s="346"/>
      <c r="S73" s="346"/>
      <c r="T73" s="346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6"/>
      <c r="R74" s="346"/>
      <c r="S74" s="346"/>
      <c r="T74" s="346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6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7"/>
      <c r="R75" s="347"/>
      <c r="S75" s="347"/>
      <c r="T75" s="347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7"/>
      <c r="R76" s="347"/>
      <c r="S76" s="347"/>
      <c r="T76" s="347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7"/>
      <c r="R77" s="347"/>
      <c r="S77" s="347"/>
      <c r="T77" s="347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7"/>
      <c r="R78" s="347"/>
      <c r="S78" s="347"/>
      <c r="T78" s="347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7"/>
      <c r="R79" s="347"/>
      <c r="S79" s="347"/>
      <c r="T79" s="347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6"/>
      <c r="R80" s="346"/>
      <c r="S80" s="346"/>
      <c r="T80" s="346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6"/>
      <c r="R81" s="346"/>
      <c r="S81" s="346"/>
      <c r="T81" s="346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6"/>
      <c r="R82" s="346"/>
      <c r="S82" s="346"/>
      <c r="T82" s="346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6"/>
      <c r="R83" s="346"/>
      <c r="S83" s="346"/>
      <c r="T83" s="346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6"/>
      <c r="R84" s="346"/>
      <c r="S84" s="346"/>
      <c r="T84" s="346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7"/>
      <c r="R85" s="347"/>
      <c r="S85" s="347"/>
      <c r="T85" s="347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7"/>
      <c r="R86" s="347"/>
      <c r="S86" s="347"/>
      <c r="T86" s="347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7"/>
      <c r="R87" s="347"/>
      <c r="S87" s="347"/>
      <c r="T87" s="347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7"/>
      <c r="R88" s="347"/>
      <c r="S88" s="347"/>
      <c r="T88" s="347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7"/>
      <c r="R89" s="347"/>
      <c r="S89" s="347"/>
      <c r="T89" s="347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6"/>
      <c r="R90" s="346"/>
      <c r="S90" s="346"/>
      <c r="T90" s="346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6"/>
      <c r="R91" s="346"/>
      <c r="S91" s="346"/>
      <c r="T91" s="346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6"/>
      <c r="R92" s="346"/>
      <c r="S92" s="346"/>
      <c r="T92" s="346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6"/>
      <c r="R93" s="346"/>
      <c r="S93" s="346"/>
      <c r="T93" s="346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7"/>
      <c r="R94" s="347"/>
      <c r="S94" s="347"/>
      <c r="T94" s="347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7"/>
      <c r="R95" s="347"/>
      <c r="S95" s="347"/>
      <c r="T95" s="347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7"/>
      <c r="R96" s="347"/>
      <c r="S96" s="347"/>
      <c r="T96" s="347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9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7"/>
      <c r="R97" s="347"/>
      <c r="S97" s="347"/>
      <c r="T97" s="347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6"/>
      <c r="R98" s="346"/>
      <c r="S98" s="346"/>
      <c r="T98" s="346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6"/>
      <c r="R99" s="346"/>
      <c r="S99" s="346"/>
      <c r="T99" s="346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6"/>
      <c r="R100" s="346"/>
      <c r="S100" s="346"/>
      <c r="T100" s="346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6"/>
      <c r="R101" s="346"/>
      <c r="S101" s="346"/>
      <c r="T101" s="346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6"/>
      <c r="R102" s="346"/>
      <c r="S102" s="346"/>
      <c r="T102" s="346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7"/>
      <c r="R103" s="347"/>
      <c r="S103" s="347"/>
      <c r="T103" s="347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7"/>
      <c r="R104" s="347"/>
      <c r="S104" s="347"/>
      <c r="T104" s="347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7"/>
      <c r="R105" s="347"/>
      <c r="S105" s="347"/>
      <c r="T105" s="347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7"/>
      <c r="R106" s="347"/>
      <c r="S106" s="347"/>
      <c r="T106" s="347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7"/>
      <c r="R107" s="347"/>
      <c r="S107" s="347"/>
      <c r="T107" s="347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6"/>
      <c r="R108" s="346"/>
      <c r="S108" s="346"/>
      <c r="T108" s="346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6"/>
      <c r="R109" s="346"/>
      <c r="S109" s="346"/>
      <c r="T109" s="346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6"/>
      <c r="R110" s="346"/>
      <c r="S110" s="346"/>
      <c r="T110" s="346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6"/>
      <c r="R111" s="346"/>
      <c r="S111" s="346"/>
      <c r="T111" s="346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7"/>
      <c r="R112" s="347"/>
      <c r="S112" s="347"/>
      <c r="T112" s="347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7"/>
      <c r="R113" s="347"/>
      <c r="S113" s="347"/>
      <c r="T113" s="347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7"/>
      <c r="R114" s="347"/>
      <c r="S114" s="347"/>
      <c r="T114" s="347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7"/>
      <c r="R115" s="347"/>
      <c r="S115" s="347"/>
      <c r="T115" s="347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9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7"/>
      <c r="R116" s="347"/>
      <c r="S116" s="347"/>
      <c r="T116" s="347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50">
        <v>42401</v>
      </c>
      <c r="C117" s="251">
        <v>1939.38</v>
      </c>
      <c r="D117" s="175">
        <f t="shared" si="22"/>
        <v>-4.4324413474616542E-4</v>
      </c>
      <c r="E117" s="252">
        <f t="shared" si="33"/>
        <v>-7.755750461368692E-2</v>
      </c>
      <c r="F117" s="253">
        <v>4620.3599999999997</v>
      </c>
      <c r="G117" s="175">
        <f t="shared" si="20"/>
        <v>1.3892651632548803E-3</v>
      </c>
      <c r="H117" s="254">
        <f t="shared" si="32"/>
        <v>-9.2570261405817339E-2</v>
      </c>
      <c r="I117" s="255">
        <v>271687.27</v>
      </c>
      <c r="J117" s="256">
        <v>400000</v>
      </c>
      <c r="K117" s="256">
        <f t="shared" si="26"/>
        <v>-854.3399999999674</v>
      </c>
      <c r="L117" s="175">
        <f t="shared" si="23"/>
        <v>-3.1347139983504443E-3</v>
      </c>
      <c r="M117" s="257">
        <f t="shared" si="28"/>
        <v>-128312.72999999998</v>
      </c>
      <c r="N117" s="258">
        <f t="shared" si="29"/>
        <v>-0.32078182499999996</v>
      </c>
      <c r="O117" s="257" t="b">
        <f t="shared" si="27"/>
        <v>0</v>
      </c>
      <c r="P117" s="258">
        <f>COUNTIF(O$2:O117, TRUE)/(COUNTIF(O$2:O117,FALSE) + COUNTIF(O$2:O117, TRUE))</f>
        <v>0.44827586206896552</v>
      </c>
      <c r="Q117" s="348"/>
      <c r="R117" s="348"/>
      <c r="S117" s="348"/>
      <c r="T117" s="348"/>
      <c r="U117" s="258">
        <f>STDEV(D$2:D117)*SQRT(252)</f>
        <v>0.20677720896061949</v>
      </c>
      <c r="V117" s="258">
        <f>STDEV(L$2:L117)*SQRT(252)</f>
        <v>0.37500277790793834</v>
      </c>
    </row>
    <row r="118" spans="2:22" ht="20.100000000000001" customHeight="1" x14ac:dyDescent="0.25">
      <c r="B118" s="250">
        <v>42402</v>
      </c>
      <c r="C118" s="251">
        <v>1903.03</v>
      </c>
      <c r="D118" s="175">
        <f t="shared" si="22"/>
        <v>-1.8743103466056232E-2</v>
      </c>
      <c r="E118" s="252">
        <f t="shared" si="33"/>
        <v>-9.484693974619969E-2</v>
      </c>
      <c r="F118" s="253">
        <v>4516.9399999999996</v>
      </c>
      <c r="G118" s="175">
        <f t="shared" si="20"/>
        <v>-2.2383537213550478E-2</v>
      </c>
      <c r="H118" s="254">
        <f t="shared" si="32"/>
        <v>-0.11288174872832261</v>
      </c>
      <c r="I118" s="255">
        <v>258167.62</v>
      </c>
      <c r="J118" s="256">
        <v>400000</v>
      </c>
      <c r="K118" s="256">
        <f t="shared" si="26"/>
        <v>-13519.650000000023</v>
      </c>
      <c r="L118" s="175">
        <f t="shared" si="23"/>
        <v>-4.9761808862078899E-2</v>
      </c>
      <c r="M118" s="257">
        <f t="shared" si="28"/>
        <v>-141832.38</v>
      </c>
      <c r="N118" s="258">
        <f t="shared" si="29"/>
        <v>-0.35458095000000001</v>
      </c>
      <c r="O118" s="257" t="b">
        <f t="shared" si="27"/>
        <v>0</v>
      </c>
      <c r="P118" s="258">
        <f>COUNTIF(O$2:O118, TRUE)/(COUNTIF(O$2:O118,FALSE) + COUNTIF(O$2:O118, TRUE))</f>
        <v>0.44444444444444442</v>
      </c>
      <c r="Q118" s="348"/>
      <c r="R118" s="348"/>
      <c r="S118" s="348"/>
      <c r="T118" s="348"/>
      <c r="U118" s="258">
        <f>STDEV(D$2:D118)*SQRT(252)</f>
        <v>0.20760234411553996</v>
      </c>
      <c r="V118" s="258">
        <f>STDEV(L$2:L118)*SQRT(252)</f>
        <v>0.37987177172236325</v>
      </c>
    </row>
    <row r="119" spans="2:22" ht="20.100000000000001" customHeight="1" x14ac:dyDescent="0.25">
      <c r="B119" s="250">
        <v>42403</v>
      </c>
      <c r="C119" s="251">
        <v>1912.53</v>
      </c>
      <c r="D119" s="175">
        <f t="shared" si="22"/>
        <v>4.9920390114711801E-3</v>
      </c>
      <c r="E119" s="252">
        <f t="shared" si="33"/>
        <v>-9.0328380358060192E-2</v>
      </c>
      <c r="F119" s="253">
        <v>4504.2299999999996</v>
      </c>
      <c r="G119" s="175">
        <f t="shared" si="20"/>
        <v>-2.8138518554596779E-3</v>
      </c>
      <c r="H119" s="254">
        <f t="shared" si="32"/>
        <v>-0.11537796806567556</v>
      </c>
      <c r="I119" s="255">
        <v>270997.09999999998</v>
      </c>
      <c r="J119" s="256">
        <v>400000</v>
      </c>
      <c r="K119" s="256">
        <f t="shared" si="26"/>
        <v>12829.479999999981</v>
      </c>
      <c r="L119" s="175">
        <f t="shared" si="23"/>
        <v>4.9694380728303504E-2</v>
      </c>
      <c r="M119" s="257">
        <f t="shared" si="28"/>
        <v>-129002.90000000002</v>
      </c>
      <c r="N119" s="258">
        <f t="shared" si="29"/>
        <v>-0.32250725000000008</v>
      </c>
      <c r="O119" s="257" t="b">
        <f t="shared" si="27"/>
        <v>1</v>
      </c>
      <c r="P119" s="258">
        <f>COUNTIF(O$2:O119, TRUE)/(COUNTIF(O$2:O119,FALSE) + COUNTIF(O$2:O119, TRUE))</f>
        <v>0.44915254237288138</v>
      </c>
      <c r="Q119" s="348"/>
      <c r="R119" s="348"/>
      <c r="S119" s="348"/>
      <c r="T119" s="348"/>
      <c r="U119" s="258">
        <f>STDEV(D$2:D119)*SQRT(252)</f>
        <v>0.20687869960829744</v>
      </c>
      <c r="V119" s="258">
        <f>STDEV(L$2:L119)*SQRT(252)</f>
        <v>0.38596402182857842</v>
      </c>
    </row>
    <row r="120" spans="2:22" ht="20.100000000000001" customHeight="1" x14ac:dyDescent="0.25">
      <c r="B120" s="250">
        <v>42404</v>
      </c>
      <c r="C120" s="251">
        <v>1915.45</v>
      </c>
      <c r="D120" s="175">
        <f t="shared" si="22"/>
        <v>1.5267734362337181E-3</v>
      </c>
      <c r="E120" s="252">
        <f t="shared" si="33"/>
        <v>-8.8939517893495176E-2</v>
      </c>
      <c r="F120" s="253">
        <v>4509.55</v>
      </c>
      <c r="G120" s="175">
        <f t="shared" si="20"/>
        <v>1.1811119769640137E-3</v>
      </c>
      <c r="H120" s="254">
        <f t="shared" si="32"/>
        <v>-0.1143331303886717</v>
      </c>
      <c r="I120" s="255">
        <v>272162.3</v>
      </c>
      <c r="J120" s="256">
        <v>400000</v>
      </c>
      <c r="K120" s="256">
        <f t="shared" ref="K120:K151" si="34">I120-I119-J120+J119</f>
        <v>1165.2000000000116</v>
      </c>
      <c r="L120" s="175">
        <f t="shared" si="23"/>
        <v>4.2996770076137777E-3</v>
      </c>
      <c r="M120" s="257">
        <f t="shared" si="28"/>
        <v>-127837.70000000001</v>
      </c>
      <c r="N120" s="258">
        <f t="shared" si="29"/>
        <v>-0.31959425000000002</v>
      </c>
      <c r="O120" s="257" t="b">
        <f t="shared" si="27"/>
        <v>1</v>
      </c>
      <c r="P120" s="258">
        <f>COUNTIF(O$2:O120, TRUE)/(COUNTIF(O$2:O120,FALSE) + COUNTIF(O$2:O120, TRUE))</f>
        <v>0.45378151260504201</v>
      </c>
      <c r="Q120" s="348"/>
      <c r="R120" s="348"/>
      <c r="S120" s="348"/>
      <c r="T120" s="348"/>
      <c r="U120" s="258">
        <f>STDEV(D$2:D120)*SQRT(252)</f>
        <v>0.20601897567851155</v>
      </c>
      <c r="V120" s="258">
        <f>STDEV(L$2:L120)*SQRT(252)</f>
        <v>0.38442983265447928</v>
      </c>
    </row>
    <row r="121" spans="2:22" ht="20.100000000000001" customHeight="1" x14ac:dyDescent="0.25">
      <c r="B121" s="250">
        <v>42405</v>
      </c>
      <c r="C121" s="251">
        <v>1880.02</v>
      </c>
      <c r="D121" s="175">
        <f t="shared" si="22"/>
        <v>-1.8496958939152711E-2</v>
      </c>
      <c r="E121" s="252">
        <f t="shared" si="33"/>
        <v>-0.10579136622210387</v>
      </c>
      <c r="F121" s="253">
        <v>4363.1400000000003</v>
      </c>
      <c r="G121" s="175">
        <f t="shared" si="20"/>
        <v>-3.2466654100741725E-2</v>
      </c>
      <c r="H121" s="254">
        <f t="shared" si="32"/>
        <v>-0.1430877702928294</v>
      </c>
      <c r="I121" s="255">
        <v>257957.43</v>
      </c>
      <c r="J121" s="256">
        <v>400000</v>
      </c>
      <c r="K121" s="256">
        <f t="shared" si="34"/>
        <v>-14204.869999999995</v>
      </c>
      <c r="L121" s="175">
        <f t="shared" si="23"/>
        <v>-5.2192643874629206E-2</v>
      </c>
      <c r="M121" s="257">
        <f t="shared" si="28"/>
        <v>-142042.57</v>
      </c>
      <c r="N121" s="258">
        <f t="shared" si="29"/>
        <v>-0.355106425</v>
      </c>
      <c r="O121" s="257" t="b">
        <f t="shared" si="27"/>
        <v>0</v>
      </c>
      <c r="P121" s="258">
        <f>COUNTIF(O$2:O121, TRUE)/(COUNTIF(O$2:O121,FALSE) + COUNTIF(O$2:O121, TRUE))</f>
        <v>0.45</v>
      </c>
      <c r="Q121" s="348"/>
      <c r="R121" s="348"/>
      <c r="S121" s="348"/>
      <c r="T121" s="348"/>
      <c r="U121" s="258">
        <f>STDEV(D$2:D121)*SQRT(252)</f>
        <v>0.20677147424628983</v>
      </c>
      <c r="V121" s="258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7"/>
      <c r="R122" s="347"/>
      <c r="S122" s="347"/>
      <c r="T122" s="347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7"/>
      <c r="R123" s="347"/>
      <c r="S123" s="347"/>
      <c r="T123" s="347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7"/>
      <c r="R124" s="347"/>
      <c r="S124" s="347"/>
      <c r="T124" s="347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7"/>
      <c r="R125" s="347"/>
      <c r="S125" s="347"/>
      <c r="T125" s="347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7"/>
      <c r="R126" s="347"/>
      <c r="S126" s="347"/>
      <c r="T126" s="347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50">
        <v>42416</v>
      </c>
      <c r="C127" s="251">
        <v>1895.58</v>
      </c>
      <c r="D127" s="175">
        <f t="shared" si="22"/>
        <v>1.651669365823312E-2</v>
      </c>
      <c r="E127" s="252">
        <f>(C127-$C$2)/$C$2</f>
        <v>-9.8390441582161731E-2</v>
      </c>
      <c r="F127" s="253">
        <v>4435.96</v>
      </c>
      <c r="G127" s="175">
        <f t="shared" si="20"/>
        <v>2.2697354011863905E-2</v>
      </c>
      <c r="H127" s="254">
        <f t="shared" si="35"/>
        <v>-0.12878606359369166</v>
      </c>
      <c r="I127" s="255">
        <v>243663.46</v>
      </c>
      <c r="J127" s="256">
        <v>400000</v>
      </c>
      <c r="K127" s="256">
        <f t="shared" si="34"/>
        <v>6673.6300000000047</v>
      </c>
      <c r="L127" s="175">
        <f t="shared" si="23"/>
        <v>2.8159984755463999E-2</v>
      </c>
      <c r="M127" s="257">
        <f t="shared" si="37"/>
        <v>-156336.54</v>
      </c>
      <c r="N127" s="258">
        <f t="shared" si="38"/>
        <v>-0.39084135000000003</v>
      </c>
      <c r="O127" s="257" t="b">
        <f t="shared" si="36"/>
        <v>1</v>
      </c>
      <c r="P127" s="258">
        <f>COUNTIF(O$2:O127, TRUE)/(COUNTIF(O$2:O127,FALSE) + COUNTIF(O$2:O127, TRUE))</f>
        <v>0.44444444444444442</v>
      </c>
      <c r="Q127" s="348"/>
      <c r="R127" s="348"/>
      <c r="S127" s="348"/>
      <c r="T127" s="348"/>
      <c r="U127" s="258">
        <f>STDEV(D$2:D127)*SQRT(252)</f>
        <v>0.2067973574201509</v>
      </c>
      <c r="V127" s="258">
        <f>STDEV(L$2:L127)*SQRT(252)</f>
        <v>0.39373317711022293</v>
      </c>
    </row>
    <row r="128" spans="2:22" ht="20.100000000000001" customHeight="1" x14ac:dyDescent="0.25">
      <c r="B128" s="250">
        <v>42417</v>
      </c>
      <c r="C128" s="251">
        <v>1926.82</v>
      </c>
      <c r="D128" s="175">
        <f t="shared" si="22"/>
        <v>1.648044398020659E-2</v>
      </c>
      <c r="E128" s="252">
        <f t="shared" ref="E128:E133" si="39">(C128-$C$2)/$C$2</f>
        <v>-8.3531515762637745E-2</v>
      </c>
      <c r="F128" s="253">
        <v>4534.0600000000004</v>
      </c>
      <c r="G128" s="175">
        <f t="shared" si="20"/>
        <v>2.2114716994743044E-2</v>
      </c>
      <c r="H128" s="254">
        <f t="shared" ref="H128:H141" si="40">(F128-F$2)/F$2</f>
        <v>-0.10951941394819008</v>
      </c>
      <c r="I128" s="255">
        <v>249365.31</v>
      </c>
      <c r="J128" s="256">
        <v>400000</v>
      </c>
      <c r="K128" s="256">
        <f t="shared" si="34"/>
        <v>5701.8499999999767</v>
      </c>
      <c r="L128" s="175">
        <f t="shared" si="23"/>
        <v>2.3400513150391843E-2</v>
      </c>
      <c r="M128" s="257">
        <f t="shared" si="37"/>
        <v>-150634.69</v>
      </c>
      <c r="N128" s="258">
        <f t="shared" si="38"/>
        <v>-0.37658672500000001</v>
      </c>
      <c r="O128" s="257" t="b">
        <f t="shared" si="36"/>
        <v>1</v>
      </c>
      <c r="P128" s="258">
        <f>COUNTIF(O$2:O128, TRUE)/(COUNTIF(O$2:O128,FALSE) + COUNTIF(O$2:O128, TRUE))</f>
        <v>0.44881889763779526</v>
      </c>
      <c r="Q128" s="348"/>
      <c r="R128" s="348"/>
      <c r="S128" s="348"/>
      <c r="T128" s="348"/>
      <c r="U128" s="258">
        <f>STDEV(D$2:D128)*SQRT(252)</f>
        <v>0.20740391827467</v>
      </c>
      <c r="V128" s="258">
        <f>STDEV(L$2:L128)*SQRT(252)</f>
        <v>0.39391671411506929</v>
      </c>
    </row>
    <row r="129" spans="1:22" ht="20.100000000000001" customHeight="1" x14ac:dyDescent="0.25">
      <c r="B129" s="250">
        <v>42418</v>
      </c>
      <c r="C129" s="251">
        <v>1917.83</v>
      </c>
      <c r="D129" s="175">
        <f t="shared" si="22"/>
        <v>-4.6657186452289312E-3</v>
      </c>
      <c r="E129" s="252">
        <f t="shared" si="39"/>
        <v>-8.7807499857308707E-2</v>
      </c>
      <c r="F129" s="253">
        <v>4487.53</v>
      </c>
      <c r="G129" s="175">
        <f t="shared" si="20"/>
        <v>-1.0262325597808731E-2</v>
      </c>
      <c r="H129" s="254">
        <f t="shared" si="40"/>
        <v>-0.11865781566078129</v>
      </c>
      <c r="I129" s="255">
        <v>241680.12</v>
      </c>
      <c r="J129" s="256">
        <v>400000</v>
      </c>
      <c r="K129" s="256">
        <f t="shared" si="34"/>
        <v>-7685.1900000000023</v>
      </c>
      <c r="L129" s="175">
        <f t="shared" si="23"/>
        <v>-3.0819002049643562E-2</v>
      </c>
      <c r="M129" s="257">
        <f t="shared" si="37"/>
        <v>-158319.88</v>
      </c>
      <c r="N129" s="258">
        <f t="shared" si="38"/>
        <v>-0.39579970000000003</v>
      </c>
      <c r="O129" s="257" t="b">
        <f t="shared" si="36"/>
        <v>0</v>
      </c>
      <c r="P129" s="258">
        <f>COUNTIF(O$2:O129, TRUE)/(COUNTIF(O$2:O129,FALSE) + COUNTIF(O$2:O129, TRUE))</f>
        <v>0.4453125</v>
      </c>
      <c r="Q129" s="348"/>
      <c r="R129" s="348"/>
      <c r="S129" s="348"/>
      <c r="T129" s="348"/>
      <c r="U129" s="258">
        <f>STDEV(D$2:D129)*SQRT(252)</f>
        <v>0.20665833739123632</v>
      </c>
      <c r="V129" s="258">
        <f>STDEV(L$2:L129)*SQRT(252)</f>
        <v>0.39434419152440775</v>
      </c>
    </row>
    <row r="130" spans="1:22" ht="20.100000000000001" customHeight="1" x14ac:dyDescent="0.25">
      <c r="B130" s="250">
        <v>42419</v>
      </c>
      <c r="C130" s="251">
        <v>1917.78</v>
      </c>
      <c r="D130" s="175">
        <f t="shared" si="22"/>
        <v>-2.6071132477828863E-5</v>
      </c>
      <c r="E130" s="252">
        <f t="shared" si="39"/>
        <v>-8.7831281748825207E-2</v>
      </c>
      <c r="F130" s="253">
        <v>4504.43</v>
      </c>
      <c r="G130" s="175">
        <f t="shared" si="20"/>
        <v>3.7659915365469529E-3</v>
      </c>
      <c r="H130" s="254">
        <f t="shared" si="40"/>
        <v>-0.11533868845375798</v>
      </c>
      <c r="I130" s="255">
        <v>236145.17</v>
      </c>
      <c r="J130" s="256">
        <v>400000</v>
      </c>
      <c r="K130" s="256">
        <f t="shared" si="34"/>
        <v>-5534.9499999999534</v>
      </c>
      <c r="L130" s="175">
        <f t="shared" si="23"/>
        <v>-2.290196645052954E-2</v>
      </c>
      <c r="M130" s="257">
        <f t="shared" si="37"/>
        <v>-163854.82999999999</v>
      </c>
      <c r="N130" s="258">
        <f t="shared" si="38"/>
        <v>-0.40963707499999996</v>
      </c>
      <c r="O130" s="257" t="b">
        <f t="shared" si="36"/>
        <v>0</v>
      </c>
      <c r="P130" s="258">
        <f>COUNTIF(O$2:O130, TRUE)/(COUNTIF(O$2:O130,FALSE) + COUNTIF(O$2:O130, TRUE))</f>
        <v>0.44186046511627908</v>
      </c>
      <c r="Q130" s="348"/>
      <c r="R130" s="348"/>
      <c r="S130" s="348"/>
      <c r="T130" s="348"/>
      <c r="U130" s="258">
        <f>STDEV(D$2:D130)*SQRT(252)</f>
        <v>0.20584491170892685</v>
      </c>
      <c r="V130" s="258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7"/>
      <c r="R131" s="347"/>
      <c r="S131" s="347"/>
      <c r="T131" s="347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7"/>
      <c r="R132" s="347"/>
      <c r="S132" s="347"/>
      <c r="T132" s="347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7"/>
      <c r="R133" s="347"/>
      <c r="S133" s="347"/>
      <c r="T133" s="347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7"/>
      <c r="R134" s="347"/>
      <c r="S134" s="347"/>
      <c r="T134" s="347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7"/>
      <c r="R135" s="347"/>
      <c r="S135" s="347"/>
      <c r="T135" s="347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50">
        <v>42429</v>
      </c>
      <c r="C136" s="251">
        <v>1932.23</v>
      </c>
      <c r="D136" s="175">
        <f t="shared" si="43"/>
        <v>-8.1209414542747545E-3</v>
      </c>
      <c r="E136" s="252">
        <f t="shared" si="44"/>
        <v>-8.0958315100549849E-2</v>
      </c>
      <c r="F136" s="253">
        <v>4557.95</v>
      </c>
      <c r="G136" s="175">
        <f t="shared" si="41"/>
        <v>-7.0842419185835953E-3</v>
      </c>
      <c r="H136" s="254">
        <f t="shared" si="40"/>
        <v>-0.10482746430465267</v>
      </c>
      <c r="I136" s="428">
        <v>254134.09</v>
      </c>
      <c r="J136" s="256">
        <v>400000</v>
      </c>
      <c r="K136" s="256">
        <f t="shared" si="34"/>
        <v>2217.4199999999837</v>
      </c>
      <c r="L136" s="175">
        <f t="shared" si="42"/>
        <v>8.8021963770797042E-3</v>
      </c>
      <c r="M136" s="257">
        <f t="shared" si="37"/>
        <v>-145865.91</v>
      </c>
      <c r="N136" s="258">
        <f t="shared" si="38"/>
        <v>-0.364664775</v>
      </c>
      <c r="O136" s="257" t="b">
        <f t="shared" si="36"/>
        <v>1</v>
      </c>
      <c r="P136" s="258">
        <f>COUNTIF(O$2:O136, TRUE)/(COUNTIF(O$2:O136,FALSE) + COUNTIF(O$2:O136, TRUE))</f>
        <v>0.45185185185185184</v>
      </c>
      <c r="Q136" s="348"/>
      <c r="R136" s="348"/>
      <c r="S136" s="348"/>
      <c r="T136" s="348"/>
      <c r="U136" s="258">
        <f>STDEV(D$2:D136)*SQRT(252)</f>
        <v>0.20392331073233147</v>
      </c>
      <c r="V136" s="258">
        <f>STDEV(L$2:L136)*SQRT(252)</f>
        <v>0.39919785402030938</v>
      </c>
    </row>
    <row r="137" spans="1:22" ht="20.100000000000001" customHeight="1" x14ac:dyDescent="0.25">
      <c r="B137" s="250">
        <v>42430</v>
      </c>
      <c r="C137" s="251">
        <v>1978.35</v>
      </c>
      <c r="D137" s="175">
        <f t="shared" si="43"/>
        <v>2.3868794087660315E-2</v>
      </c>
      <c r="E137" s="252">
        <f t="shared" si="44"/>
        <v>-5.9021898365708481E-2</v>
      </c>
      <c r="F137" s="253">
        <v>4689.59</v>
      </c>
      <c r="G137" s="175">
        <f t="shared" si="41"/>
        <v>2.8881405017606672E-2</v>
      </c>
      <c r="H137" s="254">
        <f t="shared" si="40"/>
        <v>-7.8973623740597382E-2</v>
      </c>
      <c r="I137" s="255">
        <v>256289.63</v>
      </c>
      <c r="J137" s="256">
        <v>400000</v>
      </c>
      <c r="K137" s="256">
        <f t="shared" si="34"/>
        <v>2155.5400000000373</v>
      </c>
      <c r="L137" s="175">
        <f t="shared" si="42"/>
        <v>8.4819002440799547E-3</v>
      </c>
      <c r="M137" s="257">
        <f t="shared" si="37"/>
        <v>-143710.37</v>
      </c>
      <c r="N137" s="258">
        <f t="shared" si="38"/>
        <v>-0.359275925</v>
      </c>
      <c r="O137" s="257" t="b">
        <f t="shared" si="36"/>
        <v>0</v>
      </c>
      <c r="P137" s="258">
        <f>COUNTIF(O$2:O137, TRUE)/(COUNTIF(O$2:O137,FALSE) + COUNTIF(O$2:O137, TRUE))</f>
        <v>0.4485294117647059</v>
      </c>
      <c r="Q137" s="348"/>
      <c r="R137" s="348"/>
      <c r="S137" s="348"/>
      <c r="T137" s="348"/>
      <c r="U137" s="258">
        <f>STDEV(D$2:D137)*SQRT(252)</f>
        <v>0.205881606235845</v>
      </c>
      <c r="V137" s="258">
        <f>STDEV(L$2:L137)*SQRT(252)</f>
        <v>0.39798205719407453</v>
      </c>
    </row>
    <row r="138" spans="1:22" ht="20.100000000000001" customHeight="1" x14ac:dyDescent="0.25">
      <c r="B138" s="250">
        <v>42431</v>
      </c>
      <c r="C138" s="342">
        <v>1986.4749999999999</v>
      </c>
      <c r="D138" s="175">
        <f t="shared" si="43"/>
        <v>4.1069578183840069E-3</v>
      </c>
      <c r="E138" s="252">
        <f t="shared" si="44"/>
        <v>-5.5157340994273385E-2</v>
      </c>
      <c r="F138" s="253">
        <v>4703.42</v>
      </c>
      <c r="G138" s="175">
        <f t="shared" si="41"/>
        <v>2.9490851012561711E-3</v>
      </c>
      <c r="H138" s="254">
        <f t="shared" si="40"/>
        <v>-7.6257438576506811E-2</v>
      </c>
      <c r="I138" s="255">
        <v>273591.05</v>
      </c>
      <c r="J138" s="256">
        <v>400000</v>
      </c>
      <c r="K138" s="256">
        <f t="shared" si="34"/>
        <v>17301.419999999984</v>
      </c>
      <c r="L138" s="175">
        <f t="shared" si="42"/>
        <v>6.7507296335009667E-2</v>
      </c>
      <c r="M138" s="257">
        <f t="shared" si="37"/>
        <v>-126408.95000000001</v>
      </c>
      <c r="N138" s="258">
        <f t="shared" si="38"/>
        <v>-0.31602237500000002</v>
      </c>
      <c r="O138" s="257" t="b">
        <f t="shared" si="36"/>
        <v>1</v>
      </c>
      <c r="P138" s="258">
        <f>COUNTIF(O$2:O138, TRUE)/(COUNTIF(O$2:O138,FALSE) + COUNTIF(O$2:O138, TRUE))</f>
        <v>0.45255474452554745</v>
      </c>
      <c r="Q138" s="348"/>
      <c r="R138" s="348"/>
      <c r="S138" s="348"/>
      <c r="T138" s="348"/>
      <c r="U138" s="258">
        <f>STDEV(D$2:D138)*SQRT(252)</f>
        <v>0.20520805198323436</v>
      </c>
      <c r="V138" s="258">
        <f>STDEV(L$2:L138)*SQRT(252)</f>
        <v>0.40773104370834762</v>
      </c>
    </row>
    <row r="139" spans="1:22" ht="20.100000000000001" customHeight="1" x14ac:dyDescent="0.25">
      <c r="B139" s="250">
        <v>42432</v>
      </c>
      <c r="C139" s="342">
        <v>1993.4</v>
      </c>
      <c r="D139" s="175">
        <f t="shared" si="43"/>
        <v>3.4860745793428975E-3</v>
      </c>
      <c r="E139" s="252">
        <f t="shared" si="44"/>
        <v>-5.1863549019234775E-2</v>
      </c>
      <c r="F139" s="253">
        <v>4707.42</v>
      </c>
      <c r="G139" s="175">
        <f t="shared" si="41"/>
        <v>8.5044499534381367E-4</v>
      </c>
      <c r="H139" s="254">
        <f t="shared" si="40"/>
        <v>-7.5471846338158136E-2</v>
      </c>
      <c r="I139" s="255">
        <v>284465.09999999998</v>
      </c>
      <c r="J139" s="256">
        <v>400000</v>
      </c>
      <c r="K139" s="256">
        <f t="shared" si="34"/>
        <v>10874.049999999988</v>
      </c>
      <c r="L139" s="175">
        <f t="shared" si="42"/>
        <v>3.9745634954067355E-2</v>
      </c>
      <c r="M139" s="257">
        <f t="shared" si="37"/>
        <v>-115534.90000000002</v>
      </c>
      <c r="N139" s="258">
        <f t="shared" si="38"/>
        <v>-0.28883725000000005</v>
      </c>
      <c r="O139" s="257" t="b">
        <f t="shared" si="36"/>
        <v>1</v>
      </c>
      <c r="P139" s="258">
        <f>COUNTIF(O$2:O139, TRUE)/(COUNTIF(O$2:O139,FALSE) + COUNTIF(O$2:O139, TRUE))</f>
        <v>0.45652173913043476</v>
      </c>
      <c r="Q139" s="348"/>
      <c r="R139" s="348"/>
      <c r="S139" s="348"/>
      <c r="T139" s="348"/>
      <c r="U139" s="258">
        <f>STDEV(D$2:D139)*SQRT(252)</f>
        <v>0.20451785527923064</v>
      </c>
      <c r="V139" s="258">
        <f>STDEV(L$2:L139)*SQRT(252)</f>
        <v>0.41011498593156359</v>
      </c>
    </row>
    <row r="140" spans="1:22" ht="20.100000000000001" customHeight="1" x14ac:dyDescent="0.25">
      <c r="B140" s="250">
        <v>42433</v>
      </c>
      <c r="C140" s="251">
        <v>1999.99</v>
      </c>
      <c r="D140" s="175">
        <f t="shared" si="43"/>
        <v>3.3059095013544286E-3</v>
      </c>
      <c r="E140" s="252">
        <f t="shared" ref="E140:E171" si="45">(C140-$C$2)/$C$2</f>
        <v>-4.8729095717356993E-2</v>
      </c>
      <c r="F140" s="253">
        <v>4717.0200000000004</v>
      </c>
      <c r="G140" s="175">
        <f t="shared" si="41"/>
        <v>2.0393336477306811E-3</v>
      </c>
      <c r="H140" s="254">
        <f t="shared" si="40"/>
        <v>-7.3586424966121222E-2</v>
      </c>
      <c r="I140" s="255">
        <v>295168.58</v>
      </c>
      <c r="J140" s="256">
        <v>400000</v>
      </c>
      <c r="K140" s="256">
        <f t="shared" si="34"/>
        <v>10703.48000000004</v>
      </c>
      <c r="L140" s="175">
        <f t="shared" si="42"/>
        <v>3.7626689530631495E-2</v>
      </c>
      <c r="M140" s="257">
        <f t="shared" si="37"/>
        <v>-104831.41999999998</v>
      </c>
      <c r="N140" s="258">
        <f t="shared" si="38"/>
        <v>-0.26207854999999997</v>
      </c>
      <c r="O140" s="257" t="b">
        <f t="shared" si="36"/>
        <v>1</v>
      </c>
      <c r="P140" s="258">
        <f>COUNTIF(O$2:O140, TRUE)/(COUNTIF(O$2:O140,FALSE) + COUNTIF(O$2:O140, TRUE))</f>
        <v>0.46043165467625902</v>
      </c>
      <c r="Q140" s="348"/>
      <c r="R140" s="348"/>
      <c r="S140" s="348"/>
      <c r="T140" s="348"/>
      <c r="U140" s="258">
        <f>STDEV(D$2:D140)*SQRT(252)</f>
        <v>0.20382852547723848</v>
      </c>
      <c r="V140" s="258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7"/>
      <c r="R141" s="347"/>
      <c r="S141" s="347"/>
      <c r="T141" s="347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7"/>
      <c r="R142" s="347"/>
      <c r="S142" s="347"/>
      <c r="T142" s="347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7"/>
      <c r="R143" s="347"/>
      <c r="S143" s="347"/>
      <c r="T143" s="347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7"/>
      <c r="R144" s="347"/>
      <c r="S144" s="347"/>
      <c r="T144" s="347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7"/>
      <c r="R145" s="347"/>
      <c r="S145" s="347"/>
      <c r="T145" s="347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50">
        <v>42443</v>
      </c>
      <c r="C146" s="251">
        <v>2019.64</v>
      </c>
      <c r="D146" s="175">
        <f t="shared" si="43"/>
        <v>-1.261009103991195E-3</v>
      </c>
      <c r="E146" s="252">
        <f t="shared" si="45"/>
        <v>-3.9382812351363157E-2</v>
      </c>
      <c r="F146" s="253">
        <v>4750.28</v>
      </c>
      <c r="G146" s="175">
        <f t="shared" si="41"/>
        <v>3.8117541018464697E-4</v>
      </c>
      <c r="H146" s="254">
        <f t="shared" si="46"/>
        <v>-6.7054225504252038E-2</v>
      </c>
      <c r="I146" s="255">
        <v>295383.49</v>
      </c>
      <c r="J146" s="256">
        <v>400000</v>
      </c>
      <c r="K146" s="256">
        <f t="shared" si="34"/>
        <v>-2145.7600000000093</v>
      </c>
      <c r="L146" s="175">
        <f t="shared" si="42"/>
        <v>-7.2119295833939327E-3</v>
      </c>
      <c r="M146" s="257">
        <f t="shared" si="37"/>
        <v>-104616.51000000001</v>
      </c>
      <c r="N146" s="258">
        <f t="shared" si="38"/>
        <v>-0.26154127500000002</v>
      </c>
      <c r="O146" s="257" t="b">
        <f t="shared" si="36"/>
        <v>0</v>
      </c>
      <c r="P146" s="258">
        <f>COUNTIF(O$2:O146, TRUE)/(COUNTIF(O$2:O146,FALSE) + COUNTIF(O$2:O146, TRUE))</f>
        <v>0.46206896551724136</v>
      </c>
      <c r="Q146" s="256"/>
      <c r="R146" s="256"/>
      <c r="S146" s="256"/>
      <c r="T146" s="256"/>
      <c r="U146" s="258">
        <f>STDEV(D$2:D146)*SQRT(252)</f>
        <v>0.20138882204680125</v>
      </c>
      <c r="V146" s="258">
        <f>STDEV(L$2:L146)*SQRT(252)</f>
        <v>0.41305007987980863</v>
      </c>
    </row>
    <row r="147" spans="2:22" ht="20.100000000000001" customHeight="1" x14ac:dyDescent="0.25">
      <c r="B147" s="250">
        <v>42444</v>
      </c>
      <c r="C147" s="251">
        <v>2015.93</v>
      </c>
      <c r="D147" s="175">
        <f t="shared" si="43"/>
        <v>-1.8369610425620587E-3</v>
      </c>
      <c r="E147" s="252">
        <f t="shared" si="45"/>
        <v>-4.1147428701889227E-2</v>
      </c>
      <c r="F147" s="253">
        <v>4728.66</v>
      </c>
      <c r="G147" s="175">
        <f t="shared" si="41"/>
        <v>-4.5513106595821496E-3</v>
      </c>
      <c r="H147" s="254">
        <f t="shared" si="46"/>
        <v>-7.1300351552526661E-2</v>
      </c>
      <c r="I147" s="255">
        <v>295669.06</v>
      </c>
      <c r="J147" s="256">
        <v>400000</v>
      </c>
      <c r="K147" s="256">
        <f t="shared" si="34"/>
        <v>285.57000000000698</v>
      </c>
      <c r="L147" s="175">
        <f t="shared" si="42"/>
        <v>9.6677712082014809E-4</v>
      </c>
      <c r="M147" s="257">
        <f t="shared" si="37"/>
        <v>-104330.94</v>
      </c>
      <c r="N147" s="258">
        <f t="shared" si="38"/>
        <v>-0.26082735000000001</v>
      </c>
      <c r="O147" s="257" t="b">
        <f t="shared" si="36"/>
        <v>1</v>
      </c>
      <c r="P147" s="258">
        <f>COUNTIF(O$2:O147, TRUE)/(COUNTIF(O$2:O147,FALSE) + COUNTIF(O$2:O147, TRUE))</f>
        <v>0.46575342465753422</v>
      </c>
      <c r="Q147" s="256"/>
      <c r="R147" s="256"/>
      <c r="S147" s="256"/>
      <c r="T147" s="256"/>
      <c r="U147" s="258">
        <f>STDEV(D$2:D147)*SQRT(252)</f>
        <v>0.20069995386729664</v>
      </c>
      <c r="V147" s="258">
        <f>STDEV(L$2:L147)*SQRT(252)</f>
        <v>0.41162261053938765</v>
      </c>
    </row>
    <row r="148" spans="2:22" ht="20.100000000000001" customHeight="1" x14ac:dyDescent="0.25">
      <c r="B148" s="250">
        <v>42445</v>
      </c>
      <c r="C148" s="251">
        <v>2027.22</v>
      </c>
      <c r="D148" s="175">
        <f t="shared" si="43"/>
        <v>5.6003928707841853E-3</v>
      </c>
      <c r="E148" s="252">
        <f t="shared" si="45"/>
        <v>-3.5777477597458203E-2</v>
      </c>
      <c r="F148" s="253">
        <v>4763.97</v>
      </c>
      <c r="G148" s="175">
        <f t="shared" si="41"/>
        <v>7.467231731611154E-3</v>
      </c>
      <c r="H148" s="254">
        <f t="shared" si="46"/>
        <v>-6.4365536068503565E-2</v>
      </c>
      <c r="I148" s="255">
        <v>297622.03999999998</v>
      </c>
      <c r="J148" s="256">
        <v>400000</v>
      </c>
      <c r="K148" s="256">
        <f t="shared" si="34"/>
        <v>1952.9799999999814</v>
      </c>
      <c r="L148" s="175">
        <f t="shared" si="42"/>
        <v>6.6052903878409917E-3</v>
      </c>
      <c r="M148" s="257">
        <f t="shared" si="37"/>
        <v>-102377.96000000002</v>
      </c>
      <c r="N148" s="258">
        <f t="shared" si="38"/>
        <v>-0.25594490000000003</v>
      </c>
      <c r="O148" s="257" t="b">
        <f t="shared" si="36"/>
        <v>1</v>
      </c>
      <c r="P148" s="258">
        <f>COUNTIF(O$2:O148, TRUE)/(COUNTIF(O$2:O148,FALSE) + COUNTIF(O$2:O148, TRUE))</f>
        <v>0.46938775510204084</v>
      </c>
      <c r="Q148" s="256">
        <v>208116.46</v>
      </c>
      <c r="R148" s="256">
        <f t="shared" ref="R148:R153" si="47">I148-Q148</f>
        <v>89505.579999999987</v>
      </c>
      <c r="S148" s="256"/>
      <c r="T148" s="256"/>
      <c r="U148" s="258">
        <f>STDEV(D$2:D148)*SQRT(252)</f>
        <v>0.20015232316185677</v>
      </c>
      <c r="V148" s="258">
        <f>STDEV(L$2:L148)*SQRT(252)</f>
        <v>0.41032597832718526</v>
      </c>
    </row>
    <row r="149" spans="2:22" ht="20.100000000000001" customHeight="1" x14ac:dyDescent="0.25">
      <c r="B149" s="250">
        <v>42446</v>
      </c>
      <c r="C149" s="251">
        <v>2040.59</v>
      </c>
      <c r="D149" s="175">
        <f t="shared" si="43"/>
        <v>6.5952387999328593E-3</v>
      </c>
      <c r="E149" s="252">
        <f t="shared" si="45"/>
        <v>-2.9418199805939828E-2</v>
      </c>
      <c r="F149" s="253">
        <v>4774.9799999999996</v>
      </c>
      <c r="G149" s="175">
        <f t="shared" si="41"/>
        <v>2.3110976769373671E-3</v>
      </c>
      <c r="H149" s="254">
        <f t="shared" si="46"/>
        <v>-6.2203193432448942E-2</v>
      </c>
      <c r="I149" s="255">
        <v>298243.74</v>
      </c>
      <c r="J149" s="256">
        <v>400000</v>
      </c>
      <c r="K149" s="256">
        <f t="shared" si="34"/>
        <v>621.70000000001164</v>
      </c>
      <c r="L149" s="175">
        <f t="shared" si="42"/>
        <v>2.0888909974543946E-3</v>
      </c>
      <c r="M149" s="257">
        <f t="shared" si="37"/>
        <v>-101756.26000000001</v>
      </c>
      <c r="N149" s="258">
        <f t="shared" si="38"/>
        <v>-0.25439065</v>
      </c>
      <c r="O149" s="257" t="b">
        <f t="shared" si="36"/>
        <v>0</v>
      </c>
      <c r="P149" s="258">
        <f>COUNTIF(O$2:O149, TRUE)/(COUNTIF(O$2:O149,FALSE) + COUNTIF(O$2:O149, TRUE))</f>
        <v>0.46621621621621623</v>
      </c>
      <c r="Q149" s="256">
        <v>201345.75</v>
      </c>
      <c r="R149" s="256">
        <f t="shared" si="47"/>
        <v>96897.989999999991</v>
      </c>
      <c r="S149" s="256"/>
      <c r="T149" s="256"/>
      <c r="U149" s="258">
        <f>STDEV(D$2:D149)*SQRT(252)</f>
        <v>0.19966229894539708</v>
      </c>
      <c r="V149" s="258">
        <f>STDEV(L$2:L149)*SQRT(252)</f>
        <v>0.40893908230401166</v>
      </c>
    </row>
    <row r="150" spans="2:22" ht="20.100000000000001" customHeight="1" x14ac:dyDescent="0.25">
      <c r="B150" s="250">
        <v>42447</v>
      </c>
      <c r="C150" s="251">
        <v>2049.56</v>
      </c>
      <c r="D150" s="175">
        <f t="shared" si="43"/>
        <v>4.3957874928329688E-3</v>
      </c>
      <c r="E150" s="252">
        <f t="shared" si="45"/>
        <v>-2.5151728467875473E-2</v>
      </c>
      <c r="F150" s="253">
        <v>4795.6499999999996</v>
      </c>
      <c r="G150" s="175">
        <f t="shared" si="41"/>
        <v>4.3288139426762157E-3</v>
      </c>
      <c r="H150" s="254">
        <f t="shared" si="46"/>
        <v>-5.8143645540782093E-2</v>
      </c>
      <c r="I150" s="255">
        <v>302252.61</v>
      </c>
      <c r="J150" s="256">
        <v>400000</v>
      </c>
      <c r="K150" s="256">
        <f t="shared" si="34"/>
        <v>4008.8699999999953</v>
      </c>
      <c r="L150" s="175">
        <f t="shared" si="42"/>
        <v>1.3441589754742196E-2</v>
      </c>
      <c r="M150" s="257">
        <f t="shared" si="37"/>
        <v>-97747.390000000014</v>
      </c>
      <c r="N150" s="258">
        <f t="shared" si="38"/>
        <v>-0.24436847500000003</v>
      </c>
      <c r="O150" s="257" t="b">
        <f t="shared" si="36"/>
        <v>1</v>
      </c>
      <c r="P150" s="258">
        <f>COUNTIF(O$2:O150, TRUE)/(COUNTIF(O$2:O150,FALSE) + COUNTIF(O$2:O150, TRUE))</f>
        <v>0.46979865771812079</v>
      </c>
      <c r="Q150" s="256">
        <v>189023.24</v>
      </c>
      <c r="R150" s="256">
        <f t="shared" si="47"/>
        <v>113229.37</v>
      </c>
      <c r="S150" s="256"/>
      <c r="T150" s="256"/>
      <c r="U150" s="258">
        <f>STDEV(D$2:D150)*SQRT(252)</f>
        <v>0.19906941872329306</v>
      </c>
      <c r="V150" s="258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50">
        <v>42457</v>
      </c>
      <c r="C155" s="251">
        <v>2037.05</v>
      </c>
      <c r="D155" s="175">
        <f t="shared" si="43"/>
        <v>5.4520270734889045E-4</v>
      </c>
      <c r="E155" s="252">
        <f t="shared" si="45"/>
        <v>-3.1101957725309687E-2</v>
      </c>
      <c r="F155" s="253">
        <v>4766.78</v>
      </c>
      <c r="G155" s="175">
        <f t="shared" si="41"/>
        <v>-1.4077720749974348E-3</v>
      </c>
      <c r="H155" s="254">
        <f t="shared" si="46"/>
        <v>-6.3813657521063702E-2</v>
      </c>
      <c r="I155" s="255">
        <v>281306.2</v>
      </c>
      <c r="J155" s="256">
        <v>400000</v>
      </c>
      <c r="K155" s="256">
        <f t="shared" si="48"/>
        <v>-2297.789999999979</v>
      </c>
      <c r="L155" s="175">
        <f t="shared" si="42"/>
        <v>-8.1021074491934297E-3</v>
      </c>
      <c r="M155" s="257">
        <f t="shared" si="37"/>
        <v>-118693.79999999999</v>
      </c>
      <c r="N155" s="258">
        <f t="shared" si="38"/>
        <v>-0.29673449999999996</v>
      </c>
      <c r="O155" s="257" t="b">
        <f t="shared" ref="O155:O191" si="50">L155&gt;D155</f>
        <v>0</v>
      </c>
      <c r="P155" s="258">
        <f>COUNTIF(O$2:O155, TRUE)/(COUNTIF(O$2:O155,FALSE) + COUNTIF(O$2:O155, TRUE))</f>
        <v>0.46103896103896103</v>
      </c>
      <c r="Q155" s="256">
        <v>231480.83</v>
      </c>
      <c r="R155" s="256">
        <f t="shared" si="49"/>
        <v>49825.370000000024</v>
      </c>
      <c r="S155" s="256"/>
      <c r="T155" s="256"/>
      <c r="U155" s="258">
        <f>STDEV(D$2:D155)*SQRT(252)</f>
        <v>0.19602299974071929</v>
      </c>
      <c r="V155" s="258">
        <f>STDEV(L$2:L155)*SQRT(252)</f>
        <v>0.40827222780986738</v>
      </c>
    </row>
    <row r="156" spans="2:22" ht="20.100000000000001" customHeight="1" x14ac:dyDescent="0.25">
      <c r="B156" s="250">
        <v>42458</v>
      </c>
      <c r="C156" s="251">
        <v>2055.0100000000002</v>
      </c>
      <c r="D156" s="175">
        <f t="shared" si="43"/>
        <v>8.8166711666381598E-3</v>
      </c>
      <c r="E156" s="252">
        <f t="shared" si="45"/>
        <v>-2.2559502292574262E-2</v>
      </c>
      <c r="F156" s="253">
        <v>4846.62</v>
      </c>
      <c r="G156" s="175">
        <f t="shared" si="41"/>
        <v>1.6749252115683993E-2</v>
      </c>
      <c r="H156" s="254">
        <f t="shared" si="46"/>
        <v>-4.8133236443623925E-2</v>
      </c>
      <c r="I156" s="255">
        <v>285322.46999999997</v>
      </c>
      <c r="J156" s="256">
        <v>400000</v>
      </c>
      <c r="K156" s="256">
        <f t="shared" si="48"/>
        <v>4016.2699999999604</v>
      </c>
      <c r="L156" s="175">
        <f t="shared" si="42"/>
        <v>1.4277218205641967E-2</v>
      </c>
      <c r="M156" s="257">
        <f t="shared" si="37"/>
        <v>-114677.53000000003</v>
      </c>
      <c r="N156" s="258">
        <f t="shared" si="38"/>
        <v>-0.28669382500000007</v>
      </c>
      <c r="O156" s="257" t="b">
        <f t="shared" si="50"/>
        <v>1</v>
      </c>
      <c r="P156" s="258">
        <f>COUNTIF(O$2:O156, TRUE)/(COUNTIF(O$2:O156,FALSE) + COUNTIF(O$2:O156, TRUE))</f>
        <v>0.46451612903225808</v>
      </c>
      <c r="Q156" s="256">
        <v>235497.1</v>
      </c>
      <c r="R156" s="256">
        <f t="shared" si="49"/>
        <v>49825.369999999966</v>
      </c>
      <c r="S156" s="256"/>
      <c r="T156" s="256"/>
      <c r="U156" s="258">
        <f>STDEV(D$2:D156)*SQRT(252)</f>
        <v>0.19571630227727144</v>
      </c>
      <c r="V156" s="258">
        <f>STDEV(L$2:L156)*SQRT(252)</f>
        <v>0.4074274282139313</v>
      </c>
    </row>
    <row r="157" spans="2:22" ht="20.100000000000001" customHeight="1" x14ac:dyDescent="0.25">
      <c r="B157" s="250">
        <v>42459</v>
      </c>
      <c r="C157" s="251">
        <v>2063.9499999999998</v>
      </c>
      <c r="D157" s="175">
        <f t="shared" si="43"/>
        <v>4.3503437939472799E-3</v>
      </c>
      <c r="E157" s="252">
        <f t="shared" si="45"/>
        <v>-1.8307300089420026E-2</v>
      </c>
      <c r="F157" s="253">
        <v>4869.29</v>
      </c>
      <c r="G157" s="175">
        <f t="shared" si="41"/>
        <v>4.6774865782751845E-3</v>
      </c>
      <c r="H157" s="254">
        <f t="shared" si="46"/>
        <v>-4.3680892432782739E-2</v>
      </c>
      <c r="I157" s="255">
        <v>288126.49</v>
      </c>
      <c r="J157" s="256">
        <v>400000</v>
      </c>
      <c r="K157" s="256">
        <f t="shared" si="48"/>
        <v>2804.0200000000186</v>
      </c>
      <c r="L157" s="175">
        <f t="shared" si="42"/>
        <v>9.8275470557927635E-3</v>
      </c>
      <c r="M157" s="257">
        <f t="shared" si="37"/>
        <v>-111873.51000000001</v>
      </c>
      <c r="N157" s="258">
        <f t="shared" si="38"/>
        <v>-0.27968377500000002</v>
      </c>
      <c r="O157" s="257" t="b">
        <f t="shared" si="50"/>
        <v>1</v>
      </c>
      <c r="P157" s="258">
        <f>COUNTIF(O$2:O157, TRUE)/(COUNTIF(O$2:O157,FALSE) + COUNTIF(O$2:O157, TRUE))</f>
        <v>0.46794871794871795</v>
      </c>
      <c r="Q157" s="256">
        <v>216771.49</v>
      </c>
      <c r="R157" s="256">
        <f t="shared" si="49"/>
        <v>71355</v>
      </c>
      <c r="S157" s="256"/>
      <c r="T157" s="256"/>
      <c r="U157" s="258">
        <f>STDEV(D$2:D157)*SQRT(252)</f>
        <v>0.19516132328288105</v>
      </c>
      <c r="V157" s="258">
        <f>STDEV(L$2:L157)*SQRT(252)</f>
        <v>0.40634858436204313</v>
      </c>
    </row>
    <row r="158" spans="2:22" ht="20.100000000000001" customHeight="1" x14ac:dyDescent="0.25">
      <c r="B158" s="250">
        <v>42460</v>
      </c>
      <c r="C158" s="251">
        <v>2059.7399999999998</v>
      </c>
      <c r="D158" s="175">
        <f t="shared" si="43"/>
        <v>-2.0397780953996156E-3</v>
      </c>
      <c r="E158" s="252">
        <f t="shared" si="45"/>
        <v>-2.0309735355111335E-2</v>
      </c>
      <c r="F158" s="253">
        <v>4869.84</v>
      </c>
      <c r="G158" s="175">
        <f t="shared" si="41"/>
        <v>1.129528124223823E-4</v>
      </c>
      <c r="H158" s="254">
        <f t="shared" si="46"/>
        <v>-4.3572873500009754E-2</v>
      </c>
      <c r="I158" s="515">
        <v>295667.37</v>
      </c>
      <c r="J158" s="256">
        <v>400000</v>
      </c>
      <c r="K158" s="256">
        <f t="shared" si="48"/>
        <v>7540.8800000000047</v>
      </c>
      <c r="L158" s="175">
        <f t="shared" si="42"/>
        <v>2.6172116281290222E-2</v>
      </c>
      <c r="M158" s="257">
        <f t="shared" ref="M158:M191" si="51">I158-J158</f>
        <v>-104332.63</v>
      </c>
      <c r="N158" s="258">
        <f t="shared" ref="N158:N189" si="52">M158/J158</f>
        <v>-0.26083157500000004</v>
      </c>
      <c r="O158" s="257" t="b">
        <f t="shared" si="50"/>
        <v>1</v>
      </c>
      <c r="P158" s="258">
        <f>COUNTIF(O$2:O158, TRUE)/(COUNTIF(O$2:O158,FALSE) + COUNTIF(O$2:O158, TRUE))</f>
        <v>0.4713375796178344</v>
      </c>
      <c r="Q158" s="256">
        <v>202826.77</v>
      </c>
      <c r="R158" s="256">
        <f t="shared" si="49"/>
        <v>92840.6</v>
      </c>
      <c r="S158" s="256"/>
      <c r="T158" s="256"/>
      <c r="U158" s="258">
        <f>STDEV(D$2:D158)*SQRT(252)</f>
        <v>0.19454728889036682</v>
      </c>
      <c r="V158" s="258">
        <f>STDEV(L$2:L158)*SQRT(252)</f>
        <v>0.40652602523849884</v>
      </c>
    </row>
    <row r="159" spans="2:22" ht="20.100000000000001" customHeight="1" x14ac:dyDescent="0.25">
      <c r="B159" s="250">
        <v>42461</v>
      </c>
      <c r="C159" s="251">
        <v>2072.7800000000002</v>
      </c>
      <c r="D159" s="175">
        <f t="shared" si="43"/>
        <v>6.3308961325217843E-3</v>
      </c>
      <c r="E159" s="252">
        <f t="shared" si="45"/>
        <v>-1.4107418047601765E-2</v>
      </c>
      <c r="F159" s="253">
        <v>4914.54</v>
      </c>
      <c r="G159" s="175">
        <f t="shared" si="41"/>
        <v>9.1789463308855762E-3</v>
      </c>
      <c r="H159" s="254">
        <f t="shared" si="46"/>
        <v>-3.4793880236463237E-2</v>
      </c>
      <c r="I159" s="255">
        <v>293885.49</v>
      </c>
      <c r="J159" s="256">
        <v>400000</v>
      </c>
      <c r="K159" s="256">
        <f t="shared" si="48"/>
        <v>-1781.8800000000047</v>
      </c>
      <c r="L159" s="175">
        <f t="shared" si="42"/>
        <v>-6.026637298529103E-3</v>
      </c>
      <c r="M159" s="257">
        <f t="shared" si="51"/>
        <v>-106114.51000000001</v>
      </c>
      <c r="N159" s="258">
        <f t="shared" si="52"/>
        <v>-0.26528627500000002</v>
      </c>
      <c r="O159" s="257" t="b">
        <f t="shared" si="50"/>
        <v>0</v>
      </c>
      <c r="P159" s="258">
        <f>COUNTIF(O$2:O159, TRUE)/(COUNTIF(O$2:O159,FALSE) + COUNTIF(O$2:O159, TRUE))</f>
        <v>0.46835443037974683</v>
      </c>
      <c r="Q159" s="256">
        <v>199513.83</v>
      </c>
      <c r="R159" s="256">
        <f t="shared" si="49"/>
        <v>94371.66</v>
      </c>
      <c r="S159" s="256"/>
      <c r="T159" s="256"/>
      <c r="U159" s="258">
        <f>STDEV(D$2:D159)*SQRT(252)</f>
        <v>0.19409152607046717</v>
      </c>
      <c r="V159" s="258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50">
        <v>42471</v>
      </c>
      <c r="C165" s="251">
        <v>2041.99</v>
      </c>
      <c r="D165" s="175">
        <f t="shared" si="43"/>
        <v>-2.7397929283062613E-3</v>
      </c>
      <c r="E165" s="252">
        <f t="shared" si="45"/>
        <v>-2.8752306843477123E-2</v>
      </c>
      <c r="F165" s="253">
        <v>4833.3900000000003</v>
      </c>
      <c r="G165" s="175">
        <f t="shared" si="41"/>
        <v>-3.5665029098951436E-3</v>
      </c>
      <c r="H165" s="254">
        <f t="shared" si="46"/>
        <v>-5.0731582771962117E-2</v>
      </c>
      <c r="I165" s="255">
        <v>301374.21999999997</v>
      </c>
      <c r="J165" s="256">
        <v>400000</v>
      </c>
      <c r="K165" s="256">
        <f t="shared" si="48"/>
        <v>-2186.9500000000116</v>
      </c>
      <c r="L165" s="175">
        <f t="shared" si="42"/>
        <v>-7.2043140431960117E-3</v>
      </c>
      <c r="M165" s="257">
        <f t="shared" si="51"/>
        <v>-98625.780000000028</v>
      </c>
      <c r="N165" s="258">
        <f t="shared" si="52"/>
        <v>-0.24656445000000007</v>
      </c>
      <c r="O165" s="257" t="b">
        <f t="shared" si="50"/>
        <v>0</v>
      </c>
      <c r="P165" s="258">
        <f>COUNTIF(O$2:O165, TRUE)/(COUNTIF(O$2:O165,FALSE) + COUNTIF(O$2:O165, TRUE))</f>
        <v>0.47560975609756095</v>
      </c>
      <c r="Q165" s="256">
        <v>209823.35</v>
      </c>
      <c r="R165" s="256">
        <f t="shared" si="49"/>
        <v>91550.869999999966</v>
      </c>
      <c r="S165" s="256"/>
      <c r="T165" s="256"/>
      <c r="U165" s="258">
        <f>STDEV(D$2:D165)*SQRT(252)</f>
        <v>0.19201090434466217</v>
      </c>
      <c r="V165" s="258">
        <f>STDEV(L$2:L165)*SQRT(252)</f>
        <v>0.39984095752163645</v>
      </c>
    </row>
    <row r="166" spans="2:22" ht="20.100000000000001" customHeight="1" x14ac:dyDescent="0.25">
      <c r="B166" s="250">
        <v>42472</v>
      </c>
      <c r="C166" s="251">
        <v>2061.7199999999998</v>
      </c>
      <c r="D166" s="175">
        <f>(C166-C165)/C165</f>
        <v>9.6621433013872691E-3</v>
      </c>
      <c r="E166" s="252">
        <f t="shared" si="45"/>
        <v>-1.9367972451056988E-2</v>
      </c>
      <c r="F166" s="253">
        <v>4872.09</v>
      </c>
      <c r="G166" s="175">
        <f t="shared" ref="G166:G171" si="53">(F166-F165)/F165</f>
        <v>8.0068026788651069E-3</v>
      </c>
      <c r="H166" s="254">
        <f t="shared" si="46"/>
        <v>-4.313097786593862E-2</v>
      </c>
      <c r="I166" s="255">
        <v>314750.48</v>
      </c>
      <c r="J166" s="256">
        <v>400000</v>
      </c>
      <c r="K166" s="256">
        <f t="shared" si="48"/>
        <v>13376.260000000009</v>
      </c>
      <c r="L166" s="175">
        <f t="shared" si="42"/>
        <v>4.438422105248422E-2</v>
      </c>
      <c r="M166" s="257">
        <f t="shared" si="51"/>
        <v>-85249.520000000019</v>
      </c>
      <c r="N166" s="258">
        <f t="shared" si="52"/>
        <v>-0.21312380000000006</v>
      </c>
      <c r="O166" s="257" t="b">
        <f t="shared" si="50"/>
        <v>1</v>
      </c>
      <c r="P166" s="258">
        <f>COUNTIF(O$2:O166, TRUE)/(COUNTIF(O$2:O166,FALSE) + COUNTIF(O$2:O166, TRUE))</f>
        <v>0.47878787878787876</v>
      </c>
      <c r="Q166" s="256">
        <v>212987.96</v>
      </c>
      <c r="R166" s="256">
        <f t="shared" si="49"/>
        <v>101762.51999999999</v>
      </c>
      <c r="S166" s="256"/>
      <c r="T166" s="256"/>
      <c r="U166" s="258">
        <f>STDEV(D$2:D166)*SQRT(252)</f>
        <v>0.19180360559269574</v>
      </c>
      <c r="V166" s="258">
        <f>STDEV(L$2:L166)*SQRT(252)</f>
        <v>0.40253727965834457</v>
      </c>
    </row>
    <row r="167" spans="2:22" ht="20.100000000000001" customHeight="1" x14ac:dyDescent="0.25">
      <c r="B167" s="250">
        <v>42473</v>
      </c>
      <c r="C167" s="251">
        <v>2082.42</v>
      </c>
      <c r="D167" s="175">
        <f>(C167-C166)/C166</f>
        <v>1.0040160642570415E-2</v>
      </c>
      <c r="E167" s="252">
        <f t="shared" si="45"/>
        <v>-9.522269363216063E-3</v>
      </c>
      <c r="F167" s="253">
        <v>4947.42</v>
      </c>
      <c r="G167" s="175">
        <f t="shared" si="53"/>
        <v>1.5461537040571896E-2</v>
      </c>
      <c r="H167" s="254">
        <f t="shared" si="46"/>
        <v>-2.8336312037237021E-2</v>
      </c>
      <c r="I167" s="255">
        <v>317683.34999999998</v>
      </c>
      <c r="J167" s="256">
        <v>400000</v>
      </c>
      <c r="K167" s="256">
        <f t="shared" si="48"/>
        <v>2932.8699999999953</v>
      </c>
      <c r="L167" s="175">
        <f t="shared" si="42"/>
        <v>9.3180795149224102E-3</v>
      </c>
      <c r="M167" s="257">
        <f t="shared" si="51"/>
        <v>-82316.650000000023</v>
      </c>
      <c r="N167" s="258">
        <f t="shared" si="52"/>
        <v>-0.20579162500000006</v>
      </c>
      <c r="O167" s="257" t="b">
        <f t="shared" si="50"/>
        <v>0</v>
      </c>
      <c r="P167" s="258">
        <f>COUNTIF(O$2:O167, TRUE)/(COUNTIF(O$2:O167,FALSE) + COUNTIF(O$2:O167, TRUE))</f>
        <v>0.4759036144578313</v>
      </c>
      <c r="Q167" s="256">
        <v>219889.91</v>
      </c>
      <c r="R167" s="256">
        <f t="shared" si="49"/>
        <v>97793.439999999973</v>
      </c>
      <c r="S167" s="256"/>
      <c r="T167" s="256"/>
      <c r="U167" s="258">
        <f>STDEV(D$2:D167)*SQRT(252)</f>
        <v>0.19162382789500107</v>
      </c>
      <c r="V167" s="258">
        <f>STDEV(L$2:L167)*SQRT(252)</f>
        <v>0.40149438106382634</v>
      </c>
    </row>
    <row r="168" spans="2:22" ht="20.100000000000001" customHeight="1" x14ac:dyDescent="0.25">
      <c r="B168" s="250">
        <v>42474</v>
      </c>
      <c r="C168" s="251">
        <v>2082.7800000000002</v>
      </c>
      <c r="D168" s="175">
        <f>(C168-C167)/C167</f>
        <v>1.728757887458473E-4</v>
      </c>
      <c r="E168" s="252">
        <f t="shared" si="45"/>
        <v>-9.3510397442970322E-3</v>
      </c>
      <c r="F168" s="253">
        <v>4945.88</v>
      </c>
      <c r="G168" s="175">
        <f t="shared" si="53"/>
        <v>-3.1127335055442304E-4</v>
      </c>
      <c r="H168" s="254">
        <f t="shared" si="46"/>
        <v>-2.8638765049001261E-2</v>
      </c>
      <c r="I168" s="255">
        <v>317242.28999999998</v>
      </c>
      <c r="J168" s="256">
        <v>400000</v>
      </c>
      <c r="K168" s="256">
        <f t="shared" si="48"/>
        <v>-441.05999999999767</v>
      </c>
      <c r="L168" s="175">
        <f t="shared" si="42"/>
        <v>-1.3883636016807229E-3</v>
      </c>
      <c r="M168" s="257">
        <f t="shared" si="51"/>
        <v>-82757.710000000021</v>
      </c>
      <c r="N168" s="258">
        <f t="shared" si="52"/>
        <v>-0.20689427500000004</v>
      </c>
      <c r="O168" s="257" t="b">
        <f t="shared" si="50"/>
        <v>0</v>
      </c>
      <c r="P168" s="258">
        <f>COUNTIF(O$2:O168, TRUE)/(COUNTIF(O$2:O168,FALSE) + COUNTIF(O$2:O168, TRUE))</f>
        <v>0.47305389221556887</v>
      </c>
      <c r="Q168" s="256">
        <v>220158.43</v>
      </c>
      <c r="R168" s="256">
        <f t="shared" si="49"/>
        <v>97083.859999999986</v>
      </c>
      <c r="S168" s="256"/>
      <c r="T168" s="256"/>
      <c r="U168" s="258">
        <f>STDEV(D$2:D168)*SQRT(252)</f>
        <v>0.19104236676485162</v>
      </c>
      <c r="V168" s="258">
        <f>STDEV(L$2:L168)*SQRT(252)</f>
        <v>0.40027732610236538</v>
      </c>
    </row>
    <row r="169" spans="2:22" ht="20.100000000000001" customHeight="1" x14ac:dyDescent="0.25">
      <c r="B169" s="250">
        <v>42475</v>
      </c>
      <c r="C169" s="251">
        <v>2080.73</v>
      </c>
      <c r="D169" s="175">
        <f>(C169-C168)/C168</f>
        <v>-9.8426141983319485E-4</v>
      </c>
      <c r="E169" s="252">
        <f t="shared" si="45"/>
        <v>-1.0326097296474589E-2</v>
      </c>
      <c r="F169" s="253">
        <v>4938.21</v>
      </c>
      <c r="G169" s="175">
        <f t="shared" si="53"/>
        <v>-1.5507857044651453E-3</v>
      </c>
      <c r="H169" s="254">
        <f t="shared" si="46"/>
        <v>-3.0145138166034879E-2</v>
      </c>
      <c r="I169" s="255">
        <v>317721.64</v>
      </c>
      <c r="J169" s="256">
        <v>400000</v>
      </c>
      <c r="K169" s="256">
        <f t="shared" si="48"/>
        <v>479.35000000003492</v>
      </c>
      <c r="L169" s="175">
        <f t="shared" si="42"/>
        <v>1.5109902276901196E-3</v>
      </c>
      <c r="M169" s="257">
        <f t="shared" si="51"/>
        <v>-82278.359999999986</v>
      </c>
      <c r="N169" s="258">
        <f t="shared" si="52"/>
        <v>-0.20569589999999996</v>
      </c>
      <c r="O169" s="257" t="b">
        <f t="shared" si="50"/>
        <v>1</v>
      </c>
      <c r="P169" s="258">
        <f>COUNTIF(O$2:O169, TRUE)/(COUNTIF(O$2:O169,FALSE) + COUNTIF(O$2:O169, TRUE))</f>
        <v>0.47619047619047616</v>
      </c>
      <c r="Q169" s="256">
        <v>227146.03</v>
      </c>
      <c r="R169" s="256">
        <f t="shared" si="49"/>
        <v>90575.610000000015</v>
      </c>
      <c r="S169" s="256"/>
      <c r="T169" s="256"/>
      <c r="U169" s="258">
        <f>STDEV(D$2:D169)*SQRT(252)</f>
        <v>0.1904700278981748</v>
      </c>
      <c r="V169" s="258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50">
        <v>42485</v>
      </c>
      <c r="C175" s="251">
        <v>2087.79</v>
      </c>
      <c r="D175" s="175">
        <f t="shared" si="54"/>
        <v>-1.8120272712494688E-3</v>
      </c>
      <c r="E175" s="252">
        <f t="shared" si="55"/>
        <v>-6.9680942143414753E-3</v>
      </c>
      <c r="F175" s="253">
        <v>4895.78</v>
      </c>
      <c r="G175" s="175">
        <f t="shared" si="56"/>
        <v>-2.140114302485794E-3</v>
      </c>
      <c r="H175" s="254">
        <f t="shared" si="57"/>
        <v>-3.8478307834318611E-2</v>
      </c>
      <c r="I175" s="255">
        <v>325541.03000000003</v>
      </c>
      <c r="J175" s="256">
        <v>400000</v>
      </c>
      <c r="K175" s="256">
        <f t="shared" si="48"/>
        <v>-5930.679999999993</v>
      </c>
      <c r="L175" s="175">
        <f t="shared" si="42"/>
        <v>-1.7891964294630129E-2</v>
      </c>
      <c r="M175" s="257">
        <f t="shared" si="51"/>
        <v>-74458.969999999972</v>
      </c>
      <c r="N175" s="258">
        <f t="shared" si="52"/>
        <v>-0.18614742499999992</v>
      </c>
      <c r="O175" s="257" t="b">
        <f t="shared" si="50"/>
        <v>0</v>
      </c>
      <c r="P175" s="258">
        <f>COUNTIF(O$2:O175, TRUE)/(COUNTIF(O$2:O175,FALSE) + COUNTIF(O$2:O175, TRUE))</f>
        <v>0.48275862068965519</v>
      </c>
      <c r="Q175" s="256">
        <v>238708.14</v>
      </c>
      <c r="R175" s="256">
        <f t="shared" si="49"/>
        <v>86832.890000000014</v>
      </c>
      <c r="S175" s="256"/>
      <c r="T175" s="256"/>
      <c r="U175" s="258">
        <f>STDEV(D$2:D175)*SQRT(252)</f>
        <v>0.18744374998531149</v>
      </c>
      <c r="V175" s="258">
        <f>STDEV(L$2:L175)*SQRT(252)</f>
        <v>0.39413441432117591</v>
      </c>
    </row>
    <row r="176" spans="2:22" ht="20.100000000000001" customHeight="1" x14ac:dyDescent="0.25">
      <c r="B176" s="250">
        <v>42486</v>
      </c>
      <c r="C176" s="342">
        <v>2091.6999999999998</v>
      </c>
      <c r="D176" s="175">
        <f t="shared" si="54"/>
        <v>1.8727937196748019E-3</v>
      </c>
      <c r="E176" s="252">
        <f t="shared" si="55"/>
        <v>-5.1083502977493939E-3</v>
      </c>
      <c r="F176" s="253">
        <v>4888.28</v>
      </c>
      <c r="G176" s="175">
        <f t="shared" si="56"/>
        <v>-1.5319315818929772E-3</v>
      </c>
      <c r="H176" s="254">
        <f t="shared" si="57"/>
        <v>-3.9951293281222398E-2</v>
      </c>
      <c r="I176" s="255">
        <v>336797.26</v>
      </c>
      <c r="J176" s="256">
        <v>400000</v>
      </c>
      <c r="K176" s="256">
        <f t="shared" si="48"/>
        <v>11256.229999999981</v>
      </c>
      <c r="L176" s="175">
        <f t="shared" si="42"/>
        <v>3.4576993259497826E-2</v>
      </c>
      <c r="M176" s="257">
        <f t="shared" si="51"/>
        <v>-63202.739999999991</v>
      </c>
      <c r="N176" s="258">
        <f t="shared" si="52"/>
        <v>-0.15800684999999998</v>
      </c>
      <c r="O176" s="257" t="b">
        <f t="shared" si="50"/>
        <v>1</v>
      </c>
      <c r="P176" s="258">
        <f>COUNTIF(O$2:O176, TRUE)/(COUNTIF(O$2:O176,FALSE) + COUNTIF(O$2:O176, TRUE))</f>
        <v>0.48571428571428571</v>
      </c>
      <c r="Q176" s="256">
        <v>231627.32</v>
      </c>
      <c r="R176" s="256">
        <f t="shared" si="49"/>
        <v>105169.94</v>
      </c>
      <c r="S176" s="256"/>
      <c r="T176" s="256"/>
      <c r="U176" s="258">
        <f>STDEV(D$2:D176)*SQRT(252)</f>
        <v>0.18691439115354258</v>
      </c>
      <c r="V176" s="258">
        <f>STDEV(L$2:L176)*SQRT(252)</f>
        <v>0.39523474671048564</v>
      </c>
    </row>
    <row r="177" spans="2:22" ht="20.100000000000001" customHeight="1" x14ac:dyDescent="0.25">
      <c r="B177" s="250">
        <v>42487</v>
      </c>
      <c r="C177" s="342">
        <v>2095.15</v>
      </c>
      <c r="D177" s="175">
        <f t="shared" si="54"/>
        <v>1.6493761055602013E-3</v>
      </c>
      <c r="E177" s="252">
        <f t="shared" si="55"/>
        <v>-3.4673997831091321E-3</v>
      </c>
      <c r="F177" s="253">
        <v>4863.1400000000003</v>
      </c>
      <c r="G177" s="175">
        <f t="shared" si="56"/>
        <v>-5.1429132537414834E-3</v>
      </c>
      <c r="H177" s="254">
        <f t="shared" si="57"/>
        <v>-4.4888740499243768E-2</v>
      </c>
      <c r="I177" s="255">
        <v>341540.33</v>
      </c>
      <c r="J177" s="256">
        <v>400000</v>
      </c>
      <c r="K177" s="256">
        <f t="shared" si="48"/>
        <v>4743.070000000007</v>
      </c>
      <c r="L177" s="175">
        <f t="shared" si="42"/>
        <v>1.4082863975793648E-2</v>
      </c>
      <c r="M177" s="257">
        <f t="shared" si="51"/>
        <v>-58459.669999999984</v>
      </c>
      <c r="N177" s="258">
        <f t="shared" si="52"/>
        <v>-0.14614917499999996</v>
      </c>
      <c r="O177" s="257" t="b">
        <f t="shared" si="50"/>
        <v>1</v>
      </c>
      <c r="P177" s="258">
        <f>COUNTIF(O$2:O177, TRUE)/(COUNTIF(O$2:O177,FALSE) + COUNTIF(O$2:O177, TRUE))</f>
        <v>0.48863636363636365</v>
      </c>
      <c r="Q177" s="256">
        <v>245489.82</v>
      </c>
      <c r="R177" s="256">
        <f t="shared" si="49"/>
        <v>96050.510000000009</v>
      </c>
      <c r="S177" s="256"/>
      <c r="T177" s="256"/>
      <c r="U177" s="258">
        <f>STDEV(D$2:D177)*SQRT(252)</f>
        <v>0.18638651777551687</v>
      </c>
      <c r="V177" s="258">
        <f>STDEV(L$2:L177)*SQRT(252)</f>
        <v>0.39446713655061666</v>
      </c>
    </row>
    <row r="178" spans="2:22" ht="20.100000000000001" customHeight="1" x14ac:dyDescent="0.25">
      <c r="B178" s="250">
        <v>42488</v>
      </c>
      <c r="C178" s="342">
        <v>2075.81</v>
      </c>
      <c r="D178" s="175">
        <f t="shared" si="54"/>
        <v>-9.2308426604301094E-3</v>
      </c>
      <c r="E178" s="252">
        <f t="shared" si="55"/>
        <v>-1.2666235421700553E-2</v>
      </c>
      <c r="F178" s="253">
        <v>4805.29</v>
      </c>
      <c r="G178" s="175">
        <f t="shared" si="56"/>
        <v>-1.1895606542275229E-2</v>
      </c>
      <c r="H178" s="254">
        <f t="shared" si="57"/>
        <v>-5.6250368246361697E-2</v>
      </c>
      <c r="I178" s="255">
        <v>336936.02</v>
      </c>
      <c r="J178" s="256">
        <v>400000</v>
      </c>
      <c r="K178" s="256">
        <f t="shared" si="48"/>
        <v>-4604.3099999999977</v>
      </c>
      <c r="L178" s="175">
        <f t="shared" si="42"/>
        <v>-1.3481014086974729E-2</v>
      </c>
      <c r="M178" s="257">
        <f t="shared" si="51"/>
        <v>-63063.979999999981</v>
      </c>
      <c r="N178" s="258">
        <f t="shared" si="52"/>
        <v>-0.15765994999999997</v>
      </c>
      <c r="O178" s="257" t="b">
        <f t="shared" si="50"/>
        <v>0</v>
      </c>
      <c r="P178" s="258">
        <f>COUNTIF(O$2:O178, TRUE)/(COUNTIF(O$2:O178,FALSE) + COUNTIF(O$2:O178, TRUE))</f>
        <v>0.48587570621468928</v>
      </c>
      <c r="Q178" s="256">
        <v>254190.85</v>
      </c>
      <c r="R178" s="256">
        <f t="shared" si="49"/>
        <v>82745.170000000013</v>
      </c>
      <c r="S178" s="256"/>
      <c r="T178" s="256"/>
      <c r="U178" s="258">
        <f>STDEV(D$2:D178)*SQRT(252)</f>
        <v>0.18618462851964468</v>
      </c>
      <c r="V178" s="258">
        <f>STDEV(L$2:L178)*SQRT(252)</f>
        <v>0.39366590594633838</v>
      </c>
    </row>
    <row r="179" spans="2:22" ht="20.100000000000001" customHeight="1" x14ac:dyDescent="0.25">
      <c r="B179" s="250">
        <v>42489</v>
      </c>
      <c r="C179" s="342">
        <v>2065.3000000000002</v>
      </c>
      <c r="D179" s="175">
        <f t="shared" si="54"/>
        <v>-5.0630838082482326E-3</v>
      </c>
      <c r="E179" s="252">
        <f t="shared" si="55"/>
        <v>-1.7665189018473713E-2</v>
      </c>
      <c r="F179" s="253">
        <v>4775.3599999999997</v>
      </c>
      <c r="G179" s="175">
        <f t="shared" si="56"/>
        <v>-6.2285522830048323E-3</v>
      </c>
      <c r="H179" s="254">
        <f t="shared" si="57"/>
        <v>-6.2128562169805793E-2</v>
      </c>
      <c r="I179" s="515">
        <v>329545.53999999998</v>
      </c>
      <c r="J179" s="256">
        <v>400000</v>
      </c>
      <c r="K179" s="256">
        <f t="shared" si="48"/>
        <v>-7390.4800000000396</v>
      </c>
      <c r="L179" s="175">
        <f t="shared" si="42"/>
        <v>-2.1934371991454163E-2</v>
      </c>
      <c r="M179" s="257">
        <f t="shared" si="51"/>
        <v>-70454.460000000021</v>
      </c>
      <c r="N179" s="258">
        <f t="shared" si="52"/>
        <v>-0.17613615000000005</v>
      </c>
      <c r="O179" s="257" t="b">
        <f t="shared" si="50"/>
        <v>0</v>
      </c>
      <c r="P179" s="258">
        <f>COUNTIF(O$2:O179, TRUE)/(COUNTIF(O$2:O179,FALSE) + COUNTIF(O$2:O179, TRUE))</f>
        <v>0.48314606741573035</v>
      </c>
      <c r="Q179" s="256">
        <v>264639.32</v>
      </c>
      <c r="R179" s="256">
        <f t="shared" si="49"/>
        <v>64906.219999999972</v>
      </c>
      <c r="S179" s="256"/>
      <c r="T179" s="256"/>
      <c r="U179" s="258">
        <f>STDEV(D$2:D179)*SQRT(252)</f>
        <v>0.18575305494733241</v>
      </c>
      <c r="V179" s="258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50">
        <v>42499</v>
      </c>
      <c r="C185" s="251">
        <v>2058.69</v>
      </c>
      <c r="D185" s="175">
        <f t="shared" si="54"/>
        <v>7.5347326871296166E-4</v>
      </c>
      <c r="E185" s="252">
        <f t="shared" si="55"/>
        <v>-2.08091550769582E-2</v>
      </c>
      <c r="F185" s="253">
        <v>4750.2</v>
      </c>
      <c r="G185" s="175">
        <f t="shared" si="56"/>
        <v>2.9665445562324214E-3</v>
      </c>
      <c r="H185" s="254">
        <f t="shared" si="57"/>
        <v>-6.706993734901899E-2</v>
      </c>
      <c r="I185" s="255">
        <v>298140.64</v>
      </c>
      <c r="J185" s="256">
        <v>400000</v>
      </c>
      <c r="K185" s="256">
        <f t="shared" si="58"/>
        <v>-6412.3699999999953</v>
      </c>
      <c r="L185" s="175">
        <f t="shared" si="42"/>
        <v>-2.1055020930510572E-2</v>
      </c>
      <c r="M185" s="257">
        <f t="shared" si="51"/>
        <v>-101859.35999999999</v>
      </c>
      <c r="N185" s="258">
        <f t="shared" si="52"/>
        <v>-0.25464839999999994</v>
      </c>
      <c r="O185" s="257" t="b">
        <f t="shared" si="50"/>
        <v>0</v>
      </c>
      <c r="P185" s="258">
        <f>COUNTIF(O$2:O185, TRUE)/(COUNTIF(O$2:O185,FALSE) + COUNTIF(O$2:O185, TRUE))</f>
        <v>0.47282608695652173</v>
      </c>
      <c r="Q185" s="256">
        <v>244388.04</v>
      </c>
      <c r="R185" s="256">
        <f t="shared" si="49"/>
        <v>53752.600000000006</v>
      </c>
      <c r="S185" s="256"/>
      <c r="T185" s="256"/>
      <c r="U185" s="258">
        <f>STDEV(D$2:D185)*SQRT(252)</f>
        <v>0.18335397650588192</v>
      </c>
      <c r="V185" s="258">
        <f>STDEV(L$2:L185)*SQRT(252)</f>
        <v>0.39131263252933984</v>
      </c>
    </row>
    <row r="186" spans="2:22" ht="20.100000000000001" customHeight="1" x14ac:dyDescent="0.25">
      <c r="B186" s="250">
        <v>42500</v>
      </c>
      <c r="C186" s="251">
        <v>2084.39</v>
      </c>
      <c r="D186" s="175">
        <f t="shared" si="54"/>
        <v>1.2483666797817941E-2</v>
      </c>
      <c r="E186" s="252">
        <f t="shared" si="55"/>
        <v>-8.5852628374651265E-3</v>
      </c>
      <c r="F186" s="253">
        <v>4809.88</v>
      </c>
      <c r="G186" s="175">
        <f t="shared" si="56"/>
        <v>1.2563681529198832E-2</v>
      </c>
      <c r="H186" s="254">
        <f t="shared" si="57"/>
        <v>-5.5348901152856553E-2</v>
      </c>
      <c r="I186" s="255">
        <v>304800.26</v>
      </c>
      <c r="J186" s="256">
        <v>400000</v>
      </c>
      <c r="K186" s="256">
        <f t="shared" si="58"/>
        <v>6659.6199999999953</v>
      </c>
      <c r="L186" s="175">
        <f t="shared" si="42"/>
        <v>2.2337176172963186E-2</v>
      </c>
      <c r="M186" s="257">
        <f t="shared" si="51"/>
        <v>-95199.739999999991</v>
      </c>
      <c r="N186" s="258">
        <f t="shared" si="52"/>
        <v>-0.23799934999999997</v>
      </c>
      <c r="O186" s="257" t="b">
        <f t="shared" si="50"/>
        <v>1</v>
      </c>
      <c r="P186" s="258">
        <f>COUNTIF(O$2:O186, TRUE)/(COUNTIF(O$2:O186,FALSE) + COUNTIF(O$2:O186, TRUE))</f>
        <v>0.4756756756756757</v>
      </c>
      <c r="Q186" s="256">
        <v>245950.62</v>
      </c>
      <c r="R186" s="256">
        <f t="shared" si="49"/>
        <v>58849.640000000014</v>
      </c>
      <c r="S186" s="256"/>
      <c r="T186" s="256"/>
      <c r="U186" s="258">
        <f>STDEV(D$2:D186)*SQRT(252)</f>
        <v>0.1834395508093867</v>
      </c>
      <c r="V186" s="258">
        <f>STDEV(L$2:L186)*SQRT(252)</f>
        <v>0.39117995017069312</v>
      </c>
    </row>
    <row r="187" spans="2:22" ht="20.100000000000001" customHeight="1" x14ac:dyDescent="0.25">
      <c r="B187" s="250">
        <v>42501</v>
      </c>
      <c r="C187" s="251">
        <v>2064.46</v>
      </c>
      <c r="D187" s="175">
        <f t="shared" si="54"/>
        <v>-9.5615503816463502E-3</v>
      </c>
      <c r="E187" s="252">
        <f t="shared" si="55"/>
        <v>-1.8064724795951378E-2</v>
      </c>
      <c r="F187" s="253">
        <v>4760.68</v>
      </c>
      <c r="G187" s="175">
        <f t="shared" si="56"/>
        <v>-1.0228945420675737E-2</v>
      </c>
      <c r="H187" s="254">
        <f t="shared" si="57"/>
        <v>-6.5011685684545351E-2</v>
      </c>
      <c r="I187" s="255">
        <v>308835.23</v>
      </c>
      <c r="J187" s="256">
        <v>400000</v>
      </c>
      <c r="K187" s="256">
        <f t="shared" si="58"/>
        <v>4034.9699999999721</v>
      </c>
      <c r="L187" s="175">
        <f t="shared" si="42"/>
        <v>1.3238079258856183E-2</v>
      </c>
      <c r="M187" s="257">
        <f t="shared" si="51"/>
        <v>-91164.770000000019</v>
      </c>
      <c r="N187" s="258">
        <f t="shared" si="52"/>
        <v>-0.22791192500000004</v>
      </c>
      <c r="O187" s="257" t="b">
        <f t="shared" si="50"/>
        <v>1</v>
      </c>
      <c r="P187" s="258">
        <f>COUNTIF(O$2:O187, TRUE)/(COUNTIF(O$2:O187,FALSE) + COUNTIF(O$2:O187, TRUE))</f>
        <v>0.478494623655914</v>
      </c>
      <c r="Q187" s="256">
        <v>248232.13</v>
      </c>
      <c r="R187" s="256">
        <f t="shared" si="49"/>
        <v>60603.099999999977</v>
      </c>
      <c r="S187" s="256"/>
      <c r="T187" s="256"/>
      <c r="U187" s="258">
        <f>STDEV(D$2:D187)*SQRT(252)</f>
        <v>0.18328184052807739</v>
      </c>
      <c r="V187" s="258">
        <f>STDEV(L$2:L187)*SQRT(252)</f>
        <v>0.39045309819153251</v>
      </c>
    </row>
    <row r="188" spans="2:22" ht="20.100000000000001" customHeight="1" x14ac:dyDescent="0.25">
      <c r="B188" s="250">
        <v>42502</v>
      </c>
      <c r="C188" s="251">
        <v>2064.11</v>
      </c>
      <c r="D188" s="175">
        <f t="shared" si="54"/>
        <v>-1.6953585925612947E-4</v>
      </c>
      <c r="E188" s="252">
        <f t="shared" si="55"/>
        <v>-1.8231198036567E-2</v>
      </c>
      <c r="F188" s="253">
        <v>4737.33</v>
      </c>
      <c r="G188" s="175">
        <f t="shared" si="56"/>
        <v>-4.9047615046590746E-3</v>
      </c>
      <c r="H188" s="254">
        <f t="shared" si="57"/>
        <v>-6.9597580375905868E-2</v>
      </c>
      <c r="I188" s="255">
        <v>304301.34000000003</v>
      </c>
      <c r="J188" s="256">
        <v>400000</v>
      </c>
      <c r="K188" s="256">
        <f t="shared" si="58"/>
        <v>-4533.8899999999558</v>
      </c>
      <c r="L188" s="175">
        <f t="shared" si="42"/>
        <v>-1.4680611405635154E-2</v>
      </c>
      <c r="M188" s="257">
        <f t="shared" si="51"/>
        <v>-95698.659999999974</v>
      </c>
      <c r="N188" s="258">
        <f t="shared" si="52"/>
        <v>-0.23924664999999995</v>
      </c>
      <c r="O188" s="257" t="b">
        <f t="shared" si="50"/>
        <v>0</v>
      </c>
      <c r="P188" s="258">
        <f>COUNTIF(O$2:O188, TRUE)/(COUNTIF(O$2:O188,FALSE) + COUNTIF(O$2:O188, TRUE))</f>
        <v>0.47593582887700536</v>
      </c>
      <c r="Q188" s="256">
        <v>280165.89</v>
      </c>
      <c r="R188" s="256">
        <f t="shared" si="49"/>
        <v>24135.450000000012</v>
      </c>
      <c r="S188" s="256"/>
      <c r="T188" s="256"/>
      <c r="U188" s="258">
        <f>STDEV(D$2:D188)*SQRT(252)</f>
        <v>0.1827858829252009</v>
      </c>
      <c r="V188" s="258">
        <f>STDEV(L$2:L188)*SQRT(252)</f>
        <v>0.38974137838139039</v>
      </c>
    </row>
    <row r="189" spans="2:22" ht="20.100000000000001" customHeight="1" x14ac:dyDescent="0.25">
      <c r="B189" s="250">
        <v>42503</v>
      </c>
      <c r="C189" s="251">
        <v>2046.61</v>
      </c>
      <c r="D189" s="175">
        <f t="shared" si="54"/>
        <v>-8.4782303268722235E-3</v>
      </c>
      <c r="E189" s="252">
        <f t="shared" si="55"/>
        <v>-2.6554860067350389E-2</v>
      </c>
      <c r="F189" s="253">
        <v>4717.68</v>
      </c>
      <c r="G189" s="175">
        <f t="shared" si="56"/>
        <v>-4.1479060990050592E-3</v>
      </c>
      <c r="H189" s="254">
        <f t="shared" si="57"/>
        <v>-7.3456802246793712E-2</v>
      </c>
      <c r="I189" s="255">
        <v>303736.26</v>
      </c>
      <c r="J189" s="256">
        <v>400000</v>
      </c>
      <c r="K189" s="256">
        <f t="shared" si="58"/>
        <v>-565.0800000000163</v>
      </c>
      <c r="L189" s="175">
        <f t="shared" si="42"/>
        <v>-1.8569750629425959E-3</v>
      </c>
      <c r="M189" s="257">
        <f t="shared" si="51"/>
        <v>-96263.739999999991</v>
      </c>
      <c r="N189" s="258">
        <f t="shared" si="52"/>
        <v>-0.24065934999999997</v>
      </c>
      <c r="O189" s="257" t="b">
        <f t="shared" si="50"/>
        <v>1</v>
      </c>
      <c r="P189" s="258">
        <f>COUNTIF(O$2:O189, TRUE)/(COUNTIF(O$2:O189,FALSE) + COUNTIF(O$2:O189, TRUE))</f>
        <v>0.47872340425531917</v>
      </c>
      <c r="Q189" s="256">
        <v>251738</v>
      </c>
      <c r="R189" s="256">
        <f t="shared" si="49"/>
        <v>51998.260000000009</v>
      </c>
      <c r="S189" s="256"/>
      <c r="T189" s="256"/>
      <c r="U189" s="258">
        <f>STDEV(D$2:D189)*SQRT(252)</f>
        <v>0.18255729754579855</v>
      </c>
      <c r="V189" s="258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50">
        <v>42513</v>
      </c>
      <c r="C195" s="251">
        <v>2048.04</v>
      </c>
      <c r="D195" s="175">
        <f t="shared" si="68"/>
        <v>-2.085444764949033E-3</v>
      </c>
      <c r="E195" s="252">
        <f t="shared" si="76"/>
        <v>-2.5874697969977784E-2</v>
      </c>
      <c r="F195" s="253">
        <v>4765.78</v>
      </c>
      <c r="G195" s="175">
        <f t="shared" si="61"/>
        <v>-7.9043096308885254E-4</v>
      </c>
      <c r="H195" s="254">
        <f t="shared" si="77"/>
        <v>-6.4010055580650885E-2</v>
      </c>
      <c r="I195" s="255">
        <v>322945.12</v>
      </c>
      <c r="J195" s="256">
        <v>400000</v>
      </c>
      <c r="K195" s="256">
        <f t="shared" si="78"/>
        <v>2526.289999999979</v>
      </c>
      <c r="L195" s="175">
        <f t="shared" si="42"/>
        <v>7.8843368849451784E-3</v>
      </c>
      <c r="M195" s="257">
        <f t="shared" si="79"/>
        <v>-77054.880000000005</v>
      </c>
      <c r="N195" s="258">
        <f t="shared" si="80"/>
        <v>-0.19263720000000001</v>
      </c>
      <c r="O195" s="257" t="b">
        <f t="shared" si="81"/>
        <v>1</v>
      </c>
      <c r="P195" s="258">
        <f>COUNTIF(O$2:O195, TRUE)/(COUNTIF(O$2:O195,FALSE) + COUNTIF(O$2:O195, TRUE))</f>
        <v>0.48969072164948452</v>
      </c>
      <c r="Q195" s="256">
        <v>257529.17</v>
      </c>
      <c r="R195" s="256">
        <f t="shared" si="82"/>
        <v>65415.949999999983</v>
      </c>
      <c r="S195" s="256"/>
      <c r="T195" s="256"/>
      <c r="U195" s="258">
        <f>STDEV(D$2:D195)*SQRT(252)</f>
        <v>0.18055323575964988</v>
      </c>
      <c r="V195" s="258">
        <f>STDEV(L$2:L195)*SQRT(252)</f>
        <v>0.38495329027119468</v>
      </c>
    </row>
    <row r="196" spans="2:22" ht="20.100000000000001" customHeight="1" x14ac:dyDescent="0.25">
      <c r="B196" s="250">
        <v>42514</v>
      </c>
      <c r="C196" s="251">
        <v>2076.06</v>
      </c>
      <c r="D196" s="175">
        <f t="shared" si="68"/>
        <v>1.3681373410675565E-2</v>
      </c>
      <c r="E196" s="252">
        <f t="shared" ref="E196" si="83">(C196-$C$2)/$C$2</f>
        <v>-1.2547325964117933E-2</v>
      </c>
      <c r="F196" s="253">
        <v>4861.05</v>
      </c>
      <c r="G196" s="175">
        <f t="shared" si="61"/>
        <v>1.9990431786612146E-2</v>
      </c>
      <c r="H196" s="254">
        <f t="shared" ref="H196" si="84">(F196-F$2)/F$2</f>
        <v>-4.5299212443780983E-2</v>
      </c>
      <c r="I196" s="255">
        <v>324441.06</v>
      </c>
      <c r="J196" s="256">
        <v>400000</v>
      </c>
      <c r="K196" s="256">
        <f t="shared" ref="K196" si="85">I196-I195-J196+J195</f>
        <v>1495.9400000000023</v>
      </c>
      <c r="L196" s="175">
        <f t="shared" ref="L196:L219" si="86">K196/I195</f>
        <v>4.6321802292600125E-3</v>
      </c>
      <c r="M196" s="257">
        <f t="shared" ref="M196" si="87">I196-J196</f>
        <v>-75558.94</v>
      </c>
      <c r="N196" s="258">
        <f t="shared" ref="N196" si="88">M196/J196</f>
        <v>-0.18889735000000002</v>
      </c>
      <c r="O196" s="257" t="b">
        <f t="shared" ref="O196" si="89">L196&gt;D196</f>
        <v>0</v>
      </c>
      <c r="P196" s="258">
        <f>COUNTIF(O$2:O196, TRUE)/(COUNTIF(O$2:O196,FALSE) + COUNTIF(O$2:O196, TRUE))</f>
        <v>0.48717948717948717</v>
      </c>
      <c r="Q196" s="256">
        <v>256296.81</v>
      </c>
      <c r="R196" s="256">
        <f t="shared" ref="R196" si="90">I196-Q196</f>
        <v>68144.25</v>
      </c>
      <c r="S196" s="256"/>
      <c r="T196" s="256"/>
      <c r="U196" s="258">
        <f>STDEV(D$2:D196)*SQRT(252)</f>
        <v>0.18076572452731524</v>
      </c>
      <c r="V196" s="258">
        <f>STDEV(L$2:L196)*SQRT(252)</f>
        <v>0.38399644388523335</v>
      </c>
    </row>
    <row r="197" spans="2:22" ht="20.100000000000001" customHeight="1" x14ac:dyDescent="0.25">
      <c r="B197" s="250">
        <v>42515</v>
      </c>
      <c r="C197" s="251">
        <v>2090.54</v>
      </c>
      <c r="D197" s="175">
        <f t="shared" si="68"/>
        <v>6.9747502480660573E-3</v>
      </c>
      <c r="E197" s="252">
        <f t="shared" ref="E197" si="91">(C197-$C$2)/$C$2</f>
        <v>-5.6600901809326738E-3</v>
      </c>
      <c r="F197" s="253">
        <v>4894.8900000000003</v>
      </c>
      <c r="G197" s="175">
        <f t="shared" si="61"/>
        <v>6.9614589440553263E-3</v>
      </c>
      <c r="H197" s="254">
        <f t="shared" ref="H197" si="92">(F197-F$2)/F$2</f>
        <v>-3.8653102107351081E-2</v>
      </c>
      <c r="I197" s="255">
        <v>329556.86</v>
      </c>
      <c r="J197" s="256">
        <v>400000</v>
      </c>
      <c r="K197" s="256">
        <f t="shared" ref="K197" si="93">I197-I196-J197+J196</f>
        <v>5115.7999999999884</v>
      </c>
      <c r="L197" s="175">
        <f t="shared" si="86"/>
        <v>1.5768041196758474E-2</v>
      </c>
      <c r="M197" s="257">
        <f t="shared" ref="M197" si="94">I197-J197</f>
        <v>-70443.140000000014</v>
      </c>
      <c r="N197" s="258">
        <f t="shared" ref="N197" si="95">M197/J197</f>
        <v>-0.17610785000000004</v>
      </c>
      <c r="O197" s="257" t="b">
        <f t="shared" ref="O197" si="96">L197&gt;D197</f>
        <v>1</v>
      </c>
      <c r="P197" s="258">
        <f>COUNTIF(O$2:O197, TRUE)/(COUNTIF(O$2:O197,FALSE) + COUNTIF(O$2:O197, TRUE))</f>
        <v>0.48979591836734693</v>
      </c>
      <c r="Q197" s="256">
        <v>253103.72</v>
      </c>
      <c r="R197" s="256">
        <f t="shared" ref="R197" si="97">I197-Q197</f>
        <v>76453.139999999985</v>
      </c>
      <c r="S197" s="256"/>
      <c r="T197" s="256"/>
      <c r="U197" s="258">
        <f>STDEV(D$2:D197)*SQRT(252)</f>
        <v>0.18047351369657114</v>
      </c>
      <c r="V197" s="258">
        <f>STDEV(L$2:L197)*SQRT(252)</f>
        <v>0.38344132562048239</v>
      </c>
    </row>
    <row r="198" spans="2:22" ht="20.100000000000001" customHeight="1" x14ac:dyDescent="0.25">
      <c r="B198" s="250">
        <v>42516</v>
      </c>
      <c r="C198" s="251">
        <v>2090.1</v>
      </c>
      <c r="D198" s="175">
        <f t="shared" si="68"/>
        <v>-2.1047193548081098E-4</v>
      </c>
      <c r="E198" s="252">
        <f t="shared" ref="E198" si="98">(C198-$C$2)/$C$2</f>
        <v>-5.8693708262781081E-3</v>
      </c>
      <c r="F198" s="253">
        <v>4901.76</v>
      </c>
      <c r="G198" s="175">
        <f t="shared" si="61"/>
        <v>1.4035044709891111E-3</v>
      </c>
      <c r="H198" s="254">
        <f t="shared" ref="H198" si="99">(F198-F$2)/F$2</f>
        <v>-3.7303847437987238E-2</v>
      </c>
      <c r="I198" s="255">
        <v>327477.31</v>
      </c>
      <c r="J198" s="256">
        <v>400000</v>
      </c>
      <c r="K198" s="256">
        <f t="shared" ref="K198" si="100">I198-I197-J198+J197</f>
        <v>-2079.5499999999884</v>
      </c>
      <c r="L198" s="175">
        <f t="shared" si="86"/>
        <v>-6.3101402289122083E-3</v>
      </c>
      <c r="M198" s="257">
        <f t="shared" ref="M198" si="101">I198-J198</f>
        <v>-72522.69</v>
      </c>
      <c r="N198" s="258">
        <f t="shared" ref="N198" si="102">M198/J198</f>
        <v>-0.181306725</v>
      </c>
      <c r="O198" s="257" t="b">
        <f t="shared" ref="O198" si="103">L198&gt;D198</f>
        <v>0</v>
      </c>
      <c r="P198" s="258">
        <f>COUNTIF(O$2:O198, TRUE)/(COUNTIF(O$2:O198,FALSE) + COUNTIF(O$2:O198, TRUE))</f>
        <v>0.48730964467005078</v>
      </c>
      <c r="Q198" s="256">
        <v>253608.16</v>
      </c>
      <c r="R198" s="256">
        <f t="shared" ref="R198" si="104">I198-Q198</f>
        <v>73869.149999999994</v>
      </c>
      <c r="S198" s="256"/>
      <c r="T198" s="256"/>
      <c r="U198" s="258">
        <f>STDEV(D$2:D198)*SQRT(252)</f>
        <v>0.18001038194737823</v>
      </c>
      <c r="V198" s="258">
        <f>STDEV(L$2:L198)*SQRT(252)</f>
        <v>0.38251907030209392</v>
      </c>
    </row>
    <row r="199" spans="2:22" ht="20.100000000000001" customHeight="1" x14ac:dyDescent="0.25">
      <c r="B199" s="250">
        <v>42517</v>
      </c>
      <c r="C199" s="251">
        <v>2099.06</v>
      </c>
      <c r="D199" s="175">
        <f t="shared" si="68"/>
        <v>4.2868762260179112E-3</v>
      </c>
      <c r="E199" s="252">
        <f t="shared" ref="E199:E200" si="105">(C199-$C$2)/$C$2</f>
        <v>-1.6076558665170512E-3</v>
      </c>
      <c r="F199" s="253">
        <v>4933.5</v>
      </c>
      <c r="G199" s="175">
        <f t="shared" si="61"/>
        <v>6.4752252252251808E-3</v>
      </c>
      <c r="H199" s="254">
        <f t="shared" ref="H199:H200" si="106">(F199-F$2)/F$2</f>
        <v>-3.1070173026690462E-2</v>
      </c>
      <c r="I199" s="255">
        <v>327126.28999999998</v>
      </c>
      <c r="J199" s="256">
        <v>400000</v>
      </c>
      <c r="K199" s="256">
        <f t="shared" ref="K199:K200" si="107">I199-I198-J199+J198</f>
        <v>-351.02000000001863</v>
      </c>
      <c r="L199" s="175">
        <f t="shared" si="86"/>
        <v>-1.0718910571239841E-3</v>
      </c>
      <c r="M199" s="257">
        <f t="shared" ref="M199:M200" si="108">I199-J199</f>
        <v>-72873.710000000021</v>
      </c>
      <c r="N199" s="258">
        <f t="shared" ref="N199:N200" si="109">M199/J199</f>
        <v>-0.18218427500000006</v>
      </c>
      <c r="O199" s="257" t="b">
        <f t="shared" ref="O199:O200" si="110">L199&gt;D199</f>
        <v>0</v>
      </c>
      <c r="P199" s="258">
        <f>COUNTIF(O$2:O199, TRUE)/(COUNTIF(O$2:O199,FALSE) + COUNTIF(O$2:O199, TRUE))</f>
        <v>0.48484848484848486</v>
      </c>
      <c r="Q199" s="256">
        <v>252103.35</v>
      </c>
      <c r="R199" s="256">
        <f t="shared" ref="R199:R200" si="111">I199-Q199</f>
        <v>75022.939999999973</v>
      </c>
      <c r="S199" s="256">
        <v>-82653.611999999514</v>
      </c>
      <c r="T199" s="256">
        <f t="shared" ref="T199:T204" si="112">M199-S199</f>
        <v>9779.9019999994925</v>
      </c>
      <c r="U199" s="258">
        <f>STDEV(D$2:D199)*SQRT(252)</f>
        <v>0.17961500199880534</v>
      </c>
      <c r="V199" s="258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6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50">
        <v>42527</v>
      </c>
      <c r="C204" s="251">
        <v>2109.41</v>
      </c>
      <c r="D204" s="175">
        <f t="shared" si="68"/>
        <v>4.8972669629797792E-3</v>
      </c>
      <c r="E204" s="252">
        <f t="shared" ref="E204" si="134">(C204-$C$2)/$C$2</f>
        <v>3.3151956774033027E-3</v>
      </c>
      <c r="F204" s="253">
        <v>4968.71</v>
      </c>
      <c r="G204" s="175">
        <f t="shared" si="61"/>
        <v>5.300950326858179E-3</v>
      </c>
      <c r="H204" s="254">
        <f t="shared" ref="H204" si="135">(F204-F$2)/F$2</f>
        <v>-2.4154997348626153E-2</v>
      </c>
      <c r="I204" s="255">
        <v>340934.25</v>
      </c>
      <c r="J204" s="256">
        <v>400000</v>
      </c>
      <c r="K204" s="256">
        <f t="shared" ref="K204" si="136">I204-I203-J204+J203</f>
        <v>7003.140000000014</v>
      </c>
      <c r="L204" s="175">
        <f t="shared" si="86"/>
        <v>2.0971810622855757E-2</v>
      </c>
      <c r="M204" s="257">
        <f t="shared" ref="M204" si="137">I204-J204</f>
        <v>-59065.75</v>
      </c>
      <c r="N204" s="258">
        <f t="shared" ref="N204" si="138">M204/J204</f>
        <v>-0.14766437499999999</v>
      </c>
      <c r="O204" s="257" t="b">
        <f t="shared" ref="O204" si="139">L204&gt;D204</f>
        <v>1</v>
      </c>
      <c r="P204" s="258">
        <f>COUNTIF(O$2:O204, TRUE)/(COUNTIF(O$2:O204,FALSE) + COUNTIF(O$2:O204, TRUE))</f>
        <v>0.49261083743842365</v>
      </c>
      <c r="Q204" s="256">
        <v>226096.58</v>
      </c>
      <c r="R204" s="256">
        <f t="shared" ref="R204" si="140">I204-Q204</f>
        <v>114837.67000000001</v>
      </c>
      <c r="S204" s="256">
        <v>-68552.800000000003</v>
      </c>
      <c r="T204" s="256">
        <f t="shared" si="112"/>
        <v>9487.0500000000029</v>
      </c>
      <c r="U204" s="258">
        <f>STDEV(D$2:D204)*SQRT(252)</f>
        <v>0.17751563901521938</v>
      </c>
      <c r="V204" s="258">
        <f>STDEV(L$2:L204)*SQRT(252)</f>
        <v>0.3779906391006832</v>
      </c>
    </row>
    <row r="205" spans="2:22" ht="20.100000000000001" customHeight="1" x14ac:dyDescent="0.25">
      <c r="B205" s="250">
        <v>42528</v>
      </c>
      <c r="C205" s="251">
        <v>2112.13</v>
      </c>
      <c r="D205" s="175">
        <f t="shared" si="68"/>
        <v>1.289460085995731E-3</v>
      </c>
      <c r="E205" s="252">
        <f t="shared" ref="E205" si="141">(C205-$C$2)/$C$2</f>
        <v>4.6089305759023109E-3</v>
      </c>
      <c r="F205" s="253">
        <v>4961.75</v>
      </c>
      <c r="G205" s="175">
        <f t="shared" si="61"/>
        <v>-1.4007659935878802E-3</v>
      </c>
      <c r="H205" s="254">
        <f t="shared" ref="H205" si="142">(F205-F$2)/F$2</f>
        <v>-2.5521927843352873E-2</v>
      </c>
      <c r="I205" s="255">
        <v>347691.97</v>
      </c>
      <c r="J205" s="256">
        <v>400000</v>
      </c>
      <c r="K205" s="256">
        <f t="shared" ref="K205" si="143">I205-I204-J205+J204</f>
        <v>6757.7199999999721</v>
      </c>
      <c r="L205" s="175">
        <f t="shared" si="86"/>
        <v>1.9821182530062532E-2</v>
      </c>
      <c r="M205" s="257">
        <f t="shared" ref="M205" si="144">I205-J205</f>
        <v>-52308.030000000028</v>
      </c>
      <c r="N205" s="258">
        <f t="shared" ref="N205" si="145">M205/J205</f>
        <v>-0.13077007500000007</v>
      </c>
      <c r="O205" s="257" t="b">
        <f t="shared" ref="O205" si="146">L205&gt;D205</f>
        <v>1</v>
      </c>
      <c r="P205" s="258">
        <f>COUNTIF(O$2:O205, TRUE)/(COUNTIF(O$2:O205,FALSE) + COUNTIF(O$2:O205, TRUE))</f>
        <v>0.49509803921568629</v>
      </c>
      <c r="Q205" s="256">
        <v>221341.46</v>
      </c>
      <c r="R205" s="256">
        <f t="shared" ref="R205" si="147">I205-Q205</f>
        <v>126350.50999999998</v>
      </c>
      <c r="S205" s="256">
        <v>-62220.480000000003</v>
      </c>
      <c r="T205" s="256">
        <f t="shared" ref="T205" si="148">M205-S205</f>
        <v>9912.4499999999753</v>
      </c>
      <c r="U205" s="258">
        <f>STDEV(D$2:D205)*SQRT(252)</f>
        <v>0.1770808372915795</v>
      </c>
      <c r="V205" s="258">
        <f>STDEV(L$2:L205)*SQRT(252)</f>
        <v>0.37770326655936998</v>
      </c>
    </row>
    <row r="206" spans="2:22" ht="20.100000000000001" customHeight="1" x14ac:dyDescent="0.25">
      <c r="B206" s="250">
        <v>42529</v>
      </c>
      <c r="C206" s="251">
        <v>2119.12</v>
      </c>
      <c r="D206" s="175">
        <f t="shared" si="68"/>
        <v>3.3094553839014555E-3</v>
      </c>
      <c r="E206" s="252">
        <f t="shared" ref="E206" si="149">(C206-$C$2)/$C$2</f>
        <v>7.9336390099122144E-3</v>
      </c>
      <c r="F206" s="253">
        <v>4974.6400000000003</v>
      </c>
      <c r="G206" s="175">
        <f t="shared" si="61"/>
        <v>2.5978737340656677E-3</v>
      </c>
      <c r="H206" s="254">
        <f>(F206-F$2)/F$2</f>
        <v>-2.2990356855274171E-2</v>
      </c>
      <c r="I206" s="255">
        <v>345415.56</v>
      </c>
      <c r="J206" s="256">
        <v>400000</v>
      </c>
      <c r="K206" s="256">
        <f>I206-I205-J206+J205</f>
        <v>-2276.4099999999744</v>
      </c>
      <c r="L206" s="175">
        <f t="shared" si="86"/>
        <v>-6.5472032615535372E-3</v>
      </c>
      <c r="M206" s="257">
        <f t="shared" ref="M206" si="150">I206-J206</f>
        <v>-54584.44</v>
      </c>
      <c r="N206" s="258">
        <f t="shared" ref="N206" si="151">M206/J206</f>
        <v>-0.1364611</v>
      </c>
      <c r="O206" s="257" t="b">
        <f t="shared" ref="O206" si="152">L206&gt;D206</f>
        <v>0</v>
      </c>
      <c r="P206" s="258">
        <f>COUNTIF(O$2:O206, TRUE)/(COUNTIF(O$2:O206,FALSE) + COUNTIF(O$2:O206, TRUE))</f>
        <v>0.49268292682926829</v>
      </c>
      <c r="Q206" s="256">
        <v>224599.69</v>
      </c>
      <c r="R206" s="256">
        <f t="shared" ref="R206" si="153">I206-Q206</f>
        <v>120815.87</v>
      </c>
      <c r="S206" s="256">
        <v>-64591.5</v>
      </c>
      <c r="T206" s="256">
        <f t="shared" ref="T206" si="154">M206-S206</f>
        <v>10007.059999999998</v>
      </c>
      <c r="U206" s="258">
        <f>STDEV(D$2:D206)*SQRT(252)</f>
        <v>0.1766804976423699</v>
      </c>
      <c r="V206" s="258">
        <f>STDEV(L$2:L206)*SQRT(252)</f>
        <v>0.37684312307903423</v>
      </c>
    </row>
    <row r="207" spans="2:22" ht="20.100000000000001" customHeight="1" x14ac:dyDescent="0.25">
      <c r="B207" s="250">
        <v>42530</v>
      </c>
      <c r="C207" s="251">
        <v>2115.48</v>
      </c>
      <c r="D207" s="175">
        <f t="shared" si="68"/>
        <v>-1.7176941371889619E-3</v>
      </c>
      <c r="E207" s="252">
        <f t="shared" ref="E207" si="155">(C207-$C$2)/$C$2</f>
        <v>6.2023173075093528E-3</v>
      </c>
      <c r="F207" s="253">
        <v>4958.6099999999997</v>
      </c>
      <c r="G207" s="175">
        <f t="shared" si="61"/>
        <v>-3.2223437273854296E-3</v>
      </c>
      <c r="H207" s="254">
        <f>(F207-F$2)/F$2</f>
        <v>-2.6138617750456655E-2</v>
      </c>
      <c r="I207" s="255">
        <v>343338.01</v>
      </c>
      <c r="J207" s="256">
        <v>400000</v>
      </c>
      <c r="K207" s="256">
        <f>I207-I206-J207+J206</f>
        <v>-2077.5499999999884</v>
      </c>
      <c r="L207" s="175">
        <f t="shared" si="86"/>
        <v>-6.0146392941881031E-3</v>
      </c>
      <c r="M207" s="257">
        <f t="shared" ref="M207" si="156">I207-J207</f>
        <v>-56661.989999999991</v>
      </c>
      <c r="N207" s="258">
        <f t="shared" ref="N207" si="157">M207/J207</f>
        <v>-0.14165497499999999</v>
      </c>
      <c r="O207" s="257" t="b">
        <f t="shared" ref="O207" si="158">L207&gt;D207</f>
        <v>0</v>
      </c>
      <c r="P207" s="258">
        <f>COUNTIF(O$2:O207, TRUE)/(COUNTIF(O$2:O207,FALSE) + COUNTIF(O$2:O207, TRUE))</f>
        <v>0.49029126213592233</v>
      </c>
      <c r="Q207" s="256">
        <v>224600.69</v>
      </c>
      <c r="R207" s="256">
        <f t="shared" ref="R207" si="159">I207-Q207</f>
        <v>118737.32</v>
      </c>
      <c r="S207" s="256">
        <v>-66856.5</v>
      </c>
      <c r="T207" s="256">
        <f t="shared" ref="T207" si="160">M207-S207</f>
        <v>10194.510000000009</v>
      </c>
      <c r="U207" s="258">
        <f>STDEV(D$2:D207)*SQRT(252)</f>
        <v>0.17625845275295093</v>
      </c>
      <c r="V207" s="258">
        <f>STDEV(L$2:L207)*SQRT(252)</f>
        <v>0.37597781518957712</v>
      </c>
    </row>
    <row r="208" spans="2:22" ht="20.100000000000001" customHeight="1" x14ac:dyDescent="0.25">
      <c r="B208" s="250">
        <v>42531</v>
      </c>
      <c r="C208" s="251">
        <v>2096.0700000000002</v>
      </c>
      <c r="D208" s="175">
        <f t="shared" si="68"/>
        <v>-9.1752226445061431E-3</v>
      </c>
      <c r="E208" s="252">
        <f t="shared" ref="E208:E209" si="161">(C208-$C$2)/$C$2</f>
        <v>-3.0298129792050619E-3</v>
      </c>
      <c r="F208" s="253">
        <v>4894.54</v>
      </c>
      <c r="G208" s="175">
        <f t="shared" si="61"/>
        <v>-1.2920959704433242E-2</v>
      </c>
      <c r="H208" s="254">
        <f>(F208-F$2)/F$2</f>
        <v>-3.8721841428206664E-2</v>
      </c>
      <c r="I208" s="255">
        <v>332939.06</v>
      </c>
      <c r="J208" s="256">
        <v>400000</v>
      </c>
      <c r="K208" s="256">
        <f>I208-I207-J208+J207</f>
        <v>-10398.950000000012</v>
      </c>
      <c r="L208" s="175">
        <f t="shared" si="86"/>
        <v>-3.0287791322609493E-2</v>
      </c>
      <c r="M208" s="257">
        <f t="shared" ref="M208:M209" si="162">I208-J208</f>
        <v>-67060.94</v>
      </c>
      <c r="N208" s="258">
        <f t="shared" ref="N208:N209" si="163">M208/J208</f>
        <v>-0.16765235000000001</v>
      </c>
      <c r="O208" s="257" t="b">
        <f t="shared" ref="O208:O209" si="164">L208&gt;D208</f>
        <v>0</v>
      </c>
      <c r="P208" s="258">
        <f>COUNTIF(O$2:O208, TRUE)/(COUNTIF(O$2:O208,FALSE) + COUNTIF(O$2:O208, TRUE))</f>
        <v>0.48792270531400966</v>
      </c>
      <c r="Q208" s="256">
        <v>258667.11</v>
      </c>
      <c r="R208" s="256">
        <f t="shared" ref="R208:R209" si="165">I208-Q208</f>
        <v>74271.950000000012</v>
      </c>
      <c r="S208" s="256">
        <v>-76706.92</v>
      </c>
      <c r="T208" s="256">
        <f>M208-S208</f>
        <v>9645.9799999999959</v>
      </c>
      <c r="U208" s="258">
        <f>STDEV(D$2:D208)*SQRT(252)</f>
        <v>0.17612650252391751</v>
      </c>
      <c r="V208" s="258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50">
        <v>42541</v>
      </c>
      <c r="C214" s="251">
        <v>2083.25</v>
      </c>
      <c r="D214" s="175">
        <f t="shared" si="68"/>
        <v>5.808171029634805E-3</v>
      </c>
      <c r="E214" s="252">
        <f t="shared" si="191"/>
        <v>-9.1274899640418055E-3</v>
      </c>
      <c r="F214" s="253">
        <v>4837.21</v>
      </c>
      <c r="G214" s="175">
        <f t="shared" si="61"/>
        <v>7.6807059499951853E-3</v>
      </c>
      <c r="H214" s="254">
        <f t="shared" si="192"/>
        <v>-4.9981342184339181E-2</v>
      </c>
      <c r="I214" s="255">
        <v>341742.75</v>
      </c>
      <c r="J214" s="256">
        <v>400000</v>
      </c>
      <c r="K214" s="256">
        <f t="shared" si="193"/>
        <v>13158.270000000019</v>
      </c>
      <c r="L214" s="175">
        <f t="shared" si="86"/>
        <v>4.0045318025976211E-2</v>
      </c>
      <c r="M214" s="257">
        <f t="shared" si="194"/>
        <v>-58257.25</v>
      </c>
      <c r="N214" s="258">
        <f t="shared" si="195"/>
        <v>-0.14564312500000001</v>
      </c>
      <c r="O214" s="257" t="b">
        <f t="shared" si="196"/>
        <v>1</v>
      </c>
      <c r="P214" s="258">
        <f>COUNTIF(O$2:O214, TRUE)/(COUNTIF(O$2:O214,FALSE) + COUNTIF(O$2:O214, TRUE))</f>
        <v>0.48356807511737088</v>
      </c>
      <c r="Q214" s="256">
        <v>253651.64</v>
      </c>
      <c r="R214" s="256">
        <f t="shared" si="197"/>
        <v>88091.109999999986</v>
      </c>
      <c r="S214" s="256">
        <v>-65989</v>
      </c>
      <c r="T214" s="256">
        <f t="shared" si="198"/>
        <v>7731.75</v>
      </c>
      <c r="U214" s="258">
        <f>STDEV(D$2:D214)*SQRT(252)</f>
        <v>0.1740406908760673</v>
      </c>
      <c r="V214" s="258">
        <f>STDEV(L$2:L214)*SQRT(252)</f>
        <v>0.37498171296802196</v>
      </c>
    </row>
    <row r="215" spans="2:22" ht="20.100000000000001" customHeight="1" x14ac:dyDescent="0.25">
      <c r="B215" s="250">
        <v>42542</v>
      </c>
      <c r="C215" s="251">
        <v>2088.9</v>
      </c>
      <c r="D215" s="175">
        <f t="shared" si="68"/>
        <v>2.7121084843394171E-3</v>
      </c>
      <c r="E215" s="252">
        <f t="shared" ref="E215" si="199">(C215-$C$2)/$C$2</f>
        <v>-6.4401362226745888E-3</v>
      </c>
      <c r="F215" s="253">
        <v>4843.76</v>
      </c>
      <c r="G215" s="175">
        <f t="shared" si="61"/>
        <v>1.3540863431606611E-3</v>
      </c>
      <c r="H215" s="254">
        <f t="shared" ref="H215" si="200">(F215-F$2)/F$2</f>
        <v>-4.8694934894043168E-2</v>
      </c>
      <c r="I215" s="255">
        <v>348811.35</v>
      </c>
      <c r="J215" s="256">
        <v>400000</v>
      </c>
      <c r="K215" s="256">
        <f t="shared" ref="K215" si="201">I215-I214-J215+J214</f>
        <v>7068.5999999999767</v>
      </c>
      <c r="L215" s="175">
        <f t="shared" si="86"/>
        <v>2.0683979396783039E-2</v>
      </c>
      <c r="M215" s="257">
        <f t="shared" ref="M215" si="202">I215-J215</f>
        <v>-51188.650000000023</v>
      </c>
      <c r="N215" s="258">
        <f t="shared" ref="N215" si="203">M215/J215</f>
        <v>-0.12797162500000006</v>
      </c>
      <c r="O215" s="257" t="b">
        <f t="shared" ref="O215" si="204">L215&gt;D215</f>
        <v>1</v>
      </c>
      <c r="P215" s="258">
        <f>COUNTIF(O$2:O215, TRUE)/(COUNTIF(O$2:O215,FALSE) + COUNTIF(O$2:O215, TRUE))</f>
        <v>0.48598130841121495</v>
      </c>
      <c r="Q215" s="256">
        <v>239827.20000000001</v>
      </c>
      <c r="R215" s="256">
        <f t="shared" ref="R215" si="205">I215-Q215</f>
        <v>108984.14999999997</v>
      </c>
      <c r="S215" s="256">
        <v>-59378</v>
      </c>
      <c r="T215" s="256">
        <f t="shared" ref="T215" si="206">M215-S215</f>
        <v>8189.3499999999767</v>
      </c>
      <c r="U215" s="258">
        <f>STDEV(D$2:D215)*SQRT(252)</f>
        <v>0.17365448408627729</v>
      </c>
      <c r="V215" s="258">
        <f>STDEV(L$2:L215)*SQRT(252)</f>
        <v>0.37477394701034494</v>
      </c>
    </row>
    <row r="216" spans="2:22" ht="20.100000000000001" customHeight="1" x14ac:dyDescent="0.25">
      <c r="B216" s="250">
        <v>42543</v>
      </c>
      <c r="C216" s="251">
        <v>2085.4499999999998</v>
      </c>
      <c r="D216" s="175">
        <f t="shared" si="68"/>
        <v>-1.6515869596439622E-3</v>
      </c>
      <c r="E216" s="252">
        <f t="shared" ref="E216" si="207">(C216-$C$2)/$C$2</f>
        <v>-8.081086737314851E-3</v>
      </c>
      <c r="F216" s="253">
        <v>4833.3100000000004</v>
      </c>
      <c r="G216" s="175">
        <f t="shared" si="61"/>
        <v>-2.1574149008208123E-3</v>
      </c>
      <c r="H216" s="254">
        <f t="shared" ref="H216" si="208">(F216-F$2)/F$2</f>
        <v>-5.0747294616729076E-2</v>
      </c>
      <c r="I216" s="255">
        <v>345838.5</v>
      </c>
      <c r="J216" s="256">
        <v>400000</v>
      </c>
      <c r="K216" s="256">
        <f t="shared" ref="K216" si="209">I216-I215-J216+J215</f>
        <v>-2972.8499999999767</v>
      </c>
      <c r="L216" s="175">
        <f t="shared" si="86"/>
        <v>-8.5228017952970192E-3</v>
      </c>
      <c r="M216" s="257">
        <f t="shared" ref="M216" si="210">I216-J216</f>
        <v>-54161.5</v>
      </c>
      <c r="N216" s="258">
        <f t="shared" ref="N216" si="211">M216/J216</f>
        <v>-0.13540374999999999</v>
      </c>
      <c r="O216" s="257" t="b">
        <f t="shared" ref="O216" si="212">L216&gt;D216</f>
        <v>0</v>
      </c>
      <c r="P216" s="258">
        <f>COUNTIF(O$2:O216, TRUE)/(COUNTIF(O$2:O216,FALSE) + COUNTIF(O$2:O216, TRUE))</f>
        <v>0.48372093023255813</v>
      </c>
      <c r="Q216" s="256">
        <v>250911.65</v>
      </c>
      <c r="R216" s="256">
        <f t="shared" ref="R216" si="213">I216-Q216</f>
        <v>94926.85</v>
      </c>
      <c r="S216" s="256">
        <v>-62340</v>
      </c>
      <c r="T216" s="256">
        <f t="shared" ref="T216" si="214">M216-S216</f>
        <v>8178.5</v>
      </c>
      <c r="U216" s="258">
        <f>STDEV(D$2:D216)*SQRT(252)</f>
        <v>0.17325596668423277</v>
      </c>
      <c r="V216" s="258">
        <f>STDEV(L$2:L216)*SQRT(252)</f>
        <v>0.37400942044017926</v>
      </c>
    </row>
    <row r="217" spans="2:22" ht="20.100000000000001" customHeight="1" x14ac:dyDescent="0.25">
      <c r="B217" s="250">
        <v>42544</v>
      </c>
      <c r="C217" s="251">
        <v>2113.3200000000002</v>
      </c>
      <c r="D217" s="175">
        <f t="shared" si="68"/>
        <v>1.3364022153492219E-2</v>
      </c>
      <c r="E217" s="252">
        <f t="shared" ref="E217" si="215">(C217-$C$2)/$C$2</f>
        <v>5.1749395939956E-3</v>
      </c>
      <c r="F217" s="253">
        <v>4910.04</v>
      </c>
      <c r="G217" s="175">
        <f t="shared" si="61"/>
        <v>1.5875249052926369E-2</v>
      </c>
      <c r="H217" s="254">
        <f t="shared" ref="H217" si="216">(F217-F$2)/F$2</f>
        <v>-3.5677671504605504E-2</v>
      </c>
      <c r="I217" s="255">
        <v>355595.65</v>
      </c>
      <c r="J217" s="256">
        <v>400000</v>
      </c>
      <c r="K217" s="256">
        <f t="shared" ref="K217" si="217">I217-I216-J217+J216</f>
        <v>9757.1500000000233</v>
      </c>
      <c r="L217" s="175">
        <f t="shared" si="86"/>
        <v>2.8213024287348065E-2</v>
      </c>
      <c r="M217" s="257">
        <f t="shared" ref="M217" si="218">I217-J217</f>
        <v>-44404.349999999977</v>
      </c>
      <c r="N217" s="258">
        <f t="shared" ref="N217" si="219">M217/J217</f>
        <v>-0.11101087499999994</v>
      </c>
      <c r="O217" s="257" t="b">
        <f t="shared" ref="O217" si="220">L217&gt;D217</f>
        <v>1</v>
      </c>
      <c r="P217" s="258">
        <f>COUNTIF(O$2:O217, TRUE)/(COUNTIF(O$2:O217,FALSE) + COUNTIF(O$2:O217, TRUE))</f>
        <v>0.4861111111111111</v>
      </c>
      <c r="Q217" s="256">
        <v>222188.6</v>
      </c>
      <c r="R217" s="256">
        <f t="shared" ref="R217" si="221">I217-Q217</f>
        <v>133407.05000000002</v>
      </c>
      <c r="S217" s="256">
        <v>-52883</v>
      </c>
      <c r="T217" s="256">
        <f t="shared" ref="T217" si="222">M217-S217</f>
        <v>8478.6500000000233</v>
      </c>
      <c r="U217" s="258">
        <f>STDEV(D$2:D217)*SQRT(252)</f>
        <v>0.17345322733352617</v>
      </c>
      <c r="V217" s="258">
        <f>STDEV(L$2:L217)*SQRT(252)</f>
        <v>0.37437996728891731</v>
      </c>
    </row>
    <row r="218" spans="2:22" ht="20.100000000000001" customHeight="1" x14ac:dyDescent="0.25">
      <c r="B218" s="250">
        <v>42545</v>
      </c>
      <c r="C218" s="251">
        <v>2037.3</v>
      </c>
      <c r="D218" s="175">
        <f t="shared" si="68"/>
        <v>-3.5971835784452996E-2</v>
      </c>
      <c r="E218" s="252">
        <f t="shared" ref="E218" si="223">(C218-$C$2)/$C$2</f>
        <v>-3.0983048267727069E-2</v>
      </c>
      <c r="F218" s="253">
        <v>4707.9799999999996</v>
      </c>
      <c r="G218" s="175">
        <f t="shared" si="61"/>
        <v>-4.1152414236951311E-2</v>
      </c>
      <c r="H218" s="254">
        <f t="shared" ref="H218" si="224">(F218-F$2)/F$2</f>
        <v>-7.5361863424789413E-2</v>
      </c>
      <c r="I218" s="255">
        <v>344597.21</v>
      </c>
      <c r="J218" s="256">
        <v>400000</v>
      </c>
      <c r="K218" s="256">
        <f t="shared" ref="K218" si="225">I218-I217-J218+J217</f>
        <v>-10998.440000000002</v>
      </c>
      <c r="L218" s="175">
        <f t="shared" si="86"/>
        <v>-3.092962470153952E-2</v>
      </c>
      <c r="M218" s="257">
        <f t="shared" ref="M218" si="226">I218-J218</f>
        <v>-55402.789999999979</v>
      </c>
      <c r="N218" s="258">
        <f t="shared" ref="N218" si="227">M218/J218</f>
        <v>-0.13850697499999995</v>
      </c>
      <c r="O218" s="257" t="b">
        <f t="shared" ref="O218" si="228">L218&gt;D218</f>
        <v>1</v>
      </c>
      <c r="P218" s="258">
        <f>COUNTIF(O$2:O218, TRUE)/(COUNTIF(O$2:O218,FALSE) + COUNTIF(O$2:O218, TRUE))</f>
        <v>0.48847926267281105</v>
      </c>
      <c r="Q218" s="256">
        <v>292212.87</v>
      </c>
      <c r="R218" s="256">
        <f t="shared" ref="R218" si="229">I218-Q218</f>
        <v>52384.340000000026</v>
      </c>
      <c r="S218" s="256">
        <v>-60319</v>
      </c>
      <c r="T218" s="256">
        <f t="shared" ref="T218" si="230">M218-S218</f>
        <v>4916.210000000021</v>
      </c>
      <c r="U218" s="258">
        <f>STDEV(D$2:D218)*SQRT(252)</f>
        <v>0.17737738991567559</v>
      </c>
      <c r="V218" s="258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56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6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50">
        <v>42556</v>
      </c>
      <c r="C224" s="251">
        <v>2088.5500000000002</v>
      </c>
      <c r="D224" s="175">
        <f t="shared" si="68"/>
        <v>-6.847523716683534E-3</v>
      </c>
      <c r="E224" s="252">
        <f t="shared" ref="E224" si="272">(C224-$C$2)/$C$2</f>
        <v>-6.6066094632902111E-3</v>
      </c>
      <c r="F224" s="253">
        <v>4822.8999999999996</v>
      </c>
      <c r="G224" s="175">
        <f t="shared" si="61"/>
        <v>-8.1623167900235286E-3</v>
      </c>
      <c r="H224" s="254">
        <f t="shared" ref="H224" si="273">(F224-F$2)/F$2</f>
        <v>-5.2791798417031674E-2</v>
      </c>
      <c r="I224" s="255">
        <v>346939.19</v>
      </c>
      <c r="J224" s="256">
        <v>400000</v>
      </c>
      <c r="K224" s="256">
        <f t="shared" ref="K224" si="274">I224-I223-J224+J223</f>
        <v>-11921.77999999997</v>
      </c>
      <c r="L224" s="175">
        <f t="shared" si="242"/>
        <v>-3.3221166403245163E-2</v>
      </c>
      <c r="M224" s="257">
        <f t="shared" ref="M224" si="275">I224-J224</f>
        <v>-53060.81</v>
      </c>
      <c r="N224" s="258">
        <f t="shared" ref="N224" si="276">M224/J224</f>
        <v>-0.13265202500000001</v>
      </c>
      <c r="O224" s="257" t="b">
        <f t="shared" ref="O224" si="277">L224&gt;D224</f>
        <v>0</v>
      </c>
      <c r="P224" s="258">
        <f>COUNTIF(O$2:O224, TRUE)/(COUNTIF(O$2:O224,FALSE) + COUNTIF(O$2:O224, TRUE))</f>
        <v>0.48430493273542602</v>
      </c>
      <c r="Q224" s="256">
        <v>313798.31</v>
      </c>
      <c r="R224" s="256">
        <f t="shared" ref="R224" si="278">I224-Q224</f>
        <v>33140.880000000005</v>
      </c>
      <c r="S224" s="256">
        <v>-60102</v>
      </c>
      <c r="T224" s="256">
        <f t="shared" ref="T224" si="279">M224-S224</f>
        <v>7041.1900000000023</v>
      </c>
      <c r="U224" s="258">
        <f>STDEV(D$2:D224)*SQRT(252)</f>
        <v>0.1787168459746149</v>
      </c>
      <c r="V224" s="258">
        <f>STDEV(L$2:L224)*SQRT(252)</f>
        <v>0.38112496311245453</v>
      </c>
    </row>
    <row r="225" spans="2:22" ht="20.100000000000001" customHeight="1" x14ac:dyDescent="0.25">
      <c r="B225" s="250">
        <v>42557</v>
      </c>
      <c r="C225" s="251">
        <v>2088.5500000000002</v>
      </c>
      <c r="D225" s="175">
        <f t="shared" si="68"/>
        <v>0</v>
      </c>
      <c r="E225" s="252">
        <f t="shared" ref="E225" si="280">(C225-$C$2)/$C$2</f>
        <v>-6.6066094632902111E-3</v>
      </c>
      <c r="F225" s="253">
        <v>4859.16</v>
      </c>
      <c r="G225" s="175">
        <f t="shared" si="61"/>
        <v>7.5182981193887954E-3</v>
      </c>
      <c r="H225" s="254">
        <f t="shared" ref="H225" si="281">(F225-F$2)/F$2</f>
        <v>-4.5670404776400803E-2</v>
      </c>
      <c r="I225" s="255">
        <v>347494.51</v>
      </c>
      <c r="J225" s="256">
        <v>400000</v>
      </c>
      <c r="K225" s="256">
        <f t="shared" ref="K225" si="282">I225-I224-J225+J224</f>
        <v>555.32000000000698</v>
      </c>
      <c r="L225" s="175">
        <f t="shared" si="242"/>
        <v>1.6006263230164543E-3</v>
      </c>
      <c r="M225" s="257">
        <f t="shared" ref="M225" si="283">I225-J225</f>
        <v>-52505.489999999991</v>
      </c>
      <c r="N225" s="258">
        <f t="shared" ref="N225" si="284">M225/J225</f>
        <v>-0.13126372499999997</v>
      </c>
      <c r="O225" s="257" t="b">
        <f t="shared" ref="O225" si="285">L225&gt;D225</f>
        <v>1</v>
      </c>
      <c r="P225" s="258">
        <f>COUNTIF(O$2:O225, TRUE)/(COUNTIF(O$2:O225,FALSE) + COUNTIF(O$2:O225, TRUE))</f>
        <v>0.48660714285714285</v>
      </c>
      <c r="Q225" s="256">
        <v>315793.82</v>
      </c>
      <c r="R225" s="256">
        <f t="shared" ref="R225" si="286">I225-Q225</f>
        <v>31700.690000000002</v>
      </c>
      <c r="S225" s="256">
        <v>-60101</v>
      </c>
      <c r="T225" s="256">
        <f t="shared" ref="T225" si="287">M225-S225</f>
        <v>7595.5100000000093</v>
      </c>
      <c r="U225" s="258">
        <f>STDEV(D$2:D225)*SQRT(252)</f>
        <v>0.17831387977448732</v>
      </c>
      <c r="V225" s="258">
        <f>STDEV(L$2:L225)*SQRT(252)</f>
        <v>0.38026911407606601</v>
      </c>
    </row>
    <row r="226" spans="2:22" ht="20.100000000000001" customHeight="1" x14ac:dyDescent="0.25">
      <c r="B226" s="250">
        <v>42558</v>
      </c>
      <c r="C226" s="251">
        <v>2088.5500000000002</v>
      </c>
      <c r="D226" s="175">
        <f t="shared" si="68"/>
        <v>0</v>
      </c>
      <c r="E226" s="252">
        <f t="shared" ref="E226" si="288">(C226-$C$2)/$C$2</f>
        <v>-6.6066094632902111E-3</v>
      </c>
      <c r="F226" s="253">
        <v>4876.8</v>
      </c>
      <c r="G226" s="175">
        <f t="shared" si="61"/>
        <v>3.630257081470939E-3</v>
      </c>
      <c r="H226" s="254">
        <f t="shared" ref="H226" si="289">(F226-F$2)/F$2</f>
        <v>-4.2205943005283041E-2</v>
      </c>
      <c r="I226" s="255">
        <v>350011.84</v>
      </c>
      <c r="J226" s="256">
        <v>400000</v>
      </c>
      <c r="K226" s="256">
        <f t="shared" ref="K226" si="290">I226-I225-J226+J225</f>
        <v>2517.3300000000163</v>
      </c>
      <c r="L226" s="175">
        <f t="shared" si="242"/>
        <v>7.2442295563173538E-3</v>
      </c>
      <c r="M226" s="257">
        <f t="shared" ref="M226" si="291">I226-J226</f>
        <v>-49988.159999999974</v>
      </c>
      <c r="N226" s="258">
        <f t="shared" ref="N226" si="292">M226/J226</f>
        <v>-0.12497039999999994</v>
      </c>
      <c r="O226" s="257" t="b">
        <f t="shared" ref="O226" si="293">L226&gt;D226</f>
        <v>1</v>
      </c>
      <c r="P226" s="258">
        <f>COUNTIF(O$2:O226, TRUE)/(COUNTIF(O$2:O226,FALSE) + COUNTIF(O$2:O226, TRUE))</f>
        <v>0.48888888888888887</v>
      </c>
      <c r="Q226" s="256">
        <v>315794.82</v>
      </c>
      <c r="R226" s="256">
        <f t="shared" ref="R226" si="294">I226-Q226</f>
        <v>34217.020000000019</v>
      </c>
      <c r="S226" s="256">
        <v>-60100</v>
      </c>
      <c r="T226" s="256">
        <f t="shared" ref="T226" si="295">M226-S226</f>
        <v>10111.840000000026</v>
      </c>
      <c r="U226" s="258">
        <f>STDEV(D$2:D226)*SQRT(252)</f>
        <v>0.17791362713368658</v>
      </c>
      <c r="V226" s="258">
        <f>STDEV(L$2:L226)*SQRT(252)</f>
        <v>0.3794918182893931</v>
      </c>
    </row>
    <row r="227" spans="2:22" ht="20.100000000000001" customHeight="1" x14ac:dyDescent="0.25">
      <c r="B227" s="250">
        <v>42559</v>
      </c>
      <c r="C227" s="251">
        <v>2088.5500000000002</v>
      </c>
      <c r="D227" s="175">
        <f t="shared" si="68"/>
        <v>0</v>
      </c>
      <c r="E227" s="252">
        <f t="shared" ref="E227" si="296">(C227-$C$2)/$C$2</f>
        <v>-6.6066094632902111E-3</v>
      </c>
      <c r="F227" s="253">
        <v>4956.75</v>
      </c>
      <c r="G227" s="175">
        <f t="shared" si="61"/>
        <v>1.6393946850393661E-2</v>
      </c>
      <c r="H227" s="254">
        <f t="shared" ref="H227" si="297">(F227-F$2)/F$2</f>
        <v>-2.6503918141288729E-2</v>
      </c>
      <c r="I227" s="255">
        <f>356591.17-44.77</f>
        <v>356546.39999999997</v>
      </c>
      <c r="J227" s="256">
        <v>400000</v>
      </c>
      <c r="K227" s="256">
        <f t="shared" ref="K227" si="298">I227-I226-J227+J226</f>
        <v>6534.5599999999395</v>
      </c>
      <c r="L227" s="175">
        <f t="shared" si="242"/>
        <v>1.8669539864708401E-2</v>
      </c>
      <c r="M227" s="257">
        <f t="shared" ref="M227" si="299">I227-J227</f>
        <v>-43453.600000000035</v>
      </c>
      <c r="N227" s="258">
        <f t="shared" ref="N227" si="300">M227/J227</f>
        <v>-0.10863400000000009</v>
      </c>
      <c r="O227" s="257" t="b">
        <f t="shared" ref="O227" si="301">L227&gt;D227</f>
        <v>1</v>
      </c>
      <c r="P227" s="258">
        <f>COUNTIF(O$2:O227, TRUE)/(COUNTIF(O$2:O227,FALSE) + COUNTIF(O$2:O227, TRUE))</f>
        <v>0.49115044247787609</v>
      </c>
      <c r="Q227" s="256">
        <v>317292.78000000003</v>
      </c>
      <c r="R227" s="256">
        <f t="shared" ref="R227" si="302">I227-Q227</f>
        <v>39253.619999999937</v>
      </c>
      <c r="S227" s="256">
        <v>-54317</v>
      </c>
      <c r="T227" s="256">
        <f t="shared" ref="T227" si="303">M227-S227</f>
        <v>10863.399999999965</v>
      </c>
      <c r="U227" s="258">
        <f>STDEV(D$2:D227)*SQRT(252)</f>
        <v>0.17751605773328505</v>
      </c>
      <c r="V227" s="258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50">
        <v>42569</v>
      </c>
      <c r="C233" s="251">
        <v>2166.89</v>
      </c>
      <c r="D233" s="175">
        <f t="shared" si="68"/>
        <v>2.3823401519147036E-3</v>
      </c>
      <c r="E233" s="252">
        <f t="shared" ref="E233" si="344">(C233-$C$2)/$C$2</f>
        <v>3.0654858164798907E-2</v>
      </c>
      <c r="F233" s="253">
        <v>5055.78</v>
      </c>
      <c r="G233" s="175">
        <f t="shared" si="61"/>
        <v>5.209182476469172E-3</v>
      </c>
      <c r="H233" s="254">
        <f t="shared" ref="H233" si="345">(F233-F$2)/F$2</f>
        <v>-7.0546183003712066E-3</v>
      </c>
      <c r="I233" s="255">
        <f>369683.39+2.9</f>
        <v>369686.29000000004</v>
      </c>
      <c r="J233" s="256">
        <v>400000</v>
      </c>
      <c r="K233" s="256">
        <f t="shared" ref="K233" si="346">I233-I232-J233+J232</f>
        <v>1338.8500000000349</v>
      </c>
      <c r="L233" s="175">
        <f t="shared" si="242"/>
        <v>3.6347476719263611E-3</v>
      </c>
      <c r="M233" s="257">
        <f t="shared" ref="M233" si="347">I233-J233</f>
        <v>-30313.709999999963</v>
      </c>
      <c r="N233" s="258">
        <f t="shared" ref="N233" si="348">M233/J233</f>
        <v>-7.5784274999999901E-2</v>
      </c>
      <c r="O233" s="257" t="b">
        <f t="shared" ref="O233" si="349">L233&gt;D233</f>
        <v>1</v>
      </c>
      <c r="P233" s="258">
        <f>COUNTIF(O$2:O233, TRUE)/(COUNTIF(O$2:O233,FALSE) + COUNTIF(O$2:O233, TRUE))</f>
        <v>0.49137931034482757</v>
      </c>
      <c r="Q233" s="256">
        <v>316103.03999999998</v>
      </c>
      <c r="R233" s="256">
        <f t="shared" ref="R233" si="350">I233-Q233</f>
        <v>53583.250000000058</v>
      </c>
      <c r="S233" s="256">
        <v>-47875</v>
      </c>
      <c r="T233" s="256">
        <f t="shared" ref="T233" si="351">M233-S233</f>
        <v>17561.290000000037</v>
      </c>
      <c r="U233" s="258">
        <f>STDEV(D$2:D233)*SQRT(252)</f>
        <v>0.17710334708213829</v>
      </c>
      <c r="V233" s="258">
        <f>STDEV(L$2:L233)*SQRT(252)</f>
        <v>0.37677647505559991</v>
      </c>
    </row>
    <row r="234" spans="2:22" ht="20.100000000000001" customHeight="1" x14ac:dyDescent="0.25">
      <c r="B234" s="250">
        <v>42570</v>
      </c>
      <c r="C234" s="251">
        <v>2163.7800000000002</v>
      </c>
      <c r="D234" s="175">
        <f t="shared" si="68"/>
        <v>-1.4352366756040559E-3</v>
      </c>
      <c r="E234" s="252">
        <f t="shared" ref="E234" si="352">(C234-$C$2)/$C$2</f>
        <v>2.9175624512471292E-2</v>
      </c>
      <c r="F234" s="253">
        <v>5036.37</v>
      </c>
      <c r="G234" s="175">
        <f t="shared" si="61"/>
        <v>-3.8391702170584669E-3</v>
      </c>
      <c r="H234" s="254">
        <f t="shared" ref="H234" si="353">(F234-F$2)/F$2</f>
        <v>-1.0866704636958173E-2</v>
      </c>
      <c r="I234" s="255">
        <v>364028.85</v>
      </c>
      <c r="J234" s="256">
        <v>400000</v>
      </c>
      <c r="K234" s="256">
        <f t="shared" ref="K234" si="354">I234-I233-J234+J233</f>
        <v>-5657.4400000000605</v>
      </c>
      <c r="L234" s="175">
        <f t="shared" si="242"/>
        <v>-1.5303353554171728E-2</v>
      </c>
      <c r="M234" s="257">
        <f t="shared" ref="M234" si="355">I234-J234</f>
        <v>-35971.150000000023</v>
      </c>
      <c r="N234" s="258">
        <f t="shared" ref="N234" si="356">M234/J234</f>
        <v>-8.992787500000006E-2</v>
      </c>
      <c r="O234" s="257" t="b">
        <f t="shared" ref="O234" si="357">L234&gt;D234</f>
        <v>0</v>
      </c>
      <c r="P234" s="258">
        <f>COUNTIF(O$2:O234, TRUE)/(COUNTIF(O$2:O234,FALSE) + COUNTIF(O$2:O234, TRUE))</f>
        <v>0.48927038626609443</v>
      </c>
      <c r="Q234" s="256">
        <v>316420.40000000002</v>
      </c>
      <c r="R234" s="256">
        <f t="shared" ref="R234" si="358">I234-Q234</f>
        <v>47608.449999999953</v>
      </c>
      <c r="S234" s="256">
        <v>-53164</v>
      </c>
      <c r="T234" s="256">
        <f t="shared" ref="T234" si="359">M234-S234</f>
        <v>17192.849999999977</v>
      </c>
      <c r="U234" s="258">
        <f>STDEV(D$2:D234)*SQRT(252)</f>
        <v>0.17672773618130258</v>
      </c>
      <c r="V234" s="258">
        <f>STDEV(L$2:L234)*SQRT(252)</f>
        <v>0.37631344049170978</v>
      </c>
    </row>
    <row r="235" spans="2:22" ht="20.100000000000001" customHeight="1" x14ac:dyDescent="0.25">
      <c r="B235" s="250">
        <v>42571</v>
      </c>
      <c r="C235" s="251">
        <v>2173.02</v>
      </c>
      <c r="D235" s="175">
        <f t="shared" si="68"/>
        <v>4.2703047444748454E-3</v>
      </c>
      <c r="E235" s="252">
        <f t="shared" ref="E235" si="360">(C235-$C$2)/$C$2</f>
        <v>3.3570518064724761E-2</v>
      </c>
      <c r="F235" s="253">
        <v>5089.93</v>
      </c>
      <c r="G235" s="175">
        <f t="shared" si="61"/>
        <v>1.0634643602435961E-2</v>
      </c>
      <c r="H235" s="254">
        <f t="shared" ref="H235" si="361">(F235-F$2)/F$2</f>
        <v>-3.4762456546920032E-4</v>
      </c>
      <c r="I235" s="255">
        <v>366983.12</v>
      </c>
      <c r="J235" s="256">
        <v>400000</v>
      </c>
      <c r="K235" s="256">
        <f t="shared" ref="K235" si="362">I235-I234-J235+J234</f>
        <v>2954.2700000000186</v>
      </c>
      <c r="L235" s="175">
        <f t="shared" si="242"/>
        <v>8.1154831547005646E-3</v>
      </c>
      <c r="M235" s="257">
        <f t="shared" ref="M235" si="363">I235-J235</f>
        <v>-33016.880000000005</v>
      </c>
      <c r="N235" s="258">
        <f t="shared" ref="N235" si="364">M235/J235</f>
        <v>-8.254220000000001E-2</v>
      </c>
      <c r="O235" s="257" t="b">
        <f t="shared" ref="O235" si="365">L235&gt;D235</f>
        <v>1</v>
      </c>
      <c r="P235" s="258">
        <f>COUNTIF(O$2:O235, TRUE)/(COUNTIF(O$2:O235,FALSE) + COUNTIF(O$2:O235, TRUE))</f>
        <v>0.49145299145299143</v>
      </c>
      <c r="Q235" s="256">
        <v>315168.17</v>
      </c>
      <c r="R235" s="256">
        <f t="shared" ref="R235" si="366">I235-Q235</f>
        <v>51814.950000000012</v>
      </c>
      <c r="S235" s="256">
        <v>-50698</v>
      </c>
      <c r="T235" s="256">
        <f t="shared" ref="T235" si="367">M235-S235</f>
        <v>17681.119999999995</v>
      </c>
      <c r="U235" s="258">
        <f>STDEV(D$2:D235)*SQRT(252)</f>
        <v>0.17639759874782845</v>
      </c>
      <c r="V235" s="258">
        <f>STDEV(L$2:L235)*SQRT(252)</f>
        <v>0.37559009819227351</v>
      </c>
    </row>
    <row r="236" spans="2:22" ht="20.100000000000001" customHeight="1" x14ac:dyDescent="0.25">
      <c r="B236" s="250">
        <v>42572</v>
      </c>
      <c r="C236" s="251">
        <v>2165.17</v>
      </c>
      <c r="D236" s="175">
        <f t="shared" si="68"/>
        <v>-3.6124840084306217E-3</v>
      </c>
      <c r="E236" s="252">
        <f t="shared" ref="E236" si="368">(C236-$C$2)/$C$2</f>
        <v>2.9836761096630589E-2</v>
      </c>
      <c r="F236" s="253">
        <v>5073.8999999999996</v>
      </c>
      <c r="G236" s="175">
        <f t="shared" si="61"/>
        <v>-3.1493556885852365E-3</v>
      </c>
      <c r="H236" s="254">
        <f t="shared" ref="H236" si="369">(F236-F$2)/F$2</f>
        <v>-3.4958854606516846E-3</v>
      </c>
      <c r="I236" s="255">
        <f>360276.2+45</f>
        <v>360321.2</v>
      </c>
      <c r="J236" s="256">
        <v>400000</v>
      </c>
      <c r="K236" s="256">
        <f t="shared" ref="K236" si="370">I236-I235-J236+J235</f>
        <v>-6661.9199999999837</v>
      </c>
      <c r="L236" s="175">
        <f t="shared" si="242"/>
        <v>-1.8153205520733445E-2</v>
      </c>
      <c r="M236" s="257">
        <f t="shared" ref="M236" si="371">I236-J236</f>
        <v>-39678.799999999988</v>
      </c>
      <c r="N236" s="258">
        <f t="shared" ref="N236" si="372">M236/J236</f>
        <v>-9.9196999999999966E-2</v>
      </c>
      <c r="O236" s="257" t="b">
        <f t="shared" ref="O236" si="373">L236&gt;D236</f>
        <v>0</v>
      </c>
      <c r="P236" s="258">
        <f>COUNTIF(O$2:O236, TRUE)/(COUNTIF(O$2:O236,FALSE) + COUNTIF(O$2:O236, TRUE))</f>
        <v>0.48936170212765956</v>
      </c>
      <c r="Q236" s="256">
        <v>315749.06</v>
      </c>
      <c r="R236" s="256">
        <f t="shared" ref="R236" si="374">I236-Q236</f>
        <v>44572.140000000014</v>
      </c>
      <c r="S236" s="256">
        <v>-55981</v>
      </c>
      <c r="T236" s="256">
        <f t="shared" ref="T236" si="375">M236-S236</f>
        <v>16302.200000000012</v>
      </c>
      <c r="U236" s="258">
        <f>STDEV(D$2:D236)*SQRT(252)</f>
        <v>0.17606319207854554</v>
      </c>
      <c r="V236" s="258">
        <f>STDEV(L$2:L236)*SQRT(252)</f>
        <v>0.37527253812431671</v>
      </c>
    </row>
    <row r="237" spans="2:22" ht="20.100000000000001" customHeight="1" x14ac:dyDescent="0.25">
      <c r="B237" s="250">
        <v>42573</v>
      </c>
      <c r="C237" s="251">
        <v>2175.0300000000002</v>
      </c>
      <c r="D237" s="175">
        <f t="shared" si="68"/>
        <v>4.553914935085987E-3</v>
      </c>
      <c r="E237" s="252">
        <f t="shared" ref="E237" si="376">(C237-$C$2)/$C$2</f>
        <v>3.4526550103689116E-2</v>
      </c>
      <c r="F237" s="253">
        <v>5100.16</v>
      </c>
      <c r="G237" s="175">
        <f t="shared" si="61"/>
        <v>5.175506021009523E-3</v>
      </c>
      <c r="H237" s="254">
        <f t="shared" ref="H237" si="377">(F237-F$2)/F$2</f>
        <v>1.6615275841074762E-3</v>
      </c>
      <c r="I237" s="255">
        <v>357414.17</v>
      </c>
      <c r="J237" s="256">
        <v>400000</v>
      </c>
      <c r="K237" s="256">
        <f t="shared" ref="K237" si="378">I237-I236-J237+J236</f>
        <v>-2907.0300000000279</v>
      </c>
      <c r="L237" s="175">
        <f t="shared" si="242"/>
        <v>-8.0678849870616208E-3</v>
      </c>
      <c r="M237" s="257">
        <f>I237-J237</f>
        <v>-42585.830000000016</v>
      </c>
      <c r="N237" s="258">
        <f t="shared" ref="N237" si="379">M237/J237</f>
        <v>-0.10646457500000005</v>
      </c>
      <c r="O237" s="257" t="b">
        <f t="shared" ref="O237" si="380">L237&gt;D237</f>
        <v>0</v>
      </c>
      <c r="P237" s="258">
        <f>COUNTIF(O$2:O237, TRUE)/(COUNTIF(O$2:O237,FALSE) + COUNTIF(O$2:O237, TRUE))</f>
        <v>0.48728813559322032</v>
      </c>
      <c r="Q237" s="256">
        <v>316131.83</v>
      </c>
      <c r="R237" s="256">
        <f t="shared" ref="R237:R242" si="381">I237-Q237</f>
        <v>41282.339999999967</v>
      </c>
      <c r="S237" s="256">
        <v>-58740</v>
      </c>
      <c r="T237" s="256">
        <f t="shared" ref="T237:T242" si="382">M237-S237</f>
        <v>16154.169999999984</v>
      </c>
      <c r="U237" s="258">
        <f>STDEV(D$2:D237)*SQRT(252)</f>
        <v>0.17574477489002999</v>
      </c>
      <c r="V237" s="258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9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50">
        <v>42583</v>
      </c>
      <c r="C243" s="251">
        <v>2170.84</v>
      </c>
      <c r="D243" s="175">
        <f t="shared" si="68"/>
        <v>-1.2697828487301084E-3</v>
      </c>
      <c r="E243" s="252">
        <f t="shared" ref="E243" si="413">(C243-$C$2)/$C$2</f>
        <v>3.253362759460441E-2</v>
      </c>
      <c r="F243" s="253">
        <v>5184.1899999999996</v>
      </c>
      <c r="G243" s="175">
        <f t="shared" si="61"/>
        <v>4.2734297663947806E-3</v>
      </c>
      <c r="H243" s="254">
        <f t="shared" ref="H243" si="414">(F243-F$2)/F$2</f>
        <v>1.8164856531217428E-2</v>
      </c>
      <c r="I243" s="255">
        <v>345131.68</v>
      </c>
      <c r="J243" s="256">
        <v>400000</v>
      </c>
      <c r="K243" s="256">
        <f t="shared" ref="K243" si="415">I243-I242-J243+J242</f>
        <v>-7718.5100000000093</v>
      </c>
      <c r="L243" s="175">
        <f t="shared" si="242"/>
        <v>-2.1874750868066725E-2</v>
      </c>
      <c r="M243" s="257">
        <f t="shared" ref="M243" si="416">I243-J243</f>
        <v>-54868.320000000007</v>
      </c>
      <c r="N243" s="258">
        <f t="shared" ref="N243" si="417">M243/J243</f>
        <v>-0.13717080000000001</v>
      </c>
      <c r="O243" s="257" t="b">
        <f t="shared" ref="O243" si="418">L243&gt;D243</f>
        <v>0</v>
      </c>
      <c r="P243" s="258">
        <f>COUNTIF(O$2:O243, TRUE)/(COUNTIF(O$2:O243,FALSE) + COUNTIF(O$2:O243, TRUE))</f>
        <v>0.48760330578512395</v>
      </c>
      <c r="Q243" s="256">
        <v>293278.65999999997</v>
      </c>
      <c r="R243" s="256">
        <f t="shared" ref="R243" si="419">I243-Q243</f>
        <v>51853.020000000019</v>
      </c>
      <c r="S243" s="256">
        <v>-69701</v>
      </c>
      <c r="T243" s="256">
        <f t="shared" ref="T243" si="420">M243-S243</f>
        <v>14832.679999999993</v>
      </c>
      <c r="U243" s="258">
        <f>STDEV(D$2:D243)*SQRT(252)</f>
        <v>0.17358991388387063</v>
      </c>
      <c r="V243" s="258">
        <f>STDEV(L$2:L243)*SQRT(252)</f>
        <v>0.37192751121581696</v>
      </c>
    </row>
    <row r="244" spans="1:22" ht="20.100000000000001" customHeight="1" x14ac:dyDescent="0.25">
      <c r="B244" s="250">
        <v>42584</v>
      </c>
      <c r="C244" s="251">
        <v>2157.0300000000002</v>
      </c>
      <c r="D244" s="175">
        <f t="shared" si="68"/>
        <v>-6.3615927475078517E-3</v>
      </c>
      <c r="E244" s="252">
        <f t="shared" ref="E244" si="421">(C244-$C$2)/$C$2</f>
        <v>2.5965069157740599E-2</v>
      </c>
      <c r="F244" s="253">
        <v>5137.7299999999996</v>
      </c>
      <c r="G244" s="175">
        <f t="shared" si="61"/>
        <v>-8.9618628946855801E-3</v>
      </c>
      <c r="H244" s="254">
        <f t="shared" ref="H244" si="422">(F244-F$2)/F$2</f>
        <v>9.0402026827974442E-3</v>
      </c>
      <c r="I244" s="255">
        <v>341216.81</v>
      </c>
      <c r="J244" s="256">
        <v>400000</v>
      </c>
      <c r="K244" s="256">
        <f t="shared" ref="K244" si="423">I244-I243-J244+J243</f>
        <v>-3914.8699999999953</v>
      </c>
      <c r="L244" s="175">
        <f t="shared" si="242"/>
        <v>-1.1343119820237875E-2</v>
      </c>
      <c r="M244" s="257">
        <f t="shared" ref="M244" si="424">I244-J244</f>
        <v>-58783.19</v>
      </c>
      <c r="N244" s="258">
        <f t="shared" ref="N244" si="425">M244/J244</f>
        <v>-0.14695797500000002</v>
      </c>
      <c r="O244" s="257" t="b">
        <f t="shared" ref="O244" si="426">L244&gt;D244</f>
        <v>0</v>
      </c>
      <c r="P244" s="258">
        <f>COUNTIF(O$2:O244, TRUE)/(COUNTIF(O$2:O244,FALSE) + COUNTIF(O$2:O244, TRUE))</f>
        <v>0.48559670781893005</v>
      </c>
      <c r="Q244" s="256">
        <v>294933.84999999998</v>
      </c>
      <c r="R244" s="256">
        <f t="shared" ref="R244" si="427">I244-Q244</f>
        <v>46282.960000000021</v>
      </c>
      <c r="S244" s="256">
        <v>-70463</v>
      </c>
      <c r="T244" s="256">
        <f t="shared" ref="T244" si="428">M244-S244</f>
        <v>11679.809999999998</v>
      </c>
      <c r="U244" s="258">
        <f>STDEV(D$2:D244)*SQRT(252)</f>
        <v>0.17335845617207907</v>
      </c>
      <c r="V244" s="258">
        <f>STDEV(L$2:L244)*SQRT(252)</f>
        <v>0.37133699496327655</v>
      </c>
    </row>
    <row r="245" spans="1:22" ht="20.100000000000001" customHeight="1" x14ac:dyDescent="0.25">
      <c r="B245" s="250">
        <v>42585</v>
      </c>
      <c r="C245" s="251">
        <v>2163.79</v>
      </c>
      <c r="D245" s="175">
        <f t="shared" si="68"/>
        <v>3.1339387954732955E-3</v>
      </c>
      <c r="E245" s="252">
        <f t="shared" ref="E245" si="429">(C245-$C$2)/$C$2</f>
        <v>2.9180380890774484E-2</v>
      </c>
      <c r="F245" s="253">
        <v>5159.7299999999996</v>
      </c>
      <c r="G245" s="175">
        <f t="shared" si="61"/>
        <v>4.2820467404865578E-3</v>
      </c>
      <c r="H245" s="254">
        <f t="shared" ref="H245" si="430">(F245-F$2)/F$2</f>
        <v>1.3360959993715213E-2</v>
      </c>
      <c r="I245" s="255">
        <v>347416.57</v>
      </c>
      <c r="J245" s="256">
        <v>400000</v>
      </c>
      <c r="K245" s="256">
        <f t="shared" ref="K245" si="431">I245-I244-J245+J244</f>
        <v>6199.7600000000093</v>
      </c>
      <c r="L245" s="175">
        <f t="shared" si="242"/>
        <v>1.8169562044730473E-2</v>
      </c>
      <c r="M245" s="257">
        <f t="shared" ref="M245" si="432">I245-J245</f>
        <v>-52583.429999999993</v>
      </c>
      <c r="N245" s="258">
        <f t="shared" ref="N245" si="433">M245/J245</f>
        <v>-0.13145857499999999</v>
      </c>
      <c r="O245" s="257" t="b">
        <f t="shared" ref="O245" si="434">L245&gt;D245</f>
        <v>1</v>
      </c>
      <c r="P245" s="258">
        <f>COUNTIF(O$2:O245, TRUE)/(COUNTIF(O$2:O245,FALSE) + COUNTIF(O$2:O245, TRUE))</f>
        <v>0.48770491803278687</v>
      </c>
      <c r="Q245" s="256">
        <v>306485.61</v>
      </c>
      <c r="R245" s="256">
        <f t="shared" ref="R245" si="435">I245-Q245</f>
        <v>40930.960000000021</v>
      </c>
      <c r="S245" s="256">
        <v>-64757</v>
      </c>
      <c r="T245" s="256">
        <f t="shared" ref="T245" si="436">M245-S245</f>
        <v>12173.570000000007</v>
      </c>
      <c r="U245" s="258">
        <f>STDEV(D$2:D245)*SQRT(252)</f>
        <v>0.17302631654204345</v>
      </c>
      <c r="V245" s="258">
        <f>STDEV(L$2:L245)*SQRT(252)</f>
        <v>0.37103067638911486</v>
      </c>
    </row>
    <row r="246" spans="1:22" ht="20.100000000000001" customHeight="1" x14ac:dyDescent="0.25">
      <c r="B246" s="250">
        <v>42586</v>
      </c>
      <c r="C246" s="251">
        <v>2164.25</v>
      </c>
      <c r="D246" s="175">
        <f t="shared" si="68"/>
        <v>2.1258994634416298E-4</v>
      </c>
      <c r="E246" s="252">
        <f t="shared" ref="E246" si="437">(C246-$C$2)/$C$2</f>
        <v>2.939917429272652E-2</v>
      </c>
      <c r="F246" s="253">
        <v>5166.24</v>
      </c>
      <c r="G246" s="175">
        <f t="shared" si="61"/>
        <v>1.2616939258449993E-3</v>
      </c>
      <c r="H246" s="254">
        <f t="shared" ref="H246" si="438">(F246-F$2)/F$2</f>
        <v>1.4639511361627741E-2</v>
      </c>
      <c r="I246" s="255">
        <v>348668.66</v>
      </c>
      <c r="J246" s="256">
        <v>400000</v>
      </c>
      <c r="K246" s="256">
        <f t="shared" ref="K246" si="439">I246-I245-J246+J245</f>
        <v>1252.0899999999674</v>
      </c>
      <c r="L246" s="175">
        <f t="shared" si="242"/>
        <v>3.6040019622551895E-3</v>
      </c>
      <c r="M246" s="257">
        <f t="shared" ref="M246" si="440">I246-J246</f>
        <v>-51331.340000000026</v>
      </c>
      <c r="N246" s="258">
        <f t="shared" ref="N246" si="441">M246/J246</f>
        <v>-0.12832835000000006</v>
      </c>
      <c r="O246" s="257" t="b">
        <f t="shared" ref="O246" si="442">L246&gt;D246</f>
        <v>1</v>
      </c>
      <c r="P246" s="258">
        <f>COUNTIF(O$2:O246, TRUE)/(COUNTIF(O$2:O246,FALSE) + COUNTIF(O$2:O246, TRUE))</f>
        <v>0.48979591836734693</v>
      </c>
      <c r="Q246" s="256">
        <v>306486.61</v>
      </c>
      <c r="R246" s="256">
        <f t="shared" ref="R246" si="443">I246-Q246</f>
        <v>42182.049999999988</v>
      </c>
      <c r="S246" s="256">
        <v>-64756</v>
      </c>
      <c r="T246" s="256">
        <f t="shared" ref="T246" si="444">M246-S246</f>
        <v>13424.659999999974</v>
      </c>
      <c r="U246" s="258">
        <f>STDEV(D$2:D246)*SQRT(252)</f>
        <v>0.1726699319358726</v>
      </c>
      <c r="V246" s="258">
        <f>STDEV(L$2:L246)*SQRT(252)</f>
        <v>0.37028383202660053</v>
      </c>
    </row>
    <row r="247" spans="1:22" ht="20.100000000000001" customHeight="1" x14ac:dyDescent="0.25">
      <c r="B247" s="250">
        <v>42587</v>
      </c>
      <c r="C247" s="251">
        <v>2182.87</v>
      </c>
      <c r="D247" s="175">
        <f t="shared" si="68"/>
        <v>8.6034423010280196E-3</v>
      </c>
      <c r="E247" s="252">
        <f t="shared" ref="E247" si="445">(C247-$C$2)/$C$2</f>
        <v>3.8255550693479877E-2</v>
      </c>
      <c r="F247" s="253">
        <v>5221.12</v>
      </c>
      <c r="G247" s="175">
        <f t="shared" si="61"/>
        <v>1.0622812722599049E-2</v>
      </c>
      <c r="H247" s="254">
        <f t="shared" ref="H247" si="446">(F247-F$2)/F$2</f>
        <v>2.5417836871771723E-2</v>
      </c>
      <c r="I247" s="255">
        <v>357514.04</v>
      </c>
      <c r="J247" s="256">
        <v>400000</v>
      </c>
      <c r="K247" s="256">
        <f t="shared" ref="K247" si="447">I247-I246-J247+J246</f>
        <v>8845.3800000000047</v>
      </c>
      <c r="L247" s="175">
        <f t="shared" si="242"/>
        <v>2.5369013664721128E-2</v>
      </c>
      <c r="M247" s="257">
        <f t="shared" ref="M247" si="448">I247-J247</f>
        <v>-42485.960000000021</v>
      </c>
      <c r="N247" s="258">
        <f t="shared" ref="N247" si="449">M247/J247</f>
        <v>-0.10621490000000006</v>
      </c>
      <c r="O247" s="257" t="b">
        <f t="shared" ref="O247" si="450">L247&gt;D247</f>
        <v>1</v>
      </c>
      <c r="P247" s="258">
        <f>COUNTIF(O$2:O247, TRUE)/(COUNTIF(O$2:O247,FALSE) + COUNTIF(O$2:O247, TRUE))</f>
        <v>0.491869918699187</v>
      </c>
      <c r="Q247" s="256">
        <v>296324.56</v>
      </c>
      <c r="R247" s="256">
        <f t="shared" ref="R247" si="451">I247-Q247</f>
        <v>61189.479999999981</v>
      </c>
      <c r="S247" s="256">
        <v>-56695</v>
      </c>
      <c r="T247" s="256">
        <f t="shared" ref="T247" si="452">M247-S247</f>
        <v>14209.039999999979</v>
      </c>
      <c r="U247" s="258">
        <f>STDEV(D$2:D247)*SQRT(252)</f>
        <v>0.17252748561218473</v>
      </c>
      <c r="V247" s="258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 t="shared" si="242"/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si="242"/>
        <v>2.0697638495376658E-4</v>
      </c>
      <c r="M249" s="187">
        <f t="shared" ref="M249" si="464">I249-J249</f>
        <v>-39207.859999999986</v>
      </c>
      <c r="N249" s="189">
        <f t="shared" ref="N249" si="465">M249/J249</f>
        <v>-9.8019649999999958E-2</v>
      </c>
      <c r="O249" s="187" t="b">
        <f t="shared" ref="O249" si="466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7">I249-Q249</f>
        <v>48306.48000000004</v>
      </c>
      <c r="S249" s="177">
        <v>-52872</v>
      </c>
      <c r="T249" s="177">
        <f t="shared" ref="T249" si="468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69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0">(F250-F$2)/F$2</f>
        <v>2.2169412966199915E-2</v>
      </c>
      <c r="I250" s="226">
        <v>354430.79</v>
      </c>
      <c r="J250" s="177">
        <v>400000</v>
      </c>
      <c r="K250" s="177">
        <f t="shared" ref="K250" si="471">I250-I249-J250+J249</f>
        <v>-6361.3500000000349</v>
      </c>
      <c r="L250" s="175">
        <f t="shared" si="242"/>
        <v>-1.7631620245385709E-2</v>
      </c>
      <c r="M250" s="187">
        <f t="shared" ref="M250" si="472">I250-J250</f>
        <v>-45569.210000000021</v>
      </c>
      <c r="N250" s="189">
        <f t="shared" ref="N250" si="473">M250/J250</f>
        <v>-0.11392302500000005</v>
      </c>
      <c r="O250" s="187" t="b">
        <f t="shared" ref="O250" si="474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5">I250-Q250</f>
        <v>49786.25</v>
      </c>
      <c r="S250" s="177">
        <v>-58573</v>
      </c>
      <c r="T250" s="177">
        <f t="shared" ref="T250" si="476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359</v>
      </c>
      <c r="B251" s="250">
        <v>42597</v>
      </c>
      <c r="C251" s="251">
        <v>2190.15</v>
      </c>
      <c r="D251" s="175">
        <f t="shared" si="68"/>
        <v>6.7387117385050311E-3</v>
      </c>
      <c r="E251" s="252">
        <f t="shared" si="469"/>
        <v>4.1718194098285817E-2</v>
      </c>
      <c r="F251" s="253">
        <v>5262.01</v>
      </c>
      <c r="G251" s="175">
        <f t="shared" si="61"/>
        <v>1.1034511910663356E-2</v>
      </c>
      <c r="H251" s="254">
        <f t="shared" si="470"/>
        <v>3.3448553528291222E-2</v>
      </c>
      <c r="I251" s="255">
        <v>368660.8</v>
      </c>
      <c r="J251" s="256">
        <v>400000</v>
      </c>
      <c r="K251" s="256">
        <f t="shared" ref="K251" si="477">I251-I250-J251+J250</f>
        <v>14230.010000000009</v>
      </c>
      <c r="L251" s="175">
        <f t="shared" si="242"/>
        <v>4.0148910313350626E-2</v>
      </c>
      <c r="M251" s="257">
        <f t="shared" ref="M251" si="478">I251-J251</f>
        <v>-31339.200000000012</v>
      </c>
      <c r="N251" s="258">
        <f t="shared" ref="N251" si="479">M251/J251</f>
        <v>-7.8348000000000029E-2</v>
      </c>
      <c r="O251" s="257" t="b">
        <f t="shared" ref="O251" si="480">L251&gt;D251</f>
        <v>1</v>
      </c>
      <c r="P251" s="258">
        <f>COUNTIF(O$2:O251, TRUE)/(COUNTIF(O$2:O251,FALSE) + COUNTIF(O$2:O251, TRUE))</f>
        <v>0.49199999999999999</v>
      </c>
      <c r="Q251" s="256">
        <v>269504.8</v>
      </c>
      <c r="R251" s="256">
        <f t="shared" ref="R251" si="481">I251-Q251</f>
        <v>99156</v>
      </c>
      <c r="S251" s="256">
        <v>-45515</v>
      </c>
      <c r="T251" s="256">
        <f t="shared" ref="T251" si="482">M251-S251</f>
        <v>14175.799999999988</v>
      </c>
      <c r="U251" s="258">
        <f>STDEV(D$2:D251)*SQRT(252)</f>
        <v>0.17129006286582368</v>
      </c>
      <c r="V251" s="258">
        <f>STDEV(L$2:L251)*SQRT(252)</f>
        <v>0.37015124159076757</v>
      </c>
    </row>
    <row r="252" spans="1:22" ht="20.100000000000001" customHeight="1" x14ac:dyDescent="0.25">
      <c r="B252" s="250">
        <v>42598</v>
      </c>
      <c r="C252" s="251">
        <v>2178.15</v>
      </c>
      <c r="D252" s="175">
        <f t="shared" si="68"/>
        <v>-5.479076775563317E-3</v>
      </c>
      <c r="E252" s="252">
        <f t="shared" ref="E252" si="483">(C252-$C$2)/$C$2</f>
        <v>3.6010540134320139E-2</v>
      </c>
      <c r="F252" s="253">
        <v>5227.1099999999997</v>
      </c>
      <c r="G252" s="175">
        <f t="shared" si="61"/>
        <v>-6.6324465365897338E-3</v>
      </c>
      <c r="H252" s="254">
        <f t="shared" ref="H252" si="484">(F252-F$2)/F$2</f>
        <v>2.6594261248698837E-2</v>
      </c>
      <c r="I252" s="255">
        <f>368660.8+2262.39</f>
        <v>370923.19</v>
      </c>
      <c r="J252" s="256">
        <v>400000</v>
      </c>
      <c r="K252" s="256">
        <f t="shared" ref="K252" si="485">I252-I251-J252+J251</f>
        <v>2262.390000000014</v>
      </c>
      <c r="L252" s="175">
        <f t="shared" si="242"/>
        <v>6.1367793917878281E-3</v>
      </c>
      <c r="M252" s="257">
        <f t="shared" ref="M252" si="486">I252-J252</f>
        <v>-29076.809999999998</v>
      </c>
      <c r="N252" s="258">
        <f t="shared" ref="N252" si="487">M252/J252</f>
        <v>-7.2692024999999993E-2</v>
      </c>
      <c r="O252" s="257" t="b">
        <f t="shared" ref="O252" si="488">L252&gt;D252</f>
        <v>1</v>
      </c>
      <c r="P252" s="258">
        <f>COUNTIF(O$2:O252, TRUE)/(COUNTIF(O$2:O252,FALSE) + COUNTIF(O$2:O252, TRUE))</f>
        <v>0.49402390438247012</v>
      </c>
      <c r="Q252" s="256"/>
      <c r="R252" s="256"/>
      <c r="S252" s="256"/>
      <c r="T252" s="256"/>
      <c r="U252" s="258">
        <f>STDEV(D$2:D252)*SQRT(252)</f>
        <v>0.17104156878989371</v>
      </c>
      <c r="V252" s="258">
        <f>STDEV(L$2:L252)*SQRT(252)</f>
        <v>0.36945344751699344</v>
      </c>
    </row>
    <row r="253" spans="1:22" ht="20.100000000000001" customHeight="1" x14ac:dyDescent="0.25">
      <c r="B253" s="250">
        <v>42599</v>
      </c>
      <c r="C253" s="251">
        <v>2182.2199999999998</v>
      </c>
      <c r="D253" s="175">
        <f t="shared" si="68"/>
        <v>1.8685581801068378E-3</v>
      </c>
      <c r="E253" s="252">
        <f t="shared" ref="E253" si="489">(C253-$C$2)/$C$2</f>
        <v>3.794638610376503E-2</v>
      </c>
      <c r="F253" s="253">
        <v>5228.6499999999996</v>
      </c>
      <c r="G253" s="175">
        <f t="shared" si="61"/>
        <v>2.946178672344687E-4</v>
      </c>
      <c r="H253" s="254">
        <f t="shared" ref="H253" si="490">(F253-F$2)/F$2</f>
        <v>2.6896714260463073E-2</v>
      </c>
      <c r="I253" s="255">
        <v>375295.13</v>
      </c>
      <c r="J253" s="256">
        <v>400000</v>
      </c>
      <c r="K253" s="256">
        <f t="shared" ref="K253" si="491">I253-I252-J253+J252</f>
        <v>4371.9400000000023</v>
      </c>
      <c r="L253" s="175">
        <f t="shared" si="242"/>
        <v>1.1786645100296917E-2</v>
      </c>
      <c r="M253" s="257">
        <f t="shared" ref="M253" si="492">I253-J253</f>
        <v>-24704.869999999995</v>
      </c>
      <c r="N253" s="258">
        <f t="shared" ref="N253" si="493">M253/J253</f>
        <v>-6.1762174999999989E-2</v>
      </c>
      <c r="O253" s="257" t="b">
        <f t="shared" ref="O253" si="494">L253&gt;D253</f>
        <v>1</v>
      </c>
      <c r="P253" s="258">
        <f>COUNTIF(O$2:O253, TRUE)/(COUNTIF(O$2:O253,FALSE) + COUNTIF(O$2:O253, TRUE))</f>
        <v>0.49603174603174605</v>
      </c>
      <c r="Q253" s="256">
        <v>255293.6</v>
      </c>
      <c r="R253" s="256">
        <f t="shared" ref="R253" si="495">I253-Q253</f>
        <v>120001.53</v>
      </c>
      <c r="S253" s="256">
        <v>-39008</v>
      </c>
      <c r="T253" s="256">
        <f t="shared" ref="T253" si="496">M253-S253</f>
        <v>14303.130000000005</v>
      </c>
      <c r="U253" s="258">
        <f>STDEV(D$2:D253)*SQRT(252)</f>
        <v>0.17070733564482474</v>
      </c>
      <c r="V253" s="258">
        <f>STDEV(L$2:L253)*SQRT(252)</f>
        <v>0.36889217852396583</v>
      </c>
    </row>
    <row r="254" spans="1:22" ht="20.100000000000001" customHeight="1" x14ac:dyDescent="0.25">
      <c r="B254" s="250">
        <v>42600</v>
      </c>
      <c r="C254" s="251">
        <v>2187.02</v>
      </c>
      <c r="D254" s="175">
        <f t="shared" si="68"/>
        <v>2.1995949079378716E-3</v>
      </c>
      <c r="E254" s="252">
        <f t="shared" ref="E254" si="497">(C254-$C$2)/$C$2</f>
        <v>4.0229447689351383E-2</v>
      </c>
      <c r="F254" s="253">
        <v>5240.1400000000003</v>
      </c>
      <c r="G254" s="175">
        <f t="shared" si="61"/>
        <v>2.1975079609460745E-3</v>
      </c>
      <c r="H254" s="254">
        <f t="shared" ref="H254" si="498">(F254-F$2)/F$2</f>
        <v>2.9153327965119807E-2</v>
      </c>
      <c r="I254" s="255">
        <v>382262.83</v>
      </c>
      <c r="J254" s="256">
        <v>400000</v>
      </c>
      <c r="K254" s="256">
        <f t="shared" ref="K254" si="499">I254-I253-J254+J253</f>
        <v>6967.7000000000116</v>
      </c>
      <c r="L254" s="175">
        <f t="shared" si="242"/>
        <v>1.8565921705405587E-2</v>
      </c>
      <c r="M254" s="257">
        <f>I254-J254</f>
        <v>-17737.169999999984</v>
      </c>
      <c r="N254" s="258">
        <f t="shared" ref="N254" si="500">M254/J254</f>
        <v>-4.4342924999999957E-2</v>
      </c>
      <c r="O254" s="257" t="b">
        <f t="shared" ref="O254" si="501">L254&gt;D254</f>
        <v>1</v>
      </c>
      <c r="P254" s="258">
        <f>COUNTIF(O$2:O254, TRUE)/(COUNTIF(O$2:O254,FALSE) + COUNTIF(O$2:O254, TRUE))</f>
        <v>0.49802371541501977</v>
      </c>
      <c r="Q254" s="256">
        <v>234684.9</v>
      </c>
      <c r="R254" s="256">
        <f t="shared" ref="R254" si="502">I254-Q254</f>
        <v>147577.93000000002</v>
      </c>
      <c r="S254" s="256">
        <v>-32026</v>
      </c>
      <c r="T254" s="256">
        <f t="shared" ref="T254" si="503">M254-S254</f>
        <v>14288.830000000016</v>
      </c>
      <c r="U254" s="258">
        <f>STDEV(D$2:D254)*SQRT(252)</f>
        <v>0.17037860468394234</v>
      </c>
      <c r="V254" s="258">
        <f>STDEV(L$2:L254)*SQRT(252)</f>
        <v>0.36860527111095059</v>
      </c>
    </row>
    <row r="255" spans="1:22" ht="20.100000000000001" customHeight="1" x14ac:dyDescent="0.25">
      <c r="B255" s="250">
        <v>42601</v>
      </c>
      <c r="C255" s="251">
        <v>2183.87</v>
      </c>
      <c r="D255" s="175">
        <f t="shared" si="68"/>
        <v>-1.4403160464925291E-3</v>
      </c>
      <c r="E255" s="252">
        <f t="shared" ref="E255" si="504">(C255-$C$2)/$C$2</f>
        <v>3.8731188523810349E-2</v>
      </c>
      <c r="F255" s="253">
        <v>5238.37</v>
      </c>
      <c r="G255" s="175">
        <f t="shared" si="61"/>
        <v>-3.377772349594546E-4</v>
      </c>
      <c r="H255" s="254">
        <f t="shared" ref="H255" si="505">(F255-F$2)/F$2</f>
        <v>2.8805703399650426E-2</v>
      </c>
      <c r="I255" s="255">
        <v>382810.75</v>
      </c>
      <c r="J255" s="256">
        <v>400000</v>
      </c>
      <c r="K255" s="256">
        <f t="shared" ref="K255" si="506">I255-I254-J255+J254</f>
        <v>547.9199999999837</v>
      </c>
      <c r="L255" s="175">
        <f t="shared" si="242"/>
        <v>1.4333593459766509E-3</v>
      </c>
      <c r="M255" s="257">
        <f>I255-J255</f>
        <v>-17189.25</v>
      </c>
      <c r="N255" s="258">
        <f t="shared" ref="N255" si="507">M255/J255</f>
        <v>-4.2973125000000001E-2</v>
      </c>
      <c r="O255" s="257" t="b">
        <f t="shared" ref="O255" si="508">L255&gt;D255</f>
        <v>1</v>
      </c>
      <c r="P255" s="258">
        <f>COUNTIF(O$2:O255, TRUE)/(COUNTIF(O$2:O255,FALSE) + COUNTIF(O$2:O255, TRUE))</f>
        <v>0.5</v>
      </c>
      <c r="Q255" s="256">
        <v>232963</v>
      </c>
      <c r="R255" s="256">
        <f t="shared" ref="R255" si="509">I255-Q255</f>
        <v>149847.75</v>
      </c>
      <c r="S255" s="256">
        <v>-31491</v>
      </c>
      <c r="T255" s="256">
        <f t="shared" ref="T255" si="510">M255-S255</f>
        <v>14301.75</v>
      </c>
      <c r="U255" s="258">
        <f>STDEV(D$2:D255)*SQRT(252)</f>
        <v>0.17004823124419763</v>
      </c>
      <c r="V255" s="258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1">(C256-$C$2)/$C$2</f>
        <v>3.8146153992503859E-2</v>
      </c>
      <c r="F256" s="224">
        <v>5244.6</v>
      </c>
      <c r="G256" s="175">
        <f t="shared" ref="G256" si="512">(F256-F255)/F255</f>
        <v>1.1893012521071388E-3</v>
      </c>
      <c r="H256" s="208">
        <f t="shared" ref="H256" si="513">(F256-F$2)/F$2</f>
        <v>3.0029263310878598E-2</v>
      </c>
      <c r="I256" s="226">
        <v>377083.42</v>
      </c>
      <c r="J256" s="177">
        <v>400000</v>
      </c>
      <c r="K256" s="177">
        <f t="shared" ref="K256" si="514">I256-I255-J256+J255</f>
        <v>-5727.3300000000163</v>
      </c>
      <c r="L256" s="175">
        <f t="shared" si="242"/>
        <v>-1.4961256965746171E-2</v>
      </c>
      <c r="M256" s="187">
        <f>I256-J256</f>
        <v>-22916.580000000016</v>
      </c>
      <c r="N256" s="189">
        <f t="shared" ref="N256" si="515">M256/J256</f>
        <v>-5.7291450000000042E-2</v>
      </c>
      <c r="O256" s="187" t="b">
        <f t="shared" ref="O256" si="516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7">I256-Q256</f>
        <v>121841.31999999998</v>
      </c>
      <c r="S256" s="177">
        <v>-37372</v>
      </c>
      <c r="T256" s="177">
        <f t="shared" ref="T256" si="518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" si="519">(C257-C256)/C256</f>
        <v>1.951764835245491E-3</v>
      </c>
      <c r="E257" s="214">
        <f t="shared" ref="E257" si="520">(C257-$C$2)/$C$2</f>
        <v>4.0172371149711783E-2</v>
      </c>
      <c r="F257" s="224">
        <v>5260.07</v>
      </c>
      <c r="G257" s="175">
        <f t="shared" ref="G257" si="521">(F257-F256)/F256</f>
        <v>2.9497006444722845E-3</v>
      </c>
      <c r="H257" s="208">
        <f t="shared" ref="H257" si="522">(F257-F$2)/F$2</f>
        <v>3.3067541292692008E-2</v>
      </c>
      <c r="I257" s="226">
        <v>383610.05</v>
      </c>
      <c r="J257" s="177">
        <v>400000</v>
      </c>
      <c r="K257" s="177">
        <f t="shared" ref="K257" si="523">I257-I256-J257+J256</f>
        <v>6526.6300000000047</v>
      </c>
      <c r="L257" s="175">
        <f t="shared" ref="L257" si="524">K257/I256</f>
        <v>1.7308186077234593E-2</v>
      </c>
      <c r="M257" s="187">
        <f>I257-J257</f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ref="D258" si="529">(C258-C257)/C257</f>
        <v>-5.2402944807718854E-3</v>
      </c>
      <c r="E258" s="214">
        <f t="shared" ref="E258" si="530">(C258-$C$2)/$C$2</f>
        <v>3.4721561614124541E-2</v>
      </c>
      <c r="F258" s="224">
        <v>5217.6899999999996</v>
      </c>
      <c r="G258" s="175">
        <f t="shared" ref="G258" si="531">(F258-F257)/F257</f>
        <v>-8.0569269990703758E-3</v>
      </c>
      <c r="H258" s="208">
        <f t="shared" ref="H258" si="532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3">I258-I257-J258+J257</f>
        <v>-3601.7999999999884</v>
      </c>
      <c r="L258" s="175">
        <f t="shared" ref="L258" si="534">K258/I257</f>
        <v>-9.3892222062482156E-3</v>
      </c>
      <c r="M258" s="187">
        <f>I258-J258</f>
        <v>-19991.75</v>
      </c>
      <c r="N258" s="189">
        <f t="shared" ref="N258" si="535">M258/J258</f>
        <v>-4.9979374999999999E-2</v>
      </c>
      <c r="O258" s="187" t="b">
        <f t="shared" ref="O258" si="536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7">I258-Q258</f>
        <v>146290.45000000001</v>
      </c>
      <c r="S258" s="177">
        <v>-34657</v>
      </c>
      <c r="T258" s="177">
        <f t="shared" ref="T258" si="538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</sheetData>
  <conditionalFormatting sqref="D3:D258">
    <cfRule type="colorScale" priority="2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58">
    <cfRule type="colorScale" priority="1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58">
    <cfRule type="colorScale" priority="1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58">
    <cfRule type="colorScale" priority="2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59:L1048576">
    <cfRule type="colorScale" priority="4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27" activePane="bottomLeft" state="frozen"/>
      <selection activeCell="E5" sqref="E5"/>
      <selection pane="bottomLeft" activeCell="I256" sqref="I256"/>
    </sheetView>
  </sheetViews>
  <sheetFormatPr defaultRowHeight="18" customHeight="1" x14ac:dyDescent="0.25"/>
  <cols>
    <col min="1" max="1" width="9.5703125" style="288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2" t="s">
        <v>1</v>
      </c>
      <c r="B1" s="313" t="s">
        <v>2</v>
      </c>
      <c r="C1" s="314" t="s">
        <v>4</v>
      </c>
      <c r="D1" s="313" t="s">
        <v>5</v>
      </c>
      <c r="E1" s="313" t="s">
        <v>94</v>
      </c>
      <c r="F1" s="315" t="s">
        <v>60</v>
      </c>
      <c r="G1" s="313" t="s">
        <v>3</v>
      </c>
      <c r="H1" s="314" t="s">
        <v>6</v>
      </c>
      <c r="I1" s="313" t="s">
        <v>7</v>
      </c>
      <c r="J1" s="314" t="s">
        <v>95</v>
      </c>
      <c r="K1" s="315" t="s">
        <v>61</v>
      </c>
      <c r="L1" s="313" t="s">
        <v>77</v>
      </c>
      <c r="M1" s="315" t="s">
        <v>38</v>
      </c>
      <c r="N1" s="314" t="s">
        <v>59</v>
      </c>
      <c r="O1" s="314" t="s">
        <v>76</v>
      </c>
      <c r="P1" s="24" t="s">
        <v>135</v>
      </c>
    </row>
    <row r="2" spans="1:17" ht="18" customHeight="1" x14ac:dyDescent="0.25">
      <c r="A2" s="301" t="s">
        <v>12</v>
      </c>
      <c r="B2" s="302">
        <v>42151</v>
      </c>
      <c r="C2" s="303">
        <v>5</v>
      </c>
      <c r="D2" s="304">
        <v>42.7</v>
      </c>
      <c r="E2" s="305"/>
      <c r="F2" s="304">
        <f>C2*D2</f>
        <v>213.5</v>
      </c>
      <c r="G2" s="302">
        <v>42181</v>
      </c>
      <c r="H2" s="303">
        <v>5</v>
      </c>
      <c r="I2" s="304">
        <v>43.35</v>
      </c>
      <c r="J2" s="303">
        <v>0.01</v>
      </c>
      <c r="K2" s="304">
        <f>H2*I2-J2</f>
        <v>216.74</v>
      </c>
      <c r="L2" s="305"/>
      <c r="M2" s="304"/>
      <c r="N2" s="304"/>
      <c r="O2" s="306"/>
    </row>
    <row r="3" spans="1:17" ht="18" customHeight="1" x14ac:dyDescent="0.25">
      <c r="A3" s="301"/>
      <c r="B3" s="302">
        <v>42153</v>
      </c>
      <c r="C3" s="303">
        <v>25</v>
      </c>
      <c r="D3" s="304">
        <v>41.6</v>
      </c>
      <c r="E3" s="305"/>
      <c r="F3" s="304">
        <f>C3*D3</f>
        <v>1040</v>
      </c>
      <c r="G3" s="302">
        <v>42200</v>
      </c>
      <c r="H3" s="303">
        <v>10</v>
      </c>
      <c r="I3" s="304">
        <v>41.64</v>
      </c>
      <c r="J3" s="303">
        <v>0.01</v>
      </c>
      <c r="K3" s="304">
        <f>H3*I3-J3</f>
        <v>416.39</v>
      </c>
      <c r="L3" s="305"/>
      <c r="M3" s="304"/>
      <c r="N3" s="304"/>
      <c r="O3" s="306"/>
    </row>
    <row r="4" spans="1:17" ht="18" customHeight="1" x14ac:dyDescent="0.25">
      <c r="A4" s="301"/>
      <c r="B4" s="302">
        <v>42166</v>
      </c>
      <c r="C4" s="303">
        <v>10</v>
      </c>
      <c r="D4" s="304">
        <v>40</v>
      </c>
      <c r="E4" s="305"/>
      <c r="F4" s="304">
        <f>C4*D4</f>
        <v>400</v>
      </c>
      <c r="G4" s="302">
        <v>42201</v>
      </c>
      <c r="H4" s="303">
        <v>125</v>
      </c>
      <c r="I4" s="304">
        <v>42.6</v>
      </c>
      <c r="J4" s="303">
        <v>0.1</v>
      </c>
      <c r="K4" s="304">
        <f>H4*I4-J4</f>
        <v>5324.9</v>
      </c>
      <c r="L4" s="305"/>
      <c r="M4" s="304"/>
      <c r="N4" s="304"/>
      <c r="O4" s="306"/>
      <c r="Q4" s="153"/>
    </row>
    <row r="5" spans="1:17" ht="18" customHeight="1" x14ac:dyDescent="0.25">
      <c r="A5" s="301"/>
      <c r="B5" s="302">
        <v>42166</v>
      </c>
      <c r="C5" s="303">
        <v>100</v>
      </c>
      <c r="D5" s="304">
        <v>39.799999999999997</v>
      </c>
      <c r="E5" s="305"/>
      <c r="F5" s="304">
        <f>C5*D5</f>
        <v>3979.9999999999995</v>
      </c>
      <c r="G5" s="305"/>
      <c r="H5" s="303"/>
      <c r="I5" s="304"/>
      <c r="J5" s="303"/>
      <c r="K5" s="304"/>
      <c r="L5" s="305"/>
      <c r="M5" s="304"/>
      <c r="N5" s="304"/>
      <c r="O5" s="306"/>
    </row>
    <row r="6" spans="1:17" ht="17.25" customHeight="1" x14ac:dyDescent="0.25">
      <c r="A6" s="301"/>
      <c r="B6" s="307"/>
      <c r="C6" s="308">
        <f>SUM(C2:C5)</f>
        <v>140</v>
      </c>
      <c r="D6" s="309"/>
      <c r="E6" s="310"/>
      <c r="F6" s="309">
        <f>SUM(F2:F5)</f>
        <v>5633.5</v>
      </c>
      <c r="G6" s="310"/>
      <c r="H6" s="308">
        <f>SUM(H2:H5)</f>
        <v>140</v>
      </c>
      <c r="I6" s="309"/>
      <c r="J6" s="308"/>
      <c r="K6" s="309">
        <f>SUM(K2:K5)</f>
        <v>5958.03</v>
      </c>
      <c r="L6" s="310"/>
      <c r="M6" s="309"/>
      <c r="N6" s="309">
        <f>K6-F6</f>
        <v>324.52999999999975</v>
      </c>
      <c r="O6" s="311">
        <f>(N6+M6)/F6</f>
        <v>5.7607171385461925E-2</v>
      </c>
      <c r="P6" s="143" t="s">
        <v>136</v>
      </c>
    </row>
    <row r="7" spans="1:17" ht="17.25" customHeight="1" x14ac:dyDescent="0.25">
      <c r="A7" s="289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0" t="s">
        <v>18</v>
      </c>
      <c r="B8" s="291">
        <v>42153</v>
      </c>
      <c r="C8" s="292">
        <v>50</v>
      </c>
      <c r="D8" s="293">
        <v>36.4</v>
      </c>
      <c r="E8" s="293">
        <v>0</v>
      </c>
      <c r="F8" s="293">
        <f t="shared" ref="F8:F15" si="0">C8*D8</f>
        <v>1820</v>
      </c>
      <c r="G8" s="291">
        <v>42333</v>
      </c>
      <c r="H8" s="294">
        <v>80</v>
      </c>
      <c r="I8" s="293">
        <v>8.7200000000000006</v>
      </c>
      <c r="J8" s="293">
        <v>0.01</v>
      </c>
      <c r="K8" s="293">
        <f>I8*H8-J8</f>
        <v>697.59</v>
      </c>
      <c r="L8" s="292"/>
      <c r="M8" s="292"/>
      <c r="N8" s="292"/>
      <c r="O8" s="295"/>
      <c r="P8" s="4"/>
      <c r="Q8" s="185"/>
    </row>
    <row r="9" spans="1:17" ht="17.25" customHeight="1" x14ac:dyDescent="0.25">
      <c r="A9" s="296"/>
      <c r="B9" s="291">
        <v>42173</v>
      </c>
      <c r="C9" s="292">
        <v>5</v>
      </c>
      <c r="D9" s="293">
        <v>22.95</v>
      </c>
      <c r="E9" s="293">
        <v>0</v>
      </c>
      <c r="F9" s="293">
        <f t="shared" si="0"/>
        <v>114.75</v>
      </c>
      <c r="G9" s="291">
        <v>42335</v>
      </c>
      <c r="H9" s="294">
        <v>80</v>
      </c>
      <c r="I9" s="293">
        <v>8.98</v>
      </c>
      <c r="J9" s="293">
        <v>0.01</v>
      </c>
      <c r="K9" s="293">
        <f>I9*H9-J9</f>
        <v>718.3900000000001</v>
      </c>
      <c r="L9" s="292"/>
      <c r="M9" s="292"/>
      <c r="N9" s="292"/>
      <c r="O9" s="295"/>
      <c r="P9" s="4"/>
      <c r="Q9" s="3"/>
    </row>
    <row r="10" spans="1:17" ht="17.25" customHeight="1" x14ac:dyDescent="0.25">
      <c r="A10" s="297"/>
      <c r="B10" s="291">
        <v>42173</v>
      </c>
      <c r="C10" s="292">
        <v>10</v>
      </c>
      <c r="D10" s="293">
        <v>22.8</v>
      </c>
      <c r="E10" s="293">
        <v>0</v>
      </c>
      <c r="F10" s="293">
        <f t="shared" si="0"/>
        <v>228</v>
      </c>
      <c r="G10" s="291">
        <v>42362</v>
      </c>
      <c r="H10" s="294">
        <v>80</v>
      </c>
      <c r="I10" s="293">
        <v>9.4499999999999993</v>
      </c>
      <c r="J10" s="293">
        <v>0.01</v>
      </c>
      <c r="K10" s="293">
        <f>I10*H10-J10</f>
        <v>755.99</v>
      </c>
      <c r="L10" s="292"/>
      <c r="M10" s="292"/>
      <c r="N10" s="292"/>
      <c r="O10" s="295"/>
      <c r="P10" s="4"/>
      <c r="Q10" s="286"/>
    </row>
    <row r="11" spans="1:17" ht="18" customHeight="1" x14ac:dyDescent="0.25">
      <c r="A11" s="297"/>
      <c r="B11" s="291">
        <v>42234</v>
      </c>
      <c r="C11" s="292">
        <v>15</v>
      </c>
      <c r="D11" s="293">
        <v>13.9</v>
      </c>
      <c r="E11" s="293">
        <v>0</v>
      </c>
      <c r="F11" s="293">
        <f t="shared" si="0"/>
        <v>208.5</v>
      </c>
      <c r="G11" s="291">
        <v>42398</v>
      </c>
      <c r="H11" s="294">
        <v>3</v>
      </c>
      <c r="I11" s="293">
        <v>5.81</v>
      </c>
      <c r="J11" s="293">
        <v>0.01</v>
      </c>
      <c r="K11" s="293">
        <f>I11*H11-J11</f>
        <v>17.419999999999998</v>
      </c>
      <c r="L11" s="292"/>
      <c r="M11" s="292"/>
      <c r="N11" s="292"/>
      <c r="O11" s="295"/>
      <c r="P11" s="4"/>
      <c r="Q11" s="3"/>
    </row>
    <row r="12" spans="1:17" ht="18" customHeight="1" x14ac:dyDescent="0.25">
      <c r="A12" s="297"/>
      <c r="B12" s="534">
        <v>42328</v>
      </c>
      <c r="C12" s="292">
        <v>1</v>
      </c>
      <c r="D12" s="293">
        <v>8.59</v>
      </c>
      <c r="E12" s="293">
        <v>0</v>
      </c>
      <c r="F12" s="293">
        <f t="shared" si="0"/>
        <v>8.59</v>
      </c>
      <c r="G12" s="292"/>
      <c r="H12" s="294"/>
      <c r="I12" s="293"/>
      <c r="J12" s="293"/>
      <c r="K12" s="293"/>
      <c r="L12" s="292"/>
      <c r="M12" s="292"/>
      <c r="N12" s="292"/>
      <c r="O12" s="295"/>
      <c r="P12" s="4"/>
      <c r="Q12" s="3"/>
    </row>
    <row r="13" spans="1:17" ht="18" customHeight="1" x14ac:dyDescent="0.25">
      <c r="A13" s="297"/>
      <c r="B13" s="534"/>
      <c r="C13" s="292">
        <v>80</v>
      </c>
      <c r="D13" s="293">
        <v>8.59</v>
      </c>
      <c r="E13" s="293">
        <v>0</v>
      </c>
      <c r="F13" s="293">
        <f t="shared" si="0"/>
        <v>687.2</v>
      </c>
      <c r="G13" s="292"/>
      <c r="H13" s="294"/>
      <c r="I13" s="293"/>
      <c r="J13" s="293"/>
      <c r="K13" s="293"/>
      <c r="L13" s="292"/>
      <c r="M13" s="292"/>
      <c r="N13" s="292"/>
      <c r="O13" s="295"/>
      <c r="P13" s="4"/>
      <c r="Q13" s="3"/>
    </row>
    <row r="14" spans="1:17" ht="18" customHeight="1" x14ac:dyDescent="0.25">
      <c r="A14" s="297"/>
      <c r="B14" s="534">
        <v>42354</v>
      </c>
      <c r="C14" s="292">
        <v>2</v>
      </c>
      <c r="D14" s="293">
        <v>8.73</v>
      </c>
      <c r="E14" s="293">
        <v>0</v>
      </c>
      <c r="F14" s="293">
        <f t="shared" si="0"/>
        <v>17.46</v>
      </c>
      <c r="G14" s="292"/>
      <c r="H14" s="294"/>
      <c r="I14" s="293"/>
      <c r="J14" s="293"/>
      <c r="K14" s="293"/>
      <c r="L14" s="292"/>
      <c r="M14" s="292"/>
      <c r="N14" s="292"/>
      <c r="O14" s="295"/>
      <c r="P14" s="4"/>
      <c r="Q14" s="287"/>
    </row>
    <row r="15" spans="1:17" ht="18" customHeight="1" x14ac:dyDescent="0.25">
      <c r="A15" s="297"/>
      <c r="B15" s="534"/>
      <c r="C15" s="292">
        <v>80</v>
      </c>
      <c r="D15" s="293">
        <v>8.73</v>
      </c>
      <c r="E15" s="293">
        <v>0</v>
      </c>
      <c r="F15" s="293">
        <f t="shared" si="0"/>
        <v>698.40000000000009</v>
      </c>
      <c r="G15" s="292"/>
      <c r="H15" s="292"/>
      <c r="I15" s="293"/>
      <c r="J15" s="293"/>
      <c r="K15" s="293"/>
      <c r="L15" s="292"/>
      <c r="M15" s="292"/>
      <c r="N15" s="292"/>
      <c r="O15" s="292"/>
      <c r="P15" s="4"/>
      <c r="Q15" s="4"/>
    </row>
    <row r="16" spans="1:17" ht="18" customHeight="1" x14ac:dyDescent="0.25">
      <c r="A16" s="290"/>
      <c r="B16" s="295"/>
      <c r="C16" s="295">
        <f>SUM(C8:C15)</f>
        <v>243</v>
      </c>
      <c r="D16" s="298"/>
      <c r="E16" s="298"/>
      <c r="F16" s="298">
        <f>SUM(F8:F15)</f>
        <v>3782.9</v>
      </c>
      <c r="G16" s="298"/>
      <c r="H16" s="299">
        <f>SUM(H8:H12)</f>
        <v>243</v>
      </c>
      <c r="I16" s="298"/>
      <c r="J16" s="298"/>
      <c r="K16" s="298">
        <f>SUM(K8:K12)</f>
        <v>2189.3900000000003</v>
      </c>
      <c r="L16" s="298"/>
      <c r="M16" s="298"/>
      <c r="N16" s="298">
        <f>K16-F16</f>
        <v>-1593.5099999999998</v>
      </c>
      <c r="O16" s="300">
        <f>N16/F16</f>
        <v>-0.42124031827433972</v>
      </c>
      <c r="P16" s="4"/>
      <c r="Q16" s="4"/>
    </row>
    <row r="17" spans="1:20" ht="18" customHeight="1" x14ac:dyDescent="0.25">
      <c r="A17" s="25"/>
      <c r="B17" s="316"/>
      <c r="C17" s="317"/>
      <c r="D17" s="318"/>
      <c r="E17" s="318"/>
      <c r="F17" s="318"/>
      <c r="G17" s="316"/>
      <c r="H17" s="317"/>
      <c r="I17" s="318"/>
      <c r="J17" s="318"/>
      <c r="K17" s="318"/>
      <c r="L17" s="316"/>
      <c r="M17" s="318"/>
      <c r="N17" s="318"/>
      <c r="O17" s="319"/>
    </row>
    <row r="18" spans="1:20" ht="18" customHeight="1" x14ac:dyDescent="0.25">
      <c r="A18" s="301" t="s">
        <v>48</v>
      </c>
      <c r="B18" s="302">
        <v>42186</v>
      </c>
      <c r="C18" s="303">
        <v>10</v>
      </c>
      <c r="D18" s="304">
        <v>101.7</v>
      </c>
      <c r="E18" s="304"/>
      <c r="F18" s="304">
        <f>C18*D18</f>
        <v>1017</v>
      </c>
      <c r="G18" s="302">
        <v>42186</v>
      </c>
      <c r="H18" s="303">
        <v>10</v>
      </c>
      <c r="I18" s="304">
        <v>103</v>
      </c>
      <c r="J18" s="304">
        <v>0.02</v>
      </c>
      <c r="K18" s="304">
        <f>H18*I18-J18</f>
        <v>1029.98</v>
      </c>
      <c r="L18" s="305"/>
      <c r="M18" s="304"/>
      <c r="N18" s="304"/>
      <c r="O18" s="306"/>
    </row>
    <row r="19" spans="1:20" ht="18" customHeight="1" x14ac:dyDescent="0.25">
      <c r="A19" s="301"/>
      <c r="B19" s="307"/>
      <c r="C19" s="308">
        <f>SUM(C18)</f>
        <v>10</v>
      </c>
      <c r="D19" s="309"/>
      <c r="E19" s="309"/>
      <c r="F19" s="309">
        <f>SUM(F18)</f>
        <v>1017</v>
      </c>
      <c r="G19" s="310"/>
      <c r="H19" s="308">
        <f>SUM(H18)</f>
        <v>10</v>
      </c>
      <c r="I19" s="309"/>
      <c r="J19" s="309"/>
      <c r="K19" s="309">
        <f>SUM(K18)</f>
        <v>1029.98</v>
      </c>
      <c r="L19" s="310"/>
      <c r="M19" s="309"/>
      <c r="N19" s="309">
        <f>K19-F19</f>
        <v>12.980000000000018</v>
      </c>
      <c r="O19" s="311">
        <f>(N19+M19)/F19</f>
        <v>1.2763028515240922E-2</v>
      </c>
      <c r="P19" s="143" t="s">
        <v>136</v>
      </c>
    </row>
    <row r="20" spans="1:20" ht="18" customHeight="1" x14ac:dyDescent="0.25">
      <c r="A20" s="25"/>
      <c r="B20" s="316"/>
      <c r="C20" s="317"/>
      <c r="D20" s="318"/>
      <c r="E20" s="25"/>
      <c r="F20" s="318"/>
      <c r="G20" s="316"/>
      <c r="H20" s="317"/>
      <c r="I20" s="318"/>
      <c r="K20" s="318"/>
      <c r="L20" s="316"/>
      <c r="M20" s="318"/>
      <c r="N20" s="318"/>
      <c r="O20" s="319"/>
      <c r="R20" s="316"/>
      <c r="S20" s="317"/>
      <c r="T20" s="318"/>
    </row>
    <row r="21" spans="1:20" ht="18" customHeight="1" x14ac:dyDescent="0.25">
      <c r="A21" s="301" t="s">
        <v>68</v>
      </c>
      <c r="B21" s="302">
        <v>42164</v>
      </c>
      <c r="C21" s="303">
        <v>20</v>
      </c>
      <c r="D21" s="304">
        <v>11.25</v>
      </c>
      <c r="E21" s="305">
        <v>0</v>
      </c>
      <c r="F21" s="304">
        <f t="shared" ref="F21:F26" si="1">C21*D21+E21</f>
        <v>225</v>
      </c>
      <c r="G21" s="302">
        <v>42235</v>
      </c>
      <c r="H21" s="303">
        <v>110</v>
      </c>
      <c r="I21" s="304">
        <v>8.69</v>
      </c>
      <c r="J21" s="303">
        <v>0.02</v>
      </c>
      <c r="K21" s="304">
        <f>H21*I21-J21</f>
        <v>955.88</v>
      </c>
      <c r="L21" s="305">
        <v>42346</v>
      </c>
      <c r="M21" s="304">
        <f>21.93-0.91-2.19-4.38</f>
        <v>14.45</v>
      </c>
      <c r="N21" s="304"/>
      <c r="O21" s="306"/>
      <c r="R21" s="150"/>
      <c r="S21" s="148"/>
      <c r="T21" s="149"/>
    </row>
    <row r="22" spans="1:20" ht="18" customHeight="1" x14ac:dyDescent="0.25">
      <c r="A22" s="301" t="s">
        <v>125</v>
      </c>
      <c r="B22" s="302">
        <v>42187</v>
      </c>
      <c r="C22" s="303">
        <v>20</v>
      </c>
      <c r="D22" s="304">
        <v>10.28</v>
      </c>
      <c r="E22" s="305">
        <v>0</v>
      </c>
      <c r="F22" s="304">
        <f t="shared" si="1"/>
        <v>205.6</v>
      </c>
      <c r="G22" s="302">
        <v>42331</v>
      </c>
      <c r="H22" s="303">
        <v>150</v>
      </c>
      <c r="I22" s="304">
        <v>8.7100000000000009</v>
      </c>
      <c r="J22" s="303">
        <v>0.51</v>
      </c>
      <c r="K22" s="304">
        <f>H22*I22-J22</f>
        <v>1305.9900000000002</v>
      </c>
      <c r="L22" s="305"/>
      <c r="M22" s="304"/>
      <c r="N22" s="304"/>
      <c r="O22" s="306"/>
      <c r="R22" s="150"/>
      <c r="S22" s="148"/>
      <c r="T22" s="149"/>
    </row>
    <row r="23" spans="1:20" ht="18" customHeight="1" x14ac:dyDescent="0.25">
      <c r="A23" s="301"/>
      <c r="B23" s="302">
        <v>42198</v>
      </c>
      <c r="C23" s="303">
        <v>40</v>
      </c>
      <c r="D23" s="304">
        <v>10.119999999999999</v>
      </c>
      <c r="E23" s="305">
        <v>0</v>
      </c>
      <c r="F23" s="304">
        <f t="shared" si="1"/>
        <v>404.79999999999995</v>
      </c>
      <c r="G23" s="302">
        <v>42332</v>
      </c>
      <c r="H23" s="303">
        <v>120</v>
      </c>
      <c r="I23" s="304">
        <v>9.0500000000000007</v>
      </c>
      <c r="J23" s="303">
        <v>0.02</v>
      </c>
      <c r="K23" s="304">
        <f>H23*I23-J23</f>
        <v>1085.98</v>
      </c>
      <c r="L23" s="305"/>
      <c r="M23" s="304"/>
      <c r="N23" s="304"/>
      <c r="O23" s="306"/>
      <c r="R23" s="150"/>
      <c r="S23" s="148"/>
      <c r="T23" s="149"/>
    </row>
    <row r="24" spans="1:20" ht="18" customHeight="1" x14ac:dyDescent="0.25">
      <c r="A24" s="301"/>
      <c r="B24" s="302">
        <v>42198</v>
      </c>
      <c r="C24" s="303">
        <v>40</v>
      </c>
      <c r="D24" s="304">
        <v>9.94</v>
      </c>
      <c r="E24" s="305">
        <v>0</v>
      </c>
      <c r="F24" s="304">
        <f t="shared" si="1"/>
        <v>397.59999999999997</v>
      </c>
      <c r="G24" s="302"/>
      <c r="H24" s="303"/>
      <c r="I24" s="304"/>
      <c r="J24" s="303"/>
      <c r="K24" s="304"/>
      <c r="L24" s="305"/>
      <c r="M24" s="304"/>
      <c r="N24" s="304"/>
      <c r="O24" s="306"/>
    </row>
    <row r="25" spans="1:20" ht="18" customHeight="1" x14ac:dyDescent="0.25">
      <c r="A25" s="301"/>
      <c r="B25" s="302">
        <v>42233</v>
      </c>
      <c r="C25" s="303">
        <v>110</v>
      </c>
      <c r="D25" s="304">
        <v>8.48</v>
      </c>
      <c r="E25" s="305">
        <v>0</v>
      </c>
      <c r="F25" s="304">
        <f t="shared" si="1"/>
        <v>932.80000000000007</v>
      </c>
      <c r="G25" s="302"/>
      <c r="H25" s="303"/>
      <c r="I25" s="304"/>
      <c r="J25" s="303"/>
      <c r="K25" s="304"/>
      <c r="L25" s="305"/>
      <c r="M25" s="304"/>
      <c r="N25" s="304"/>
      <c r="O25" s="306"/>
    </row>
    <row r="26" spans="1:20" ht="18" customHeight="1" x14ac:dyDescent="0.25">
      <c r="A26" s="301"/>
      <c r="B26" s="302">
        <v>42270</v>
      </c>
      <c r="C26" s="303">
        <v>150</v>
      </c>
      <c r="D26" s="304">
        <v>7.73</v>
      </c>
      <c r="E26" s="305">
        <v>0</v>
      </c>
      <c r="F26" s="304">
        <f t="shared" si="1"/>
        <v>1159.5</v>
      </c>
      <c r="G26" s="302"/>
      <c r="H26" s="303"/>
      <c r="I26" s="304"/>
      <c r="J26" s="303"/>
      <c r="K26" s="304"/>
      <c r="L26" s="305"/>
      <c r="M26" s="304"/>
      <c r="N26" s="304"/>
      <c r="O26" s="306"/>
    </row>
    <row r="27" spans="1:20" ht="18" customHeight="1" x14ac:dyDescent="0.25">
      <c r="A27" s="301"/>
      <c r="B27" s="307"/>
      <c r="C27" s="308">
        <f>SUM(C21:C26)</f>
        <v>380</v>
      </c>
      <c r="D27" s="309"/>
      <c r="E27" s="310"/>
      <c r="F27" s="309">
        <f>SUM(F21:F26)</f>
        <v>3325.3</v>
      </c>
      <c r="G27" s="310"/>
      <c r="H27" s="308">
        <f>SUM(H21:H26)</f>
        <v>380</v>
      </c>
      <c r="I27" s="309"/>
      <c r="J27" s="308"/>
      <c r="K27" s="309">
        <f>SUM(K21:K26)</f>
        <v>3347.8500000000004</v>
      </c>
      <c r="L27" s="310"/>
      <c r="M27" s="309">
        <f>SUM(M21:M26)</f>
        <v>14.45</v>
      </c>
      <c r="N27" s="309">
        <f>K27-F27</f>
        <v>22.550000000000182</v>
      </c>
      <c r="O27" s="311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1" t="s">
        <v>29</v>
      </c>
      <c r="B29" s="302">
        <v>42164</v>
      </c>
      <c r="C29" s="303">
        <v>5</v>
      </c>
      <c r="D29" s="304">
        <v>45.9</v>
      </c>
      <c r="E29" s="305"/>
      <c r="F29" s="304">
        <f>C29*D29</f>
        <v>229.5</v>
      </c>
      <c r="G29" s="302">
        <v>42195</v>
      </c>
      <c r="H29" s="303">
        <v>20</v>
      </c>
      <c r="I29" s="304">
        <v>46.15</v>
      </c>
      <c r="J29" s="303">
        <v>0.02</v>
      </c>
      <c r="K29" s="304">
        <f>H29*I29-J29</f>
        <v>922.98</v>
      </c>
      <c r="L29" s="305"/>
      <c r="M29" s="304"/>
      <c r="N29" s="304"/>
      <c r="O29" s="306"/>
    </row>
    <row r="30" spans="1:20" ht="18" customHeight="1" x14ac:dyDescent="0.25">
      <c r="A30" s="301"/>
      <c r="B30" s="302">
        <v>42184</v>
      </c>
      <c r="C30" s="303">
        <v>5</v>
      </c>
      <c r="D30" s="304">
        <v>44.5</v>
      </c>
      <c r="E30" s="305"/>
      <c r="F30" s="304">
        <f>C30*D30</f>
        <v>222.5</v>
      </c>
      <c r="G30" s="305"/>
      <c r="H30" s="303"/>
      <c r="I30" s="304"/>
      <c r="J30" s="303"/>
      <c r="K30" s="304"/>
      <c r="L30" s="305"/>
      <c r="M30" s="304"/>
      <c r="N30" s="304"/>
      <c r="O30" s="306"/>
    </row>
    <row r="31" spans="1:20" ht="18" customHeight="1" x14ac:dyDescent="0.25">
      <c r="A31" s="301"/>
      <c r="B31" s="302">
        <v>42184</v>
      </c>
      <c r="C31" s="303">
        <v>10</v>
      </c>
      <c r="D31" s="304">
        <v>44.35</v>
      </c>
      <c r="E31" s="305"/>
      <c r="F31" s="304">
        <f>C31*D31</f>
        <v>443.5</v>
      </c>
      <c r="G31" s="305"/>
      <c r="H31" s="303"/>
      <c r="I31" s="304"/>
      <c r="J31" s="303"/>
      <c r="K31" s="304"/>
      <c r="L31" s="305"/>
      <c r="M31" s="304"/>
      <c r="N31" s="304"/>
      <c r="O31" s="306"/>
    </row>
    <row r="32" spans="1:20" ht="18" customHeight="1" x14ac:dyDescent="0.25">
      <c r="A32" s="301"/>
      <c r="B32" s="307"/>
      <c r="C32" s="308">
        <f>SUM(C29:C31)</f>
        <v>20</v>
      </c>
      <c r="D32" s="309"/>
      <c r="E32" s="310"/>
      <c r="F32" s="309">
        <f>SUM(F29:F31)</f>
        <v>895.5</v>
      </c>
      <c r="G32" s="310"/>
      <c r="H32" s="308">
        <f>SUM(H29:H31)</f>
        <v>20</v>
      </c>
      <c r="I32" s="309"/>
      <c r="J32" s="308"/>
      <c r="K32" s="309">
        <f>SUM(K29:K31)</f>
        <v>922.98</v>
      </c>
      <c r="L32" s="310"/>
      <c r="M32" s="309"/>
      <c r="N32" s="309">
        <f>K32-F32</f>
        <v>27.480000000000018</v>
      </c>
      <c r="O32" s="311">
        <f>(N32+M32)/F32</f>
        <v>3.0686767169179251E-2</v>
      </c>
    </row>
    <row r="33" spans="1:16" ht="18" customHeight="1" x14ac:dyDescent="0.25">
      <c r="A33" s="25"/>
      <c r="B33" s="316"/>
      <c r="C33" s="317"/>
      <c r="D33" s="318"/>
      <c r="E33" s="25"/>
      <c r="F33" s="318"/>
      <c r="G33" s="316"/>
      <c r="H33" s="317"/>
      <c r="I33" s="318"/>
      <c r="K33" s="318"/>
      <c r="L33" s="316"/>
      <c r="M33" s="318"/>
      <c r="N33" s="318"/>
      <c r="O33" s="319"/>
    </row>
    <row r="34" spans="1:16" ht="18" customHeight="1" x14ac:dyDescent="0.25">
      <c r="A34" s="290" t="s">
        <v>11</v>
      </c>
      <c r="B34" s="291">
        <v>42150</v>
      </c>
      <c r="C34" s="292">
        <v>5</v>
      </c>
      <c r="D34" s="293">
        <v>169</v>
      </c>
      <c r="E34" s="293">
        <v>0</v>
      </c>
      <c r="F34" s="293">
        <f>C34*D34+E34</f>
        <v>845</v>
      </c>
      <c r="G34" s="291">
        <v>42186</v>
      </c>
      <c r="H34" s="292">
        <v>100</v>
      </c>
      <c r="I34" s="293">
        <v>167</v>
      </c>
      <c r="J34" s="293">
        <v>0.31</v>
      </c>
      <c r="K34" s="293">
        <f t="shared" ref="K34:K49" si="2">H34*I34-J34</f>
        <v>16699.689999999999</v>
      </c>
      <c r="L34" s="292"/>
      <c r="M34" s="292"/>
      <c r="N34" s="292"/>
      <c r="O34" s="295"/>
    </row>
    <row r="35" spans="1:16" ht="18" customHeight="1" x14ac:dyDescent="0.25">
      <c r="A35" s="336"/>
      <c r="B35" s="291">
        <v>42150</v>
      </c>
      <c r="C35" s="292">
        <v>10</v>
      </c>
      <c r="D35" s="293">
        <v>166.5</v>
      </c>
      <c r="E35" s="293">
        <v>0</v>
      </c>
      <c r="F35" s="293">
        <f t="shared" ref="F35:F54" si="3">C35*D35+E35</f>
        <v>1665</v>
      </c>
      <c r="G35" s="291">
        <v>42186</v>
      </c>
      <c r="H35" s="292">
        <v>100</v>
      </c>
      <c r="I35" s="293">
        <v>167</v>
      </c>
      <c r="J35" s="293">
        <v>0.31</v>
      </c>
      <c r="K35" s="293">
        <f t="shared" si="2"/>
        <v>16699.689999999999</v>
      </c>
      <c r="L35" s="292"/>
      <c r="M35" s="292"/>
      <c r="N35" s="292"/>
      <c r="O35" s="295"/>
    </row>
    <row r="36" spans="1:16" ht="18" customHeight="1" x14ac:dyDescent="0.25">
      <c r="A36" s="292"/>
      <c r="B36" s="291">
        <v>42150</v>
      </c>
      <c r="C36" s="292">
        <v>30</v>
      </c>
      <c r="D36" s="293">
        <v>165.4</v>
      </c>
      <c r="E36" s="293">
        <v>0</v>
      </c>
      <c r="F36" s="293">
        <f t="shared" si="3"/>
        <v>4962</v>
      </c>
      <c r="G36" s="291">
        <v>42186</v>
      </c>
      <c r="H36" s="292">
        <v>50</v>
      </c>
      <c r="I36" s="293">
        <v>168.5</v>
      </c>
      <c r="J36" s="293">
        <v>0.16</v>
      </c>
      <c r="K36" s="293">
        <f t="shared" si="2"/>
        <v>8424.84</v>
      </c>
      <c r="L36" s="292"/>
      <c r="M36" s="292"/>
      <c r="N36" s="292"/>
      <c r="O36" s="295"/>
    </row>
    <row r="37" spans="1:16" ht="18" customHeight="1" x14ac:dyDescent="0.25">
      <c r="A37" s="292"/>
      <c r="B37" s="291">
        <v>42150</v>
      </c>
      <c r="C37" s="292">
        <v>10</v>
      </c>
      <c r="D37" s="293">
        <v>164.85</v>
      </c>
      <c r="E37" s="293">
        <v>0</v>
      </c>
      <c r="F37" s="293">
        <f t="shared" si="3"/>
        <v>1648.5</v>
      </c>
      <c r="G37" s="291">
        <v>42236</v>
      </c>
      <c r="H37" s="292">
        <v>10</v>
      </c>
      <c r="I37" s="293">
        <v>133.19999999999999</v>
      </c>
      <c r="J37" s="293">
        <v>0.02</v>
      </c>
      <c r="K37" s="293">
        <f t="shared" si="2"/>
        <v>1331.98</v>
      </c>
      <c r="L37" s="292"/>
      <c r="M37" s="292"/>
      <c r="N37" s="292"/>
      <c r="O37" s="295"/>
    </row>
    <row r="38" spans="1:16" ht="18" customHeight="1" x14ac:dyDescent="0.25">
      <c r="A38" s="292"/>
      <c r="B38" s="291">
        <v>42186</v>
      </c>
      <c r="C38" s="292">
        <v>145</v>
      </c>
      <c r="D38" s="293">
        <v>166</v>
      </c>
      <c r="E38" s="293">
        <v>0</v>
      </c>
      <c r="F38" s="293">
        <f t="shared" si="3"/>
        <v>24070</v>
      </c>
      <c r="G38" s="291">
        <v>42240</v>
      </c>
      <c r="H38" s="292">
        <v>20</v>
      </c>
      <c r="I38" s="293">
        <v>130</v>
      </c>
      <c r="J38" s="293">
        <v>0.05</v>
      </c>
      <c r="K38" s="293">
        <f t="shared" si="2"/>
        <v>2599.9499999999998</v>
      </c>
      <c r="L38" s="292"/>
      <c r="M38" s="292"/>
      <c r="N38" s="292"/>
      <c r="O38" s="295"/>
    </row>
    <row r="39" spans="1:16" ht="18" customHeight="1" x14ac:dyDescent="0.25">
      <c r="A39" s="292"/>
      <c r="B39" s="291">
        <v>42186</v>
      </c>
      <c r="C39" s="292">
        <v>100</v>
      </c>
      <c r="D39" s="293">
        <v>164</v>
      </c>
      <c r="E39" s="293">
        <v>0</v>
      </c>
      <c r="F39" s="293">
        <f t="shared" si="3"/>
        <v>16400</v>
      </c>
      <c r="G39" s="291">
        <v>42270</v>
      </c>
      <c r="H39" s="292">
        <v>50</v>
      </c>
      <c r="I39" s="293">
        <v>141.19999999999999</v>
      </c>
      <c r="J39" s="293">
        <v>0.13</v>
      </c>
      <c r="K39" s="293">
        <f t="shared" si="2"/>
        <v>7059.869999999999</v>
      </c>
      <c r="L39" s="292"/>
      <c r="M39" s="292"/>
      <c r="N39" s="292"/>
      <c r="O39" s="295"/>
    </row>
    <row r="40" spans="1:16" ht="18" customHeight="1" x14ac:dyDescent="0.25">
      <c r="A40" s="292"/>
      <c r="B40" s="291">
        <v>42235</v>
      </c>
      <c r="C40" s="292">
        <v>10</v>
      </c>
      <c r="D40" s="293">
        <v>124</v>
      </c>
      <c r="E40" s="293">
        <v>0</v>
      </c>
      <c r="F40" s="293">
        <f t="shared" si="3"/>
        <v>1240</v>
      </c>
      <c r="G40" s="291">
        <v>42305</v>
      </c>
      <c r="H40" s="292">
        <v>150</v>
      </c>
      <c r="I40" s="293">
        <v>82</v>
      </c>
      <c r="J40" s="293">
        <v>0.23</v>
      </c>
      <c r="K40" s="293">
        <f t="shared" si="2"/>
        <v>12299.77</v>
      </c>
      <c r="L40" s="292"/>
      <c r="M40" s="292"/>
      <c r="N40" s="292"/>
      <c r="O40" s="295"/>
    </row>
    <row r="41" spans="1:16" ht="18" customHeight="1" x14ac:dyDescent="0.25">
      <c r="A41" s="292"/>
      <c r="B41" s="291">
        <v>42240</v>
      </c>
      <c r="C41" s="292">
        <v>20</v>
      </c>
      <c r="D41" s="293">
        <v>123</v>
      </c>
      <c r="E41" s="293">
        <v>0</v>
      </c>
      <c r="F41" s="293">
        <f t="shared" si="3"/>
        <v>2460</v>
      </c>
      <c r="G41" s="291">
        <v>42307</v>
      </c>
      <c r="H41" s="292">
        <v>120</v>
      </c>
      <c r="I41" s="293">
        <v>85.8</v>
      </c>
      <c r="J41" s="293">
        <v>7.14</v>
      </c>
      <c r="K41" s="293">
        <f t="shared" si="2"/>
        <v>10288.86</v>
      </c>
      <c r="L41" s="292"/>
      <c r="M41" s="292"/>
      <c r="N41" s="292"/>
      <c r="O41" s="292"/>
    </row>
    <row r="42" spans="1:16" ht="18" customHeight="1" x14ac:dyDescent="0.25">
      <c r="A42" s="292"/>
      <c r="B42" s="291">
        <v>42271</v>
      </c>
      <c r="C42" s="292">
        <v>50</v>
      </c>
      <c r="D42" s="293">
        <v>123.05</v>
      </c>
      <c r="E42" s="293">
        <v>0</v>
      </c>
      <c r="F42" s="293">
        <f t="shared" si="3"/>
        <v>6152.5</v>
      </c>
      <c r="G42" s="291">
        <v>42313</v>
      </c>
      <c r="H42" s="292">
        <v>80</v>
      </c>
      <c r="I42" s="293">
        <v>83</v>
      </c>
      <c r="J42" s="293">
        <v>0.12</v>
      </c>
      <c r="K42" s="293">
        <f t="shared" si="2"/>
        <v>6639.88</v>
      </c>
      <c r="L42" s="292"/>
      <c r="M42" s="292"/>
      <c r="N42" s="292"/>
      <c r="O42" s="292"/>
    </row>
    <row r="43" spans="1:16" ht="18" customHeight="1" x14ac:dyDescent="0.25">
      <c r="A43" s="292"/>
      <c r="B43" s="291">
        <v>42271</v>
      </c>
      <c r="C43" s="292">
        <v>50</v>
      </c>
      <c r="D43" s="293">
        <v>138.5</v>
      </c>
      <c r="E43" s="293">
        <v>0</v>
      </c>
      <c r="F43" s="293">
        <f t="shared" si="3"/>
        <v>6925</v>
      </c>
      <c r="G43" s="291">
        <v>42320</v>
      </c>
      <c r="H43" s="292">
        <v>200</v>
      </c>
      <c r="I43" s="293">
        <v>73.5</v>
      </c>
      <c r="J43" s="293">
        <v>0.27</v>
      </c>
      <c r="K43" s="293">
        <f t="shared" si="2"/>
        <v>14699.73</v>
      </c>
      <c r="L43" s="292"/>
      <c r="M43" s="292"/>
      <c r="N43" s="292"/>
      <c r="O43" s="292"/>
    </row>
    <row r="44" spans="1:16" ht="18" customHeight="1" x14ac:dyDescent="0.25">
      <c r="A44" s="292"/>
      <c r="B44" s="291">
        <v>42277</v>
      </c>
      <c r="C44" s="292">
        <v>10</v>
      </c>
      <c r="D44" s="293">
        <v>101.5</v>
      </c>
      <c r="E44" s="293">
        <v>0</v>
      </c>
      <c r="F44" s="293">
        <f t="shared" si="3"/>
        <v>1015</v>
      </c>
      <c r="G44" s="291">
        <v>42327</v>
      </c>
      <c r="H44" s="292">
        <v>200</v>
      </c>
      <c r="I44" s="293">
        <v>73.95</v>
      </c>
      <c r="J44" s="293">
        <v>0.27</v>
      </c>
      <c r="K44" s="293">
        <f t="shared" si="2"/>
        <v>14789.73</v>
      </c>
      <c r="L44" s="292"/>
      <c r="M44" s="292"/>
      <c r="N44" s="292"/>
      <c r="O44" s="292"/>
    </row>
    <row r="45" spans="1:16" ht="18" customHeight="1" x14ac:dyDescent="0.25">
      <c r="A45" s="292"/>
      <c r="B45" s="291">
        <v>42278</v>
      </c>
      <c r="C45" s="292">
        <v>10</v>
      </c>
      <c r="D45" s="293">
        <v>93.95</v>
      </c>
      <c r="E45" s="293">
        <v>0</v>
      </c>
      <c r="F45" s="293">
        <f t="shared" si="3"/>
        <v>939.5</v>
      </c>
      <c r="G45" s="291">
        <v>42339</v>
      </c>
      <c r="H45" s="292">
        <v>60</v>
      </c>
      <c r="I45" s="293">
        <v>89.49</v>
      </c>
      <c r="J45" s="293">
        <v>0.1</v>
      </c>
      <c r="K45" s="293">
        <f t="shared" si="2"/>
        <v>5369.2999999999993</v>
      </c>
      <c r="L45" s="292"/>
      <c r="M45" s="292"/>
      <c r="N45" s="292"/>
      <c r="O45" s="292"/>
    </row>
    <row r="46" spans="1:16" ht="18" customHeight="1" x14ac:dyDescent="0.25">
      <c r="A46" s="292"/>
      <c r="B46" s="291">
        <v>42286</v>
      </c>
      <c r="C46" s="292">
        <v>30</v>
      </c>
      <c r="D46" s="293">
        <v>89.5</v>
      </c>
      <c r="E46" s="293">
        <v>0</v>
      </c>
      <c r="F46" s="293">
        <f t="shared" si="3"/>
        <v>2685</v>
      </c>
      <c r="G46" s="291">
        <v>42340</v>
      </c>
      <c r="H46" s="292">
        <v>60</v>
      </c>
      <c r="I46" s="293">
        <v>93.79</v>
      </c>
      <c r="J46" s="293">
        <v>0.1</v>
      </c>
      <c r="K46" s="293">
        <f t="shared" si="2"/>
        <v>5627.3</v>
      </c>
      <c r="L46" s="292"/>
      <c r="M46" s="292"/>
      <c r="N46" s="292"/>
      <c r="O46" s="292"/>
    </row>
    <row r="47" spans="1:16" ht="18" customHeight="1" x14ac:dyDescent="0.25">
      <c r="A47" s="292"/>
      <c r="B47" s="291">
        <v>42299</v>
      </c>
      <c r="C47" s="292">
        <v>50</v>
      </c>
      <c r="D47" s="293">
        <v>74.3</v>
      </c>
      <c r="E47" s="293">
        <v>0</v>
      </c>
      <c r="F47" s="293">
        <f t="shared" si="3"/>
        <v>3715</v>
      </c>
      <c r="G47" s="291">
        <v>42347</v>
      </c>
      <c r="H47" s="292">
        <v>60</v>
      </c>
      <c r="I47" s="293">
        <v>81.849999999999994</v>
      </c>
      <c r="J47" s="293">
        <v>0.09</v>
      </c>
      <c r="K47" s="293">
        <f t="shared" si="2"/>
        <v>4910.91</v>
      </c>
      <c r="L47" s="292"/>
      <c r="M47" s="292"/>
      <c r="N47" s="292"/>
      <c r="O47" s="292"/>
    </row>
    <row r="48" spans="1:16" ht="18" customHeight="1" x14ac:dyDescent="0.25">
      <c r="A48" s="292"/>
      <c r="B48" s="291">
        <v>42305</v>
      </c>
      <c r="C48" s="292">
        <v>150</v>
      </c>
      <c r="D48" s="293">
        <v>79.5</v>
      </c>
      <c r="E48" s="293">
        <v>0</v>
      </c>
      <c r="F48" s="293">
        <f t="shared" si="3"/>
        <v>11925</v>
      </c>
      <c r="G48" s="291">
        <v>42349</v>
      </c>
      <c r="H48" s="292">
        <v>220</v>
      </c>
      <c r="I48" s="293">
        <v>53.95</v>
      </c>
      <c r="J48" s="293">
        <v>0.22</v>
      </c>
      <c r="K48" s="293">
        <f t="shared" si="2"/>
        <v>11868.78</v>
      </c>
      <c r="L48" s="292"/>
      <c r="M48" s="293"/>
      <c r="N48" s="292"/>
      <c r="O48" s="292"/>
      <c r="P48" s="143"/>
    </row>
    <row r="49" spans="1:16" ht="18" customHeight="1" x14ac:dyDescent="0.25">
      <c r="A49" s="292"/>
      <c r="B49" s="291">
        <v>42310</v>
      </c>
      <c r="C49" s="292">
        <v>120</v>
      </c>
      <c r="D49" s="293">
        <v>82</v>
      </c>
      <c r="E49" s="293">
        <v>6.95</v>
      </c>
      <c r="F49" s="293">
        <f t="shared" si="3"/>
        <v>9846.9500000000007</v>
      </c>
      <c r="G49" s="291">
        <v>42354</v>
      </c>
      <c r="H49" s="292">
        <v>220</v>
      </c>
      <c r="I49" s="293">
        <v>59.47</v>
      </c>
      <c r="J49" s="293">
        <v>0.24</v>
      </c>
      <c r="K49" s="293">
        <f t="shared" si="2"/>
        <v>13083.16</v>
      </c>
      <c r="L49" s="292"/>
      <c r="M49" s="292"/>
      <c r="N49" s="292"/>
      <c r="O49" s="292"/>
      <c r="P49" s="143"/>
    </row>
    <row r="50" spans="1:16" ht="18" customHeight="1" x14ac:dyDescent="0.25">
      <c r="A50" s="292"/>
      <c r="B50" s="291">
        <v>42318</v>
      </c>
      <c r="C50" s="292">
        <v>80</v>
      </c>
      <c r="D50" s="293">
        <v>77.12</v>
      </c>
      <c r="E50" s="293">
        <v>0</v>
      </c>
      <c r="F50" s="293">
        <f t="shared" si="3"/>
        <v>6169.6</v>
      </c>
      <c r="G50" s="291"/>
      <c r="H50" s="292"/>
      <c r="I50" s="293"/>
      <c r="J50" s="293"/>
      <c r="K50" s="293"/>
      <c r="L50" s="292"/>
      <c r="M50" s="292"/>
      <c r="N50" s="292"/>
      <c r="O50" s="292"/>
      <c r="P50" s="143" t="s">
        <v>136</v>
      </c>
    </row>
    <row r="51" spans="1:16" ht="18" customHeight="1" x14ac:dyDescent="0.25">
      <c r="A51" s="292"/>
      <c r="B51" s="291">
        <v>42320</v>
      </c>
      <c r="C51" s="292">
        <v>200</v>
      </c>
      <c r="D51" s="293">
        <v>73.010000000000005</v>
      </c>
      <c r="E51" s="293">
        <v>0</v>
      </c>
      <c r="F51" s="293">
        <f t="shared" si="3"/>
        <v>14602.000000000002</v>
      </c>
      <c r="G51" s="291"/>
      <c r="H51" s="292"/>
      <c r="I51" s="293"/>
      <c r="J51" s="293"/>
      <c r="K51" s="293"/>
      <c r="L51" s="292"/>
      <c r="M51" s="292"/>
      <c r="N51" s="292"/>
      <c r="O51" s="292"/>
    </row>
    <row r="52" spans="1:16" ht="18" customHeight="1" x14ac:dyDescent="0.25">
      <c r="A52" s="292"/>
      <c r="B52" s="291">
        <v>42327</v>
      </c>
      <c r="C52" s="292">
        <v>200</v>
      </c>
      <c r="D52" s="293">
        <v>73.11</v>
      </c>
      <c r="E52" s="293">
        <v>0</v>
      </c>
      <c r="F52" s="293">
        <f t="shared" si="3"/>
        <v>14622</v>
      </c>
      <c r="G52" s="292"/>
      <c r="H52" s="292"/>
      <c r="I52" s="293"/>
      <c r="J52" s="293"/>
      <c r="K52" s="293"/>
      <c r="L52" s="292"/>
      <c r="M52" s="292"/>
      <c r="N52" s="292"/>
      <c r="O52" s="292"/>
    </row>
    <row r="53" spans="1:16" ht="18" customHeight="1" x14ac:dyDescent="0.25">
      <c r="A53" s="292"/>
      <c r="B53" s="291">
        <v>42339</v>
      </c>
      <c r="C53" s="292">
        <v>60</v>
      </c>
      <c r="D53" s="293">
        <v>89.38</v>
      </c>
      <c r="E53" s="293">
        <v>0</v>
      </c>
      <c r="F53" s="293">
        <f t="shared" si="3"/>
        <v>5362.7999999999993</v>
      </c>
      <c r="G53" s="292"/>
      <c r="H53" s="292"/>
      <c r="I53" s="293"/>
      <c r="J53" s="293"/>
      <c r="K53" s="293"/>
      <c r="L53" s="292"/>
      <c r="M53" s="292"/>
      <c r="N53" s="292"/>
      <c r="O53" s="292"/>
    </row>
    <row r="54" spans="1:16" ht="18" customHeight="1" x14ac:dyDescent="0.25">
      <c r="A54" s="292"/>
      <c r="B54" s="291">
        <v>42340</v>
      </c>
      <c r="C54" s="292">
        <v>60</v>
      </c>
      <c r="D54" s="293">
        <v>93.06</v>
      </c>
      <c r="E54" s="293">
        <v>0</v>
      </c>
      <c r="F54" s="293">
        <f t="shared" si="3"/>
        <v>5583.6</v>
      </c>
      <c r="G54" s="292"/>
      <c r="H54" s="292"/>
      <c r="I54" s="293"/>
      <c r="J54" s="293"/>
      <c r="K54" s="293"/>
      <c r="L54" s="292"/>
      <c r="M54" s="292"/>
      <c r="N54" s="292"/>
      <c r="O54" s="292"/>
    </row>
    <row r="55" spans="1:16" ht="18" customHeight="1" x14ac:dyDescent="0.25">
      <c r="A55" s="292"/>
      <c r="B55" s="291">
        <v>42342</v>
      </c>
      <c r="C55" s="292">
        <v>10</v>
      </c>
      <c r="D55" s="293">
        <v>80.989999999999995</v>
      </c>
      <c r="E55" s="293">
        <v>0</v>
      </c>
      <c r="F55" s="293">
        <f>C55*D55+E55</f>
        <v>809.9</v>
      </c>
      <c r="G55" s="292"/>
      <c r="H55" s="292"/>
      <c r="I55" s="293"/>
      <c r="J55" s="293"/>
      <c r="K55" s="293"/>
      <c r="L55" s="292"/>
      <c r="M55" s="292"/>
      <c r="N55" s="292"/>
      <c r="O55" s="292"/>
    </row>
    <row r="56" spans="1:16" ht="18" customHeight="1" x14ac:dyDescent="0.25">
      <c r="A56" s="292"/>
      <c r="B56" s="291">
        <v>42348</v>
      </c>
      <c r="C56" s="292">
        <v>70</v>
      </c>
      <c r="D56" s="293">
        <v>58.01</v>
      </c>
      <c r="E56" s="293">
        <v>0</v>
      </c>
      <c r="F56" s="293">
        <f>C56*D56+E56</f>
        <v>4060.7</v>
      </c>
      <c r="G56" s="292"/>
      <c r="H56" s="292"/>
      <c r="I56" s="293"/>
      <c r="J56" s="293"/>
      <c r="K56" s="293"/>
      <c r="L56" s="292"/>
      <c r="M56" s="292"/>
      <c r="N56" s="292"/>
      <c r="O56" s="292"/>
    </row>
    <row r="57" spans="1:16" ht="18" customHeight="1" x14ac:dyDescent="0.25">
      <c r="A57" s="292"/>
      <c r="B57" s="291">
        <v>42354</v>
      </c>
      <c r="C57" s="292">
        <v>220</v>
      </c>
      <c r="D57" s="293">
        <v>59.15</v>
      </c>
      <c r="E57" s="293">
        <v>0</v>
      </c>
      <c r="F57" s="293">
        <f>C57*D57+E57</f>
        <v>13013</v>
      </c>
      <c r="G57" s="292"/>
      <c r="H57" s="292"/>
      <c r="I57" s="293"/>
      <c r="J57" s="293"/>
      <c r="K57" s="293"/>
      <c r="L57" s="292"/>
      <c r="M57" s="292"/>
      <c r="N57" s="292"/>
      <c r="O57" s="292"/>
    </row>
    <row r="58" spans="1:16" ht="18" customHeight="1" x14ac:dyDescent="0.25">
      <c r="A58" s="295"/>
      <c r="B58" s="295"/>
      <c r="C58" s="295">
        <f>SUM(C34:C57)</f>
        <v>1700</v>
      </c>
      <c r="D58" s="298"/>
      <c r="E58" s="298"/>
      <c r="F58" s="298">
        <f>SUM(F34:F57)</f>
        <v>160718.04999999999</v>
      </c>
      <c r="G58" s="295"/>
      <c r="H58" s="295">
        <f>SUM(H34:H53)</f>
        <v>1700</v>
      </c>
      <c r="I58" s="298"/>
      <c r="J58" s="298"/>
      <c r="K58" s="298">
        <f>SUM(K34:K53)</f>
        <v>152393.44000000003</v>
      </c>
      <c r="L58" s="295"/>
      <c r="M58" s="295"/>
      <c r="N58" s="298">
        <f>K58-F58</f>
        <v>-8324.6099999999569</v>
      </c>
      <c r="O58" s="300">
        <f>N58/F58</f>
        <v>-5.1796360147475393E-2</v>
      </c>
    </row>
    <row r="59" spans="1:16" ht="18" customHeight="1" x14ac:dyDescent="0.25">
      <c r="B59" s="316"/>
      <c r="C59" s="317"/>
      <c r="D59" s="318"/>
      <c r="E59" s="318"/>
      <c r="F59" s="318"/>
      <c r="G59" s="316"/>
      <c r="H59" s="317"/>
      <c r="I59" s="318"/>
      <c r="K59" s="318"/>
      <c r="L59" s="316"/>
      <c r="M59" s="318"/>
      <c r="N59" s="318"/>
      <c r="O59" s="319"/>
      <c r="P59" s="143" t="s">
        <v>136</v>
      </c>
    </row>
    <row r="60" spans="1:16" ht="18" customHeight="1" x14ac:dyDescent="0.25">
      <c r="A60" s="301" t="s">
        <v>30</v>
      </c>
      <c r="B60" s="302">
        <v>42164</v>
      </c>
      <c r="C60" s="303">
        <v>10</v>
      </c>
      <c r="D60" s="304">
        <v>141.4</v>
      </c>
      <c r="E60" s="304"/>
      <c r="F60" s="304">
        <f>C60*D60</f>
        <v>1414</v>
      </c>
      <c r="G60" s="302">
        <v>42216</v>
      </c>
      <c r="H60" s="303">
        <v>10</v>
      </c>
      <c r="I60" s="304">
        <v>143.35</v>
      </c>
      <c r="J60" s="304">
        <v>0.03</v>
      </c>
      <c r="K60" s="304">
        <f>H60*I60-J60</f>
        <v>1433.47</v>
      </c>
      <c r="L60" s="305"/>
      <c r="M60" s="304"/>
      <c r="N60" s="304"/>
      <c r="O60" s="306"/>
    </row>
    <row r="61" spans="1:16" ht="18" customHeight="1" x14ac:dyDescent="0.25">
      <c r="A61" s="320"/>
      <c r="B61" s="321"/>
      <c r="C61" s="322">
        <f>SUM(C60)</f>
        <v>10</v>
      </c>
      <c r="D61" s="323"/>
      <c r="E61" s="323"/>
      <c r="F61" s="323">
        <f>SUM(F60)</f>
        <v>1414</v>
      </c>
      <c r="G61" s="324"/>
      <c r="H61" s="322">
        <f>SUM(H60)</f>
        <v>10</v>
      </c>
      <c r="I61" s="323"/>
      <c r="J61" s="322"/>
      <c r="K61" s="323">
        <f>SUM(K60)</f>
        <v>1433.47</v>
      </c>
      <c r="L61" s="324"/>
      <c r="M61" s="323"/>
      <c r="N61" s="323">
        <f>K61-F61</f>
        <v>19.470000000000027</v>
      </c>
      <c r="O61" s="325">
        <f>(N61+M61)/F61</f>
        <v>1.3769448373408788E-2</v>
      </c>
    </row>
    <row r="62" spans="1:16" ht="18" customHeight="1" x14ac:dyDescent="0.25">
      <c r="B62" s="316"/>
      <c r="C62" s="317"/>
      <c r="D62" s="318"/>
      <c r="E62" s="25"/>
      <c r="F62" s="318"/>
      <c r="G62" s="316"/>
      <c r="H62" s="317"/>
      <c r="I62" s="318"/>
      <c r="K62" s="318"/>
      <c r="L62" s="316"/>
      <c r="M62" s="318"/>
      <c r="N62" s="318"/>
      <c r="O62" s="319"/>
    </row>
    <row r="63" spans="1:16" ht="18" customHeight="1" x14ac:dyDescent="0.25">
      <c r="A63" s="301" t="s">
        <v>52</v>
      </c>
      <c r="B63" s="302">
        <v>42213</v>
      </c>
      <c r="C63" s="303">
        <v>25</v>
      </c>
      <c r="D63" s="304">
        <v>84.9</v>
      </c>
      <c r="E63" s="305"/>
      <c r="F63" s="304">
        <v>2122.5</v>
      </c>
      <c r="G63" s="302">
        <v>42221</v>
      </c>
      <c r="H63" s="303">
        <v>30</v>
      </c>
      <c r="I63" s="304">
        <v>84.23</v>
      </c>
      <c r="J63" s="304">
        <v>0</v>
      </c>
      <c r="K63" s="304">
        <v>2526.85</v>
      </c>
      <c r="L63" s="305"/>
      <c r="M63" s="304"/>
      <c r="N63" s="304"/>
      <c r="O63" s="306"/>
    </row>
    <row r="64" spans="1:16" ht="18" customHeight="1" x14ac:dyDescent="0.25">
      <c r="A64" s="301"/>
      <c r="B64" s="302">
        <v>42213</v>
      </c>
      <c r="C64" s="303">
        <v>5</v>
      </c>
      <c r="D64" s="304">
        <v>84.25</v>
      </c>
      <c r="E64" s="305"/>
      <c r="F64" s="304">
        <v>421.25</v>
      </c>
      <c r="G64" s="302">
        <v>42263</v>
      </c>
      <c r="H64" s="303">
        <v>40</v>
      </c>
      <c r="I64" s="304">
        <v>85</v>
      </c>
      <c r="J64" s="303">
        <v>0.06</v>
      </c>
      <c r="K64" s="304">
        <v>3399.94</v>
      </c>
      <c r="L64" s="305"/>
      <c r="M64" s="304"/>
      <c r="N64" s="304"/>
      <c r="O64" s="306"/>
    </row>
    <row r="65" spans="1:16" ht="18" customHeight="1" x14ac:dyDescent="0.25">
      <c r="A65" s="301"/>
      <c r="B65" s="302">
        <v>42214</v>
      </c>
      <c r="C65" s="303">
        <v>10</v>
      </c>
      <c r="D65" s="304">
        <v>83.2</v>
      </c>
      <c r="E65" s="305"/>
      <c r="F65" s="304">
        <v>832</v>
      </c>
      <c r="G65" s="305"/>
      <c r="H65" s="303"/>
      <c r="I65" s="304"/>
      <c r="J65" s="303"/>
      <c r="K65" s="304"/>
      <c r="L65" s="305"/>
      <c r="M65" s="304"/>
      <c r="N65" s="304"/>
      <c r="O65" s="306"/>
    </row>
    <row r="66" spans="1:16" ht="18" customHeight="1" x14ac:dyDescent="0.25">
      <c r="A66" s="301"/>
      <c r="B66" s="302">
        <v>42215</v>
      </c>
      <c r="C66" s="303">
        <v>5</v>
      </c>
      <c r="D66" s="304">
        <v>82.25</v>
      </c>
      <c r="E66" s="305"/>
      <c r="F66" s="304">
        <v>411.25</v>
      </c>
      <c r="G66" s="305"/>
      <c r="H66" s="303"/>
      <c r="I66" s="304"/>
      <c r="J66" s="303"/>
      <c r="K66" s="304"/>
      <c r="L66" s="305"/>
      <c r="M66" s="304"/>
      <c r="N66" s="304"/>
      <c r="O66" s="306"/>
    </row>
    <row r="67" spans="1:16" ht="18" customHeight="1" x14ac:dyDescent="0.25">
      <c r="A67" s="301"/>
      <c r="B67" s="302">
        <v>42220</v>
      </c>
      <c r="C67" s="303">
        <v>10</v>
      </c>
      <c r="D67" s="304">
        <v>81.349999999999994</v>
      </c>
      <c r="E67" s="305"/>
      <c r="F67" s="304">
        <v>813.5</v>
      </c>
      <c r="G67" s="305"/>
      <c r="H67" s="303"/>
      <c r="I67" s="304"/>
      <c r="J67" s="303"/>
      <c r="K67" s="304"/>
      <c r="L67" s="305"/>
      <c r="M67" s="304"/>
      <c r="N67" s="304"/>
      <c r="O67" s="306"/>
    </row>
    <row r="68" spans="1:16" ht="18" customHeight="1" x14ac:dyDescent="0.25">
      <c r="A68" s="301"/>
      <c r="B68" s="302">
        <v>42220</v>
      </c>
      <c r="C68" s="303">
        <v>5</v>
      </c>
      <c r="D68" s="304">
        <v>82.4</v>
      </c>
      <c r="E68" s="305"/>
      <c r="F68" s="304">
        <v>412</v>
      </c>
      <c r="G68" s="305"/>
      <c r="H68" s="303"/>
      <c r="I68" s="304"/>
      <c r="J68" s="303"/>
      <c r="K68" s="304"/>
      <c r="L68" s="305"/>
      <c r="M68" s="304"/>
      <c r="N68" s="304"/>
      <c r="O68" s="306"/>
    </row>
    <row r="69" spans="1:16" ht="18" customHeight="1" x14ac:dyDescent="0.25">
      <c r="A69" s="301"/>
      <c r="B69" s="302">
        <v>42221</v>
      </c>
      <c r="C69" s="303">
        <v>10</v>
      </c>
      <c r="D69" s="304">
        <v>80.7</v>
      </c>
      <c r="E69" s="305"/>
      <c r="F69" s="304">
        <v>807</v>
      </c>
      <c r="G69" s="305"/>
      <c r="H69" s="303"/>
      <c r="I69" s="304"/>
      <c r="J69" s="303"/>
      <c r="K69" s="304"/>
      <c r="L69" s="305"/>
      <c r="M69" s="304"/>
      <c r="N69" s="304"/>
      <c r="O69" s="306"/>
    </row>
    <row r="70" spans="1:16" ht="18" customHeight="1" x14ac:dyDescent="0.25">
      <c r="A70" s="320"/>
      <c r="B70" s="324"/>
      <c r="C70" s="322">
        <v>70</v>
      </c>
      <c r="D70" s="323"/>
      <c r="E70" s="324"/>
      <c r="F70" s="323">
        <f>SUM(F63:F69)</f>
        <v>5819.5</v>
      </c>
      <c r="G70" s="324"/>
      <c r="H70" s="322">
        <v>70</v>
      </c>
      <c r="I70" s="323"/>
      <c r="J70" s="322"/>
      <c r="K70" s="323">
        <f>SUM(K63:K64)</f>
        <v>5926.79</v>
      </c>
      <c r="L70" s="324"/>
      <c r="M70" s="323"/>
      <c r="N70" s="323">
        <f>K70-F70</f>
        <v>107.28999999999996</v>
      </c>
      <c r="O70" s="325">
        <f>N70/F70</f>
        <v>1.843629177764412E-2</v>
      </c>
    </row>
    <row r="71" spans="1:16" ht="18" customHeight="1" x14ac:dyDescent="0.25">
      <c r="B71" s="316"/>
      <c r="C71" s="317"/>
      <c r="D71" s="318"/>
      <c r="E71" s="318"/>
      <c r="F71" s="318"/>
      <c r="G71" s="316"/>
      <c r="H71" s="317"/>
      <c r="I71" s="318"/>
      <c r="K71" s="318"/>
      <c r="L71" s="316"/>
      <c r="M71" s="318"/>
      <c r="N71" s="318"/>
      <c r="O71" s="319"/>
    </row>
    <row r="72" spans="1:16" ht="18" customHeight="1" x14ac:dyDescent="0.25">
      <c r="A72" s="301" t="s">
        <v>8</v>
      </c>
      <c r="B72" s="302">
        <v>42145</v>
      </c>
      <c r="C72" s="303">
        <v>50</v>
      </c>
      <c r="D72" s="304">
        <v>61.7</v>
      </c>
      <c r="E72" s="304"/>
      <c r="F72" s="304">
        <f t="shared" ref="F72:F82" si="4">C72*D72</f>
        <v>3085</v>
      </c>
      <c r="G72" s="302">
        <v>42187</v>
      </c>
      <c r="H72" s="303">
        <v>300</v>
      </c>
      <c r="I72" s="304">
        <v>57.78</v>
      </c>
      <c r="J72" s="304">
        <v>0.32</v>
      </c>
      <c r="K72" s="304">
        <f>H72*I72-J72</f>
        <v>17333.68</v>
      </c>
      <c r="L72" s="302">
        <v>42185</v>
      </c>
      <c r="M72" s="304">
        <v>44.61</v>
      </c>
      <c r="N72" s="304"/>
      <c r="O72" s="306"/>
      <c r="P72" s="143" t="s">
        <v>136</v>
      </c>
    </row>
    <row r="73" spans="1:16" ht="18" customHeight="1" x14ac:dyDescent="0.25">
      <c r="A73" s="301"/>
      <c r="B73" s="302">
        <v>42146</v>
      </c>
      <c r="C73" s="303">
        <v>10</v>
      </c>
      <c r="D73" s="304">
        <v>61.37</v>
      </c>
      <c r="E73" s="304"/>
      <c r="F73" s="304">
        <f t="shared" si="4"/>
        <v>613.69999999999993</v>
      </c>
      <c r="G73" s="302">
        <v>42216</v>
      </c>
      <c r="H73" s="303">
        <v>300</v>
      </c>
      <c r="I73" s="304">
        <v>62</v>
      </c>
      <c r="J73" s="303">
        <v>0.34</v>
      </c>
      <c r="K73" s="304">
        <f>H73*I73-J73</f>
        <v>18599.66</v>
      </c>
      <c r="L73" s="305"/>
      <c r="M73" s="304"/>
      <c r="N73" s="304"/>
      <c r="O73" s="306"/>
    </row>
    <row r="74" spans="1:16" ht="18" customHeight="1" x14ac:dyDescent="0.25">
      <c r="A74" s="301"/>
      <c r="B74" s="302">
        <v>42146</v>
      </c>
      <c r="C74" s="303">
        <v>20</v>
      </c>
      <c r="D74" s="304">
        <v>61.12</v>
      </c>
      <c r="E74" s="304"/>
      <c r="F74" s="304">
        <f t="shared" si="4"/>
        <v>1222.3999999999999</v>
      </c>
      <c r="G74" s="305"/>
      <c r="H74" s="303"/>
      <c r="I74" s="304"/>
      <c r="J74" s="304"/>
      <c r="K74" s="304"/>
      <c r="L74" s="305"/>
      <c r="M74" s="304"/>
      <c r="N74" s="304"/>
      <c r="O74" s="306"/>
    </row>
    <row r="75" spans="1:16" ht="18" customHeight="1" x14ac:dyDescent="0.25">
      <c r="A75" s="301"/>
      <c r="B75" s="302">
        <v>42146</v>
      </c>
      <c r="C75" s="303">
        <v>20</v>
      </c>
      <c r="D75" s="304">
        <v>61.1</v>
      </c>
      <c r="E75" s="304"/>
      <c r="F75" s="304">
        <f t="shared" si="4"/>
        <v>1222</v>
      </c>
      <c r="G75" s="305"/>
      <c r="H75" s="303"/>
      <c r="I75" s="304"/>
      <c r="J75" s="303"/>
      <c r="K75" s="304"/>
      <c r="L75" s="305"/>
      <c r="M75" s="304"/>
      <c r="N75" s="304"/>
      <c r="O75" s="306"/>
    </row>
    <row r="76" spans="1:16" ht="18" customHeight="1" x14ac:dyDescent="0.25">
      <c r="A76" s="301"/>
      <c r="B76" s="302">
        <v>42146</v>
      </c>
      <c r="C76" s="303">
        <v>10</v>
      </c>
      <c r="D76" s="304">
        <v>60.8</v>
      </c>
      <c r="E76" s="304"/>
      <c r="F76" s="304">
        <f t="shared" si="4"/>
        <v>608</v>
      </c>
      <c r="G76" s="305"/>
      <c r="H76" s="303"/>
      <c r="I76" s="304"/>
      <c r="J76" s="304"/>
      <c r="K76" s="304"/>
      <c r="L76" s="305"/>
      <c r="M76" s="304"/>
      <c r="N76" s="304"/>
      <c r="O76" s="306"/>
    </row>
    <row r="77" spans="1:16" ht="18" customHeight="1" x14ac:dyDescent="0.25">
      <c r="A77" s="301"/>
      <c r="B77" s="302">
        <v>42146</v>
      </c>
      <c r="C77" s="303">
        <v>20</v>
      </c>
      <c r="D77" s="304">
        <v>60.7</v>
      </c>
      <c r="E77" s="304"/>
      <c r="F77" s="304">
        <f t="shared" si="4"/>
        <v>1214</v>
      </c>
      <c r="G77" s="305"/>
      <c r="H77" s="303"/>
      <c r="I77" s="304"/>
      <c r="J77" s="304"/>
      <c r="K77" s="304"/>
      <c r="L77" s="305"/>
      <c r="M77" s="304"/>
      <c r="N77" s="304"/>
      <c r="O77" s="306"/>
      <c r="P77" s="143" t="s">
        <v>136</v>
      </c>
    </row>
    <row r="78" spans="1:16" ht="18" customHeight="1" x14ac:dyDescent="0.25">
      <c r="A78" s="301"/>
      <c r="B78" s="302">
        <v>42150</v>
      </c>
      <c r="C78" s="303">
        <v>20</v>
      </c>
      <c r="D78" s="304">
        <v>60.6</v>
      </c>
      <c r="E78" s="304"/>
      <c r="F78" s="304">
        <f t="shared" si="4"/>
        <v>1212</v>
      </c>
      <c r="G78" s="305"/>
      <c r="H78" s="303"/>
      <c r="I78" s="304"/>
      <c r="J78" s="304"/>
      <c r="K78" s="304"/>
      <c r="L78" s="305"/>
      <c r="M78" s="304"/>
      <c r="N78" s="304"/>
      <c r="O78" s="306"/>
    </row>
    <row r="79" spans="1:16" ht="18" customHeight="1" x14ac:dyDescent="0.25">
      <c r="A79" s="301"/>
      <c r="B79" s="302">
        <v>42152</v>
      </c>
      <c r="C79" s="303">
        <v>30</v>
      </c>
      <c r="D79" s="304">
        <v>60.33</v>
      </c>
      <c r="E79" s="304"/>
      <c r="F79" s="304">
        <f t="shared" si="4"/>
        <v>1809.8999999999999</v>
      </c>
      <c r="G79" s="305"/>
      <c r="H79" s="303"/>
      <c r="I79" s="304"/>
      <c r="J79" s="304"/>
      <c r="K79" s="304"/>
      <c r="L79" s="305"/>
      <c r="M79" s="304"/>
      <c r="N79" s="304"/>
      <c r="O79" s="306"/>
    </row>
    <row r="80" spans="1:16" ht="18" customHeight="1" x14ac:dyDescent="0.25">
      <c r="A80" s="301"/>
      <c r="B80" s="302">
        <v>42152</v>
      </c>
      <c r="C80" s="303">
        <v>30</v>
      </c>
      <c r="D80" s="304">
        <v>60.39</v>
      </c>
      <c r="E80" s="304"/>
      <c r="F80" s="304">
        <f t="shared" si="4"/>
        <v>1811.7</v>
      </c>
      <c r="G80" s="305"/>
      <c r="H80" s="303"/>
      <c r="I80" s="304"/>
      <c r="J80" s="304"/>
      <c r="K80" s="304"/>
      <c r="L80" s="305"/>
      <c r="M80" s="304"/>
      <c r="N80" s="304"/>
      <c r="O80" s="306"/>
    </row>
    <row r="81" spans="1:16" ht="18" customHeight="1" x14ac:dyDescent="0.25">
      <c r="A81" s="301"/>
      <c r="B81" s="302">
        <v>42166</v>
      </c>
      <c r="C81" s="303">
        <v>100</v>
      </c>
      <c r="D81" s="304">
        <v>58</v>
      </c>
      <c r="E81" s="304"/>
      <c r="F81" s="304">
        <f t="shared" si="4"/>
        <v>5800</v>
      </c>
      <c r="G81" s="305"/>
      <c r="H81" s="303"/>
      <c r="I81" s="304"/>
      <c r="J81" s="304"/>
      <c r="K81" s="304"/>
      <c r="L81" s="305"/>
      <c r="M81" s="304"/>
      <c r="N81" s="304"/>
      <c r="O81" s="306"/>
    </row>
    <row r="82" spans="1:16" ht="18" customHeight="1" x14ac:dyDescent="0.25">
      <c r="A82" s="301"/>
      <c r="B82" s="302">
        <v>42187</v>
      </c>
      <c r="C82" s="303">
        <v>290</v>
      </c>
      <c r="D82" s="304">
        <v>57.85</v>
      </c>
      <c r="E82" s="304"/>
      <c r="F82" s="304">
        <f t="shared" si="4"/>
        <v>16776.5</v>
      </c>
      <c r="G82" s="305"/>
      <c r="H82" s="303"/>
      <c r="I82" s="304"/>
      <c r="J82" s="304"/>
      <c r="K82" s="304"/>
      <c r="L82" s="305"/>
      <c r="M82" s="304"/>
      <c r="N82" s="304"/>
      <c r="O82" s="306"/>
    </row>
    <row r="83" spans="1:16" ht="18" customHeight="1" x14ac:dyDescent="0.25">
      <c r="A83" s="301"/>
      <c r="B83" s="307"/>
      <c r="C83" s="308">
        <f>SUM(C72:C82)</f>
        <v>600</v>
      </c>
      <c r="D83" s="309"/>
      <c r="E83" s="309"/>
      <c r="F83" s="309">
        <f>SUM(F72:F82)</f>
        <v>35375.199999999997</v>
      </c>
      <c r="G83" s="310"/>
      <c r="H83" s="308">
        <f>SUM(H72:H82)</f>
        <v>600</v>
      </c>
      <c r="I83" s="309"/>
      <c r="J83" s="309"/>
      <c r="K83" s="309">
        <f>SUM(K72:K82)</f>
        <v>35933.339999999997</v>
      </c>
      <c r="L83" s="310"/>
      <c r="M83" s="309">
        <f>SUM(M72:M82)</f>
        <v>44.61</v>
      </c>
      <c r="N83" s="309">
        <f>K83-F83</f>
        <v>558.13999999999942</v>
      </c>
      <c r="O83" s="311">
        <f>(N83+M83)/F83</f>
        <v>1.7038772925665423E-2</v>
      </c>
      <c r="P83" s="143" t="s">
        <v>136</v>
      </c>
    </row>
    <row r="84" spans="1:16" ht="18" customHeight="1" x14ac:dyDescent="0.25">
      <c r="B84" s="316"/>
      <c r="C84" s="317"/>
      <c r="D84" s="318"/>
      <c r="E84" s="25"/>
      <c r="F84" s="318"/>
      <c r="G84" s="316"/>
      <c r="H84" s="317"/>
      <c r="I84" s="318"/>
      <c r="J84" s="318"/>
      <c r="K84" s="318"/>
      <c r="L84" s="316"/>
      <c r="M84" s="318"/>
      <c r="N84" s="318"/>
      <c r="O84" s="319"/>
    </row>
    <row r="85" spans="1:16" ht="18" customHeight="1" x14ac:dyDescent="0.25">
      <c r="A85" s="301" t="s">
        <v>40</v>
      </c>
      <c r="B85" s="302">
        <v>42184</v>
      </c>
      <c r="C85" s="303">
        <v>20</v>
      </c>
      <c r="D85" s="304">
        <v>164.18</v>
      </c>
      <c r="E85" s="304"/>
      <c r="F85" s="304">
        <f>C85*D85</f>
        <v>3283.6000000000004</v>
      </c>
      <c r="G85" s="302">
        <v>42216</v>
      </c>
      <c r="H85" s="303">
        <v>20</v>
      </c>
      <c r="I85" s="304">
        <v>158</v>
      </c>
      <c r="J85" s="304">
        <v>0.06</v>
      </c>
      <c r="K85" s="304">
        <f>H85*I85-J85</f>
        <v>3159.94</v>
      </c>
      <c r="L85" s="305"/>
      <c r="M85" s="304"/>
      <c r="N85" s="304"/>
      <c r="O85" s="303"/>
    </row>
    <row r="86" spans="1:16" ht="18" customHeight="1" x14ac:dyDescent="0.25">
      <c r="A86" s="301"/>
      <c r="B86" s="302">
        <v>42209</v>
      </c>
      <c r="C86" s="303">
        <v>10</v>
      </c>
      <c r="D86" s="304">
        <v>148</v>
      </c>
      <c r="E86" s="304"/>
      <c r="F86" s="304">
        <f>C86*D86</f>
        <v>1480</v>
      </c>
      <c r="G86" s="302">
        <v>42235</v>
      </c>
      <c r="H86" s="303">
        <v>20</v>
      </c>
      <c r="I86" s="304">
        <v>159.80000000000001</v>
      </c>
      <c r="J86" s="304">
        <v>0.06</v>
      </c>
      <c r="K86" s="304">
        <f>H86*I86-J86</f>
        <v>3195.94</v>
      </c>
      <c r="L86" s="305"/>
      <c r="M86" s="304"/>
      <c r="N86" s="304"/>
      <c r="O86" s="303"/>
    </row>
    <row r="87" spans="1:16" ht="18" customHeight="1" x14ac:dyDescent="0.25">
      <c r="A87" s="301"/>
      <c r="B87" s="302">
        <v>42209</v>
      </c>
      <c r="C87" s="303">
        <v>10</v>
      </c>
      <c r="D87" s="304">
        <v>146.69999999999999</v>
      </c>
      <c r="E87" s="304"/>
      <c r="F87" s="304">
        <f>C87*D87</f>
        <v>1467</v>
      </c>
      <c r="G87" s="305"/>
      <c r="H87" s="303"/>
      <c r="I87" s="304"/>
      <c r="J87" s="304"/>
      <c r="K87" s="304"/>
      <c r="L87" s="305"/>
      <c r="M87" s="304"/>
      <c r="N87" s="304"/>
      <c r="O87" s="303"/>
      <c r="P87" s="143" t="s">
        <v>136</v>
      </c>
    </row>
    <row r="88" spans="1:16" ht="18" customHeight="1" x14ac:dyDescent="0.25">
      <c r="A88" s="301"/>
      <c r="B88" s="310"/>
      <c r="C88" s="308">
        <f>SUM(C85:C87)</f>
        <v>40</v>
      </c>
      <c r="D88" s="309"/>
      <c r="E88" s="309"/>
      <c r="F88" s="309">
        <f>SUM(F85:F87)</f>
        <v>6230.6</v>
      </c>
      <c r="G88" s="310"/>
      <c r="H88" s="308">
        <f>SUM(H85:H87)</f>
        <v>40</v>
      </c>
      <c r="I88" s="309"/>
      <c r="J88" s="309"/>
      <c r="K88" s="309">
        <f>SUM(K85:K87)</f>
        <v>6355.88</v>
      </c>
      <c r="L88" s="310"/>
      <c r="M88" s="309"/>
      <c r="N88" s="309">
        <f>K88-F88</f>
        <v>125.27999999999975</v>
      </c>
      <c r="O88" s="311">
        <f>(N88+M88)/F88</f>
        <v>2.0107212788495449E-2</v>
      </c>
      <c r="P88" s="143"/>
    </row>
    <row r="89" spans="1:16" ht="18" customHeight="1" x14ac:dyDescent="0.25">
      <c r="B89" s="316"/>
      <c r="C89" s="317"/>
      <c r="D89" s="318"/>
      <c r="E89" s="318"/>
      <c r="F89" s="318"/>
      <c r="G89" s="316"/>
      <c r="H89" s="317"/>
      <c r="I89" s="318"/>
      <c r="J89" s="318"/>
      <c r="K89" s="318"/>
      <c r="L89" s="316"/>
      <c r="M89" s="318"/>
      <c r="N89" s="318"/>
      <c r="O89" s="319"/>
      <c r="P89" s="143"/>
    </row>
    <row r="90" spans="1:16" ht="18" customHeight="1" x14ac:dyDescent="0.25">
      <c r="A90" s="301" t="s">
        <v>19</v>
      </c>
      <c r="B90" s="302">
        <v>42152</v>
      </c>
      <c r="C90" s="303">
        <v>5</v>
      </c>
      <c r="D90" s="304">
        <v>35.049999999999997</v>
      </c>
      <c r="E90" s="304"/>
      <c r="F90" s="304">
        <v>175.25</v>
      </c>
      <c r="G90" s="302">
        <v>42206</v>
      </c>
      <c r="H90" s="303">
        <v>39</v>
      </c>
      <c r="I90" s="304">
        <v>35.65</v>
      </c>
      <c r="J90" s="303">
        <v>0.03</v>
      </c>
      <c r="K90" s="304">
        <f>H90*I90-J90</f>
        <v>1390.32</v>
      </c>
      <c r="L90" s="302">
        <v>42170</v>
      </c>
      <c r="M90" s="304">
        <v>7.73</v>
      </c>
      <c r="N90" s="304"/>
      <c r="O90" s="306"/>
      <c r="P90" s="143" t="s">
        <v>136</v>
      </c>
    </row>
    <row r="91" spans="1:16" ht="18" customHeight="1" x14ac:dyDescent="0.25">
      <c r="A91" s="301"/>
      <c r="B91" s="302">
        <v>42153</v>
      </c>
      <c r="C91" s="303">
        <v>25</v>
      </c>
      <c r="D91" s="304">
        <v>34.4</v>
      </c>
      <c r="E91" s="305"/>
      <c r="F91" s="304">
        <v>860</v>
      </c>
      <c r="G91" s="302">
        <v>42264</v>
      </c>
      <c r="H91" s="303">
        <v>51</v>
      </c>
      <c r="I91" s="304">
        <v>35</v>
      </c>
      <c r="J91" s="304">
        <v>0.03</v>
      </c>
      <c r="K91" s="304">
        <f>H91*I91-J91</f>
        <v>1784.97</v>
      </c>
      <c r="L91" s="302">
        <v>42262</v>
      </c>
      <c r="M91" s="304">
        <v>13.64</v>
      </c>
      <c r="N91" s="304"/>
      <c r="O91" s="306"/>
      <c r="P91" s="143"/>
    </row>
    <row r="92" spans="1:16" ht="18" customHeight="1" x14ac:dyDescent="0.25">
      <c r="A92" s="301"/>
      <c r="B92" s="302">
        <v>42173</v>
      </c>
      <c r="C92" s="303">
        <v>10</v>
      </c>
      <c r="D92" s="304">
        <v>34.1</v>
      </c>
      <c r="E92" s="304"/>
      <c r="F92" s="304">
        <v>341</v>
      </c>
      <c r="G92" s="305"/>
      <c r="H92" s="303"/>
      <c r="I92" s="304"/>
      <c r="J92" s="304"/>
      <c r="K92" s="304"/>
      <c r="L92" s="305"/>
      <c r="M92" s="304"/>
      <c r="N92" s="304"/>
      <c r="O92" s="306"/>
      <c r="P92" s="143"/>
    </row>
    <row r="93" spans="1:16" ht="18" customHeight="1" x14ac:dyDescent="0.25">
      <c r="A93" s="301"/>
      <c r="B93" s="302">
        <v>42228</v>
      </c>
      <c r="C93" s="303">
        <v>50</v>
      </c>
      <c r="D93" s="304">
        <v>33.44</v>
      </c>
      <c r="E93" s="304"/>
      <c r="F93" s="304">
        <v>1672.2</v>
      </c>
      <c r="G93" s="305"/>
      <c r="H93" s="303"/>
      <c r="I93" s="304"/>
      <c r="J93" s="304"/>
      <c r="K93" s="304"/>
      <c r="L93" s="305"/>
      <c r="M93" s="304"/>
      <c r="N93" s="304"/>
      <c r="O93" s="306"/>
      <c r="P93" s="143"/>
    </row>
    <row r="94" spans="1:16" ht="18" customHeight="1" x14ac:dyDescent="0.25">
      <c r="A94" s="301"/>
      <c r="B94" s="310"/>
      <c r="C94" s="308">
        <v>90</v>
      </c>
      <c r="D94" s="309"/>
      <c r="E94" s="309"/>
      <c r="F94" s="309">
        <f>SUM(F90:F93)</f>
        <v>3048.45</v>
      </c>
      <c r="G94" s="310"/>
      <c r="H94" s="308">
        <v>90</v>
      </c>
      <c r="I94" s="309"/>
      <c r="J94" s="309"/>
      <c r="K94" s="309">
        <f>SUM(K90:K91)</f>
        <v>3175.29</v>
      </c>
      <c r="L94" s="310"/>
      <c r="M94" s="309">
        <f>SUM(M90:M91)</f>
        <v>21.37</v>
      </c>
      <c r="N94" s="309">
        <f>K94-F94</f>
        <v>126.84000000000015</v>
      </c>
      <c r="O94" s="311">
        <f>N94/F94</f>
        <v>4.1608030310485704E-2</v>
      </c>
      <c r="P94" s="143"/>
    </row>
    <row r="95" spans="1:16" ht="18" customHeight="1" x14ac:dyDescent="0.25">
      <c r="B95" s="316"/>
      <c r="C95" s="317"/>
      <c r="D95" s="318"/>
      <c r="E95" s="25"/>
      <c r="F95" s="318"/>
      <c r="G95" s="316"/>
      <c r="H95" s="317"/>
      <c r="I95" s="318"/>
      <c r="K95" s="318"/>
      <c r="L95" s="316"/>
      <c r="M95" s="318"/>
      <c r="N95" s="318"/>
      <c r="O95" s="319"/>
      <c r="P95" s="143"/>
    </row>
    <row r="96" spans="1:16" ht="18" customHeight="1" x14ac:dyDescent="0.25">
      <c r="A96" s="301" t="s">
        <v>32</v>
      </c>
      <c r="B96" s="302">
        <v>42166</v>
      </c>
      <c r="C96" s="303">
        <v>25</v>
      </c>
      <c r="D96" s="304">
        <v>41.2</v>
      </c>
      <c r="E96" s="305"/>
      <c r="F96" s="304">
        <f>C96*D96</f>
        <v>1030</v>
      </c>
      <c r="G96" s="302">
        <v>42200</v>
      </c>
      <c r="H96" s="303">
        <v>50</v>
      </c>
      <c r="I96" s="304">
        <v>42.08</v>
      </c>
      <c r="J96" s="303">
        <v>0.04</v>
      </c>
      <c r="K96" s="304">
        <f>H96*I96-J96</f>
        <v>2103.96</v>
      </c>
      <c r="L96" s="305"/>
      <c r="M96" s="304"/>
      <c r="N96" s="304"/>
      <c r="O96" s="306"/>
      <c r="P96" s="143" t="s">
        <v>136</v>
      </c>
    </row>
    <row r="97" spans="1:15" ht="18" customHeight="1" x14ac:dyDescent="0.25">
      <c r="A97" s="301"/>
      <c r="B97" s="302">
        <v>42167</v>
      </c>
      <c r="C97" s="303">
        <v>25</v>
      </c>
      <c r="D97" s="304">
        <v>39.1</v>
      </c>
      <c r="E97" s="305"/>
      <c r="F97" s="304">
        <f>C97*D97</f>
        <v>977.5</v>
      </c>
      <c r="G97" s="305"/>
      <c r="H97" s="303"/>
      <c r="I97" s="304"/>
      <c r="J97" s="303"/>
      <c r="K97" s="304"/>
      <c r="L97" s="305"/>
      <c r="M97" s="304"/>
      <c r="N97" s="304"/>
      <c r="O97" s="306"/>
    </row>
    <row r="98" spans="1:15" ht="18" customHeight="1" x14ac:dyDescent="0.25">
      <c r="A98" s="301"/>
      <c r="B98" s="307"/>
      <c r="C98" s="308">
        <f>SUM(C96:C97)</f>
        <v>50</v>
      </c>
      <c r="D98" s="309"/>
      <c r="E98" s="310"/>
      <c r="F98" s="309">
        <f>SUM(F96:F97)</f>
        <v>2007.5</v>
      </c>
      <c r="G98" s="310"/>
      <c r="H98" s="308">
        <f>SUM(H96:H97)</f>
        <v>50</v>
      </c>
      <c r="I98" s="309"/>
      <c r="J98" s="308"/>
      <c r="K98" s="309">
        <f>SUM(K96:K97)</f>
        <v>2103.96</v>
      </c>
      <c r="L98" s="310"/>
      <c r="M98" s="309"/>
      <c r="N98" s="309">
        <f>K98-F98</f>
        <v>96.460000000000036</v>
      </c>
      <c r="O98" s="311">
        <f>(N98+M98)/F98</f>
        <v>4.804981320049815E-2</v>
      </c>
    </row>
    <row r="99" spans="1:15" ht="18" customHeight="1" x14ac:dyDescent="0.25">
      <c r="B99" s="316"/>
      <c r="C99" s="317"/>
      <c r="D99" s="318"/>
      <c r="E99" s="318"/>
      <c r="F99" s="318"/>
      <c r="G99" s="316"/>
      <c r="H99" s="317"/>
      <c r="I99" s="318"/>
      <c r="K99" s="318"/>
      <c r="L99" s="316"/>
      <c r="M99" s="318"/>
      <c r="N99" s="318"/>
      <c r="O99" s="319"/>
    </row>
    <row r="100" spans="1:15" ht="18" customHeight="1" x14ac:dyDescent="0.25">
      <c r="A100" s="301" t="s">
        <v>16</v>
      </c>
      <c r="B100" s="302">
        <v>42153</v>
      </c>
      <c r="C100" s="303">
        <v>1</v>
      </c>
      <c r="D100" s="304">
        <v>20.3</v>
      </c>
      <c r="E100" s="304"/>
      <c r="F100" s="304">
        <f>C100*D100</f>
        <v>20.3</v>
      </c>
      <c r="G100" s="302">
        <v>42187</v>
      </c>
      <c r="H100" s="303">
        <v>1</v>
      </c>
      <c r="I100" s="304">
        <v>28.5</v>
      </c>
      <c r="J100" s="304">
        <v>0.01</v>
      </c>
      <c r="K100" s="304">
        <f>H100*I100-J100</f>
        <v>28.49</v>
      </c>
      <c r="L100" s="305"/>
      <c r="M100" s="304"/>
      <c r="N100" s="304"/>
      <c r="O100" s="306"/>
    </row>
    <row r="101" spans="1:15" ht="18" customHeight="1" x14ac:dyDescent="0.25">
      <c r="A101" s="301"/>
      <c r="B101" s="310"/>
      <c r="C101" s="308">
        <f>SUM(C100)</f>
        <v>1</v>
      </c>
      <c r="D101" s="309"/>
      <c r="E101" s="309"/>
      <c r="F101" s="309">
        <f>SUM(F100)</f>
        <v>20.3</v>
      </c>
      <c r="G101" s="310"/>
      <c r="H101" s="308">
        <f>SUM(H100)</f>
        <v>1</v>
      </c>
      <c r="I101" s="309"/>
      <c r="J101" s="309"/>
      <c r="K101" s="309">
        <f>SUM(K100)</f>
        <v>28.49</v>
      </c>
      <c r="L101" s="310"/>
      <c r="M101" s="309"/>
      <c r="N101" s="309">
        <f>K101-F101</f>
        <v>8.1899999999999977</v>
      </c>
      <c r="O101" s="311">
        <f>(N101+M101)/F101</f>
        <v>0.40344827586206883</v>
      </c>
    </row>
    <row r="102" spans="1:15" ht="18" customHeight="1" x14ac:dyDescent="0.25">
      <c r="B102" s="316"/>
      <c r="C102" s="317"/>
      <c r="D102" s="318"/>
      <c r="E102" s="25"/>
      <c r="F102" s="318"/>
      <c r="G102" s="316"/>
      <c r="H102" s="317"/>
      <c r="I102" s="318"/>
      <c r="K102" s="318"/>
      <c r="L102" s="316"/>
      <c r="M102" s="318"/>
      <c r="N102" s="318"/>
      <c r="O102" s="319"/>
    </row>
    <row r="103" spans="1:15" ht="18" customHeight="1" x14ac:dyDescent="0.25">
      <c r="A103" s="301" t="s">
        <v>21</v>
      </c>
      <c r="B103" s="302">
        <v>42153</v>
      </c>
      <c r="C103" s="303">
        <v>10</v>
      </c>
      <c r="D103" s="304">
        <v>17.399999999999999</v>
      </c>
      <c r="E103" s="305"/>
      <c r="F103" s="304">
        <f>C103*D103</f>
        <v>174</v>
      </c>
      <c r="G103" s="302">
        <v>42186</v>
      </c>
      <c r="H103" s="303">
        <v>10</v>
      </c>
      <c r="I103" s="304">
        <v>24.2</v>
      </c>
      <c r="J103" s="303">
        <v>0.01</v>
      </c>
      <c r="K103" s="304">
        <f>H103*I103-J103</f>
        <v>241.99</v>
      </c>
      <c r="L103" s="305"/>
      <c r="M103" s="304"/>
      <c r="N103" s="304"/>
      <c r="O103" s="306"/>
    </row>
    <row r="104" spans="1:15" ht="18" customHeight="1" x14ac:dyDescent="0.25">
      <c r="A104" s="301"/>
      <c r="B104" s="302">
        <v>42187</v>
      </c>
      <c r="C104" s="303">
        <v>1000</v>
      </c>
      <c r="D104" s="304">
        <v>22.12</v>
      </c>
      <c r="E104" s="305"/>
      <c r="F104" s="304">
        <f>C104*D104</f>
        <v>22120</v>
      </c>
      <c r="G104" s="302">
        <v>42187</v>
      </c>
      <c r="H104" s="303">
        <v>4000</v>
      </c>
      <c r="I104" s="304">
        <v>21.81</v>
      </c>
      <c r="J104" s="303">
        <v>11.91</v>
      </c>
      <c r="K104" s="304">
        <f>H104*I104-J104</f>
        <v>87228.09</v>
      </c>
      <c r="L104" s="305"/>
      <c r="M104" s="304"/>
      <c r="N104" s="304"/>
      <c r="O104" s="306"/>
    </row>
    <row r="105" spans="1:15" ht="18" customHeight="1" x14ac:dyDescent="0.25">
      <c r="A105" s="301"/>
      <c r="B105" s="302">
        <v>42187</v>
      </c>
      <c r="C105" s="303">
        <v>1000</v>
      </c>
      <c r="D105" s="304">
        <v>21.7</v>
      </c>
      <c r="E105" s="305"/>
      <c r="F105" s="304">
        <f>C105*D105</f>
        <v>21700</v>
      </c>
      <c r="G105" s="302"/>
      <c r="H105" s="303"/>
      <c r="I105" s="304"/>
      <c r="J105" s="303"/>
      <c r="K105" s="304"/>
      <c r="L105" s="305"/>
      <c r="M105" s="304"/>
      <c r="N105" s="304"/>
      <c r="O105" s="306"/>
    </row>
    <row r="106" spans="1:15" ht="18" customHeight="1" x14ac:dyDescent="0.25">
      <c r="A106" s="301"/>
      <c r="B106" s="302">
        <v>42187</v>
      </c>
      <c r="C106" s="303">
        <v>2000</v>
      </c>
      <c r="D106" s="304">
        <v>21.49</v>
      </c>
      <c r="E106" s="305"/>
      <c r="F106" s="304">
        <f>C106*D106</f>
        <v>42980</v>
      </c>
      <c r="G106" s="302"/>
      <c r="H106" s="303"/>
      <c r="I106" s="304"/>
      <c r="J106" s="303"/>
      <c r="K106" s="304"/>
      <c r="L106" s="305"/>
      <c r="M106" s="304"/>
      <c r="N106" s="304"/>
      <c r="O106" s="306"/>
    </row>
    <row r="107" spans="1:15" ht="18" customHeight="1" x14ac:dyDescent="0.25">
      <c r="A107" s="301"/>
      <c r="B107" s="307"/>
      <c r="C107" s="308">
        <f>SUM(C103:C106)</f>
        <v>4010</v>
      </c>
      <c r="D107" s="309"/>
      <c r="E107" s="310"/>
      <c r="F107" s="309">
        <f>SUM(F103:F106)</f>
        <v>86974</v>
      </c>
      <c r="G107" s="310"/>
      <c r="H107" s="308">
        <f>SUM(H103:H106)</f>
        <v>4010</v>
      </c>
      <c r="I107" s="309"/>
      <c r="J107" s="308"/>
      <c r="K107" s="309">
        <f>SUM(K103:K106)</f>
        <v>87470.080000000002</v>
      </c>
      <c r="L107" s="310"/>
      <c r="M107" s="309"/>
      <c r="N107" s="309">
        <f>K107-F107</f>
        <v>496.08000000000175</v>
      </c>
      <c r="O107" s="311">
        <f>(N107+M107)/F107</f>
        <v>5.7037735415181746E-3</v>
      </c>
    </row>
    <row r="108" spans="1:15" ht="18" customHeight="1" x14ac:dyDescent="0.25">
      <c r="B108" s="316"/>
      <c r="C108" s="317"/>
      <c r="D108" s="318"/>
      <c r="E108" s="25"/>
      <c r="F108" s="318"/>
      <c r="G108" s="316"/>
      <c r="H108" s="317"/>
      <c r="I108" s="318"/>
      <c r="J108" s="318"/>
      <c r="K108" s="318"/>
      <c r="L108" s="316"/>
      <c r="M108" s="318"/>
      <c r="N108" s="317"/>
      <c r="O108" s="317"/>
    </row>
    <row r="109" spans="1:15" ht="18" customHeight="1" x14ac:dyDescent="0.25">
      <c r="A109" s="301" t="s">
        <v>9</v>
      </c>
      <c r="B109" s="302">
        <v>42145</v>
      </c>
      <c r="C109" s="303">
        <v>100</v>
      </c>
      <c r="D109" s="304">
        <v>5.55</v>
      </c>
      <c r="E109" s="304"/>
      <c r="F109" s="304">
        <f t="shared" ref="F109:F138" si="5">C109*D109</f>
        <v>555</v>
      </c>
      <c r="G109" s="302">
        <v>42187</v>
      </c>
      <c r="H109" s="303">
        <v>4200</v>
      </c>
      <c r="I109" s="304">
        <v>5.0199999999999996</v>
      </c>
      <c r="J109" s="304">
        <v>0.39</v>
      </c>
      <c r="K109" s="304">
        <f>H109*I109-J109</f>
        <v>21083.61</v>
      </c>
      <c r="L109" s="302">
        <v>42185</v>
      </c>
      <c r="M109" s="304">
        <v>656.25</v>
      </c>
      <c r="N109" s="303"/>
      <c r="O109" s="303"/>
    </row>
    <row r="110" spans="1:15" ht="18" customHeight="1" x14ac:dyDescent="0.25">
      <c r="A110" s="301"/>
      <c r="B110" s="302">
        <v>42146</v>
      </c>
      <c r="C110" s="303">
        <v>100</v>
      </c>
      <c r="D110" s="304">
        <v>5.47</v>
      </c>
      <c r="E110" s="304"/>
      <c r="F110" s="304">
        <f t="shared" si="5"/>
        <v>547</v>
      </c>
      <c r="G110" s="302">
        <v>42207</v>
      </c>
      <c r="H110" s="303">
        <v>1000</v>
      </c>
      <c r="I110" s="304">
        <v>5.12</v>
      </c>
      <c r="J110" s="304">
        <v>0.09</v>
      </c>
      <c r="K110" s="304">
        <f>H110*I110-J110</f>
        <v>5119.91</v>
      </c>
      <c r="L110" s="305"/>
      <c r="M110" s="304"/>
      <c r="N110" s="303"/>
      <c r="O110" s="303"/>
    </row>
    <row r="111" spans="1:15" ht="18" customHeight="1" x14ac:dyDescent="0.25">
      <c r="A111" s="301"/>
      <c r="B111" s="302">
        <v>42146</v>
      </c>
      <c r="C111" s="303">
        <v>100</v>
      </c>
      <c r="D111" s="304">
        <v>5.43</v>
      </c>
      <c r="E111" s="304"/>
      <c r="F111" s="304">
        <f t="shared" si="5"/>
        <v>543</v>
      </c>
      <c r="G111" s="302">
        <v>42207</v>
      </c>
      <c r="H111" s="303">
        <v>2000</v>
      </c>
      <c r="I111" s="304">
        <v>5.16</v>
      </c>
      <c r="J111" s="304">
        <v>0.19</v>
      </c>
      <c r="K111" s="304">
        <f t="shared" ref="K111:K118" si="6">H111*I111-J111</f>
        <v>10319.81</v>
      </c>
      <c r="L111" s="305"/>
      <c r="M111" s="304"/>
      <c r="N111" s="303"/>
      <c r="O111" s="303"/>
    </row>
    <row r="112" spans="1:15" ht="18" customHeight="1" x14ac:dyDescent="0.25">
      <c r="A112" s="301"/>
      <c r="B112" s="302">
        <v>42146</v>
      </c>
      <c r="C112" s="303">
        <v>100</v>
      </c>
      <c r="D112" s="304">
        <v>5.4</v>
      </c>
      <c r="E112" s="304"/>
      <c r="F112" s="304">
        <f t="shared" si="5"/>
        <v>540</v>
      </c>
      <c r="G112" s="302">
        <v>42207</v>
      </c>
      <c r="H112" s="303">
        <v>1000</v>
      </c>
      <c r="I112" s="304">
        <v>5.07</v>
      </c>
      <c r="J112" s="304">
        <v>0.09</v>
      </c>
      <c r="K112" s="304">
        <f t="shared" si="6"/>
        <v>5069.91</v>
      </c>
      <c r="L112" s="305"/>
      <c r="M112" s="304"/>
      <c r="N112" s="303"/>
      <c r="O112" s="303"/>
    </row>
    <row r="113" spans="1:16" ht="18" customHeight="1" x14ac:dyDescent="0.25">
      <c r="A113" s="301"/>
      <c r="B113" s="302">
        <v>42146</v>
      </c>
      <c r="C113" s="303">
        <v>200</v>
      </c>
      <c r="D113" s="304">
        <v>5.35</v>
      </c>
      <c r="E113" s="304"/>
      <c r="F113" s="304">
        <f t="shared" si="5"/>
        <v>1070</v>
      </c>
      <c r="G113" s="302">
        <v>42207</v>
      </c>
      <c r="H113" s="303">
        <v>1000</v>
      </c>
      <c r="I113" s="304">
        <v>5.09</v>
      </c>
      <c r="J113" s="304">
        <v>0.09</v>
      </c>
      <c r="K113" s="304">
        <f t="shared" si="6"/>
        <v>5089.91</v>
      </c>
      <c r="L113" s="305"/>
      <c r="M113" s="304"/>
      <c r="N113" s="303"/>
      <c r="O113" s="303"/>
    </row>
    <row r="114" spans="1:16" ht="18" customHeight="1" x14ac:dyDescent="0.25">
      <c r="A114" s="301"/>
      <c r="B114" s="302">
        <v>42152</v>
      </c>
      <c r="C114" s="303">
        <v>250</v>
      </c>
      <c r="D114" s="304">
        <v>5.3</v>
      </c>
      <c r="E114" s="304"/>
      <c r="F114" s="304">
        <f t="shared" si="5"/>
        <v>1325</v>
      </c>
      <c r="G114" s="302">
        <v>42207</v>
      </c>
      <c r="H114" s="303">
        <v>2000</v>
      </c>
      <c r="I114" s="304">
        <v>5.23</v>
      </c>
      <c r="J114" s="304">
        <v>0.19</v>
      </c>
      <c r="K114" s="304">
        <f t="shared" si="6"/>
        <v>10459.81</v>
      </c>
      <c r="L114" s="305"/>
      <c r="M114" s="304"/>
      <c r="N114" s="303"/>
      <c r="O114" s="303"/>
    </row>
    <row r="115" spans="1:16" ht="18" customHeight="1" x14ac:dyDescent="0.25">
      <c r="A115" s="301"/>
      <c r="B115" s="302">
        <v>42152</v>
      </c>
      <c r="C115" s="303">
        <v>200</v>
      </c>
      <c r="D115" s="304">
        <v>5.26</v>
      </c>
      <c r="E115" s="304"/>
      <c r="F115" s="304">
        <f t="shared" si="5"/>
        <v>1052</v>
      </c>
      <c r="G115" s="302">
        <v>42222</v>
      </c>
      <c r="H115" s="303">
        <v>5000</v>
      </c>
      <c r="I115" s="304">
        <v>5.12</v>
      </c>
      <c r="J115" s="304">
        <v>0.47</v>
      </c>
      <c r="K115" s="304">
        <f t="shared" si="6"/>
        <v>25599.53</v>
      </c>
      <c r="L115" s="305"/>
      <c r="M115" s="304"/>
      <c r="N115" s="303"/>
      <c r="O115" s="303"/>
    </row>
    <row r="116" spans="1:16" ht="18" customHeight="1" x14ac:dyDescent="0.25">
      <c r="A116" s="301"/>
      <c r="B116" s="302">
        <v>42152</v>
      </c>
      <c r="C116" s="303">
        <v>200</v>
      </c>
      <c r="D116" s="304">
        <v>5.22</v>
      </c>
      <c r="E116" s="304"/>
      <c r="F116" s="304">
        <f t="shared" si="5"/>
        <v>1044</v>
      </c>
      <c r="G116" s="302">
        <v>42222</v>
      </c>
      <c r="H116" s="303">
        <v>1000</v>
      </c>
      <c r="I116" s="304">
        <v>5.1100000000000003</v>
      </c>
      <c r="J116" s="304">
        <v>0.09</v>
      </c>
      <c r="K116" s="304">
        <f t="shared" si="6"/>
        <v>5109.91</v>
      </c>
      <c r="L116" s="305"/>
      <c r="M116" s="304"/>
      <c r="N116" s="303"/>
      <c r="O116" s="303"/>
    </row>
    <row r="117" spans="1:16" ht="18" customHeight="1" x14ac:dyDescent="0.25">
      <c r="A117" s="301"/>
      <c r="B117" s="302">
        <v>42152</v>
      </c>
      <c r="C117" s="303">
        <v>1000</v>
      </c>
      <c r="D117" s="304">
        <v>5.19</v>
      </c>
      <c r="E117" s="304"/>
      <c r="F117" s="304">
        <f t="shared" si="5"/>
        <v>5190</v>
      </c>
      <c r="G117" s="302">
        <v>42223</v>
      </c>
      <c r="H117" s="303">
        <v>1950</v>
      </c>
      <c r="I117" s="304">
        <v>5.2</v>
      </c>
      <c r="J117" s="304">
        <v>0.19</v>
      </c>
      <c r="K117" s="304">
        <f t="shared" si="6"/>
        <v>10139.81</v>
      </c>
      <c r="L117" s="305"/>
      <c r="M117" s="304"/>
      <c r="N117" s="303"/>
      <c r="O117" s="303"/>
    </row>
    <row r="118" spans="1:16" ht="18" customHeight="1" x14ac:dyDescent="0.25">
      <c r="A118" s="301"/>
      <c r="B118" s="302">
        <v>42152</v>
      </c>
      <c r="C118" s="303">
        <v>2000</v>
      </c>
      <c r="D118" s="304">
        <v>5.17</v>
      </c>
      <c r="E118" s="304"/>
      <c r="F118" s="304">
        <f t="shared" si="5"/>
        <v>10340</v>
      </c>
      <c r="G118" s="302">
        <v>42229</v>
      </c>
      <c r="H118" s="303">
        <v>50</v>
      </c>
      <c r="I118" s="304">
        <v>5.28</v>
      </c>
      <c r="J118" s="304">
        <v>0.01</v>
      </c>
      <c r="K118" s="304">
        <f t="shared" si="6"/>
        <v>263.99</v>
      </c>
      <c r="L118" s="305"/>
      <c r="M118" s="304"/>
      <c r="N118" s="303"/>
      <c r="O118" s="303"/>
    </row>
    <row r="119" spans="1:16" ht="18" customHeight="1" x14ac:dyDescent="0.25">
      <c r="A119" s="301"/>
      <c r="B119" s="302">
        <v>42152</v>
      </c>
      <c r="C119" s="303">
        <v>2000</v>
      </c>
      <c r="D119" s="304">
        <v>5.15</v>
      </c>
      <c r="E119" s="304"/>
      <c r="F119" s="304">
        <f t="shared" si="5"/>
        <v>10300</v>
      </c>
      <c r="G119" s="305"/>
      <c r="H119" s="303"/>
      <c r="I119" s="304"/>
      <c r="J119" s="304"/>
      <c r="K119" s="304"/>
      <c r="L119" s="305"/>
      <c r="M119" s="304"/>
      <c r="N119" s="303"/>
      <c r="O119" s="303"/>
    </row>
    <row r="120" spans="1:16" ht="18" customHeight="1" x14ac:dyDescent="0.25">
      <c r="A120" s="301"/>
      <c r="B120" s="302">
        <v>42158</v>
      </c>
      <c r="C120" s="303">
        <v>500</v>
      </c>
      <c r="D120" s="304">
        <v>5.09</v>
      </c>
      <c r="E120" s="304"/>
      <c r="F120" s="304">
        <f t="shared" si="5"/>
        <v>2545</v>
      </c>
      <c r="G120" s="305"/>
      <c r="H120" s="303"/>
      <c r="I120" s="304"/>
      <c r="J120" s="304"/>
      <c r="K120" s="304"/>
      <c r="L120" s="305"/>
      <c r="M120" s="304"/>
      <c r="N120" s="303"/>
      <c r="O120" s="303"/>
    </row>
    <row r="121" spans="1:16" ht="18" customHeight="1" x14ac:dyDescent="0.25">
      <c r="A121" s="301"/>
      <c r="B121" s="302">
        <v>42158</v>
      </c>
      <c r="C121" s="303">
        <v>1000</v>
      </c>
      <c r="D121" s="304">
        <v>5.04</v>
      </c>
      <c r="E121" s="305"/>
      <c r="F121" s="304">
        <f t="shared" si="5"/>
        <v>5040</v>
      </c>
      <c r="G121" s="305"/>
      <c r="H121" s="303"/>
      <c r="I121" s="304"/>
      <c r="J121" s="304"/>
      <c r="K121" s="304"/>
      <c r="L121" s="305"/>
      <c r="M121" s="304"/>
      <c r="N121" s="303"/>
      <c r="O121" s="303"/>
    </row>
    <row r="122" spans="1:16" ht="18" customHeight="1" x14ac:dyDescent="0.25">
      <c r="A122" s="301"/>
      <c r="B122" s="302">
        <v>42158</v>
      </c>
      <c r="C122" s="303">
        <v>200</v>
      </c>
      <c r="D122" s="304">
        <v>5.05</v>
      </c>
      <c r="E122" s="304"/>
      <c r="F122" s="304">
        <f t="shared" si="5"/>
        <v>1010</v>
      </c>
      <c r="G122" s="305"/>
      <c r="H122" s="303"/>
      <c r="I122" s="304"/>
      <c r="J122" s="304"/>
      <c r="K122" s="304"/>
      <c r="L122" s="305"/>
      <c r="M122" s="304"/>
      <c r="N122" s="303"/>
      <c r="O122" s="303"/>
    </row>
    <row r="123" spans="1:16" ht="18" customHeight="1" x14ac:dyDescent="0.25">
      <c r="A123" s="301"/>
      <c r="B123" s="302">
        <v>42164</v>
      </c>
      <c r="C123" s="303">
        <v>500</v>
      </c>
      <c r="D123" s="304">
        <v>5.07</v>
      </c>
      <c r="E123" s="304"/>
      <c r="F123" s="304">
        <f t="shared" si="5"/>
        <v>2535</v>
      </c>
      <c r="G123" s="305"/>
      <c r="H123" s="303"/>
      <c r="I123" s="304"/>
      <c r="J123" s="304"/>
      <c r="K123" s="304"/>
      <c r="L123" s="305"/>
      <c r="M123" s="304"/>
      <c r="N123" s="303"/>
      <c r="O123" s="303"/>
    </row>
    <row r="124" spans="1:16" ht="18" customHeight="1" x14ac:dyDescent="0.25">
      <c r="A124" s="301"/>
      <c r="B124" s="302">
        <v>42164</v>
      </c>
      <c r="C124" s="303">
        <v>1000</v>
      </c>
      <c r="D124" s="304">
        <v>5.04</v>
      </c>
      <c r="E124" s="304"/>
      <c r="F124" s="304">
        <f t="shared" si="5"/>
        <v>5040</v>
      </c>
      <c r="G124" s="305"/>
      <c r="H124" s="303"/>
      <c r="I124" s="304"/>
      <c r="J124" s="304"/>
      <c r="K124" s="304"/>
      <c r="L124" s="305"/>
      <c r="M124" s="304"/>
      <c r="N124" s="303"/>
      <c r="O124" s="303"/>
    </row>
    <row r="125" spans="1:16" ht="18" customHeight="1" x14ac:dyDescent="0.25">
      <c r="A125" s="301"/>
      <c r="B125" s="302">
        <v>42164</v>
      </c>
      <c r="C125" s="303">
        <v>1000</v>
      </c>
      <c r="D125" s="304">
        <v>5.01</v>
      </c>
      <c r="E125" s="304"/>
      <c r="F125" s="304">
        <f t="shared" si="5"/>
        <v>5010</v>
      </c>
      <c r="G125" s="305"/>
      <c r="H125" s="303"/>
      <c r="I125" s="304"/>
      <c r="J125" s="304"/>
      <c r="K125" s="304"/>
      <c r="L125" s="305"/>
      <c r="M125" s="304"/>
      <c r="N125" s="303"/>
      <c r="O125" s="303"/>
    </row>
    <row r="126" spans="1:16" ht="18" customHeight="1" x14ac:dyDescent="0.25">
      <c r="A126" s="301"/>
      <c r="B126" s="302">
        <v>42173</v>
      </c>
      <c r="C126" s="303">
        <v>500</v>
      </c>
      <c r="D126" s="304">
        <v>4.88</v>
      </c>
      <c r="E126" s="304"/>
      <c r="F126" s="304">
        <f t="shared" si="5"/>
        <v>2440</v>
      </c>
      <c r="G126" s="305"/>
      <c r="H126" s="303"/>
      <c r="I126" s="304"/>
      <c r="J126" s="304"/>
      <c r="K126" s="304"/>
      <c r="L126" s="305"/>
      <c r="M126" s="304"/>
      <c r="N126" s="303"/>
      <c r="O126" s="303"/>
    </row>
    <row r="127" spans="1:16" ht="18" customHeight="1" x14ac:dyDescent="0.25">
      <c r="A127" s="301"/>
      <c r="B127" s="302">
        <v>42187</v>
      </c>
      <c r="C127" s="303">
        <v>2000</v>
      </c>
      <c r="D127" s="304">
        <v>4.9800000000000004</v>
      </c>
      <c r="E127" s="304"/>
      <c r="F127" s="304">
        <f t="shared" si="5"/>
        <v>9960</v>
      </c>
      <c r="G127" s="305"/>
      <c r="H127" s="303"/>
      <c r="I127" s="304"/>
      <c r="J127" s="304"/>
      <c r="K127" s="304"/>
      <c r="L127" s="305"/>
      <c r="M127" s="304"/>
      <c r="N127" s="303"/>
      <c r="O127" s="303"/>
    </row>
    <row r="128" spans="1:16" ht="18" customHeight="1" x14ac:dyDescent="0.25">
      <c r="A128" s="301"/>
      <c r="B128" s="302">
        <v>42187</v>
      </c>
      <c r="C128" s="303">
        <v>100</v>
      </c>
      <c r="D128" s="304">
        <v>4.9800000000000004</v>
      </c>
      <c r="E128" s="304"/>
      <c r="F128" s="304">
        <f t="shared" si="5"/>
        <v>498.00000000000006</v>
      </c>
      <c r="G128" s="305"/>
      <c r="H128" s="303"/>
      <c r="I128" s="304"/>
      <c r="J128" s="304"/>
      <c r="K128" s="304"/>
      <c r="L128" s="305"/>
      <c r="M128" s="304"/>
      <c r="N128" s="303"/>
      <c r="O128" s="303"/>
      <c r="P128" s="143" t="s">
        <v>136</v>
      </c>
    </row>
    <row r="129" spans="1:16" ht="18" customHeight="1" x14ac:dyDescent="0.25">
      <c r="A129" s="301"/>
      <c r="B129" s="302">
        <v>42187</v>
      </c>
      <c r="C129" s="303">
        <v>100</v>
      </c>
      <c r="D129" s="304">
        <v>4.9800000000000004</v>
      </c>
      <c r="E129" s="304"/>
      <c r="F129" s="304">
        <f t="shared" si="5"/>
        <v>498.00000000000006</v>
      </c>
      <c r="G129" s="305"/>
      <c r="H129" s="303"/>
      <c r="I129" s="304"/>
      <c r="J129" s="304"/>
      <c r="K129" s="304"/>
      <c r="L129" s="305"/>
      <c r="M129" s="304"/>
      <c r="N129" s="303"/>
      <c r="O129" s="303"/>
    </row>
    <row r="130" spans="1:16" ht="18" customHeight="1" x14ac:dyDescent="0.25">
      <c r="A130" s="301"/>
      <c r="B130" s="302">
        <v>42187</v>
      </c>
      <c r="C130" s="303">
        <v>2000</v>
      </c>
      <c r="D130" s="304">
        <v>4.97</v>
      </c>
      <c r="E130" s="304"/>
      <c r="F130" s="304">
        <f t="shared" si="5"/>
        <v>9940</v>
      </c>
      <c r="G130" s="305"/>
      <c r="H130" s="303"/>
      <c r="I130" s="304"/>
      <c r="J130" s="304"/>
      <c r="K130" s="304"/>
      <c r="L130" s="305"/>
      <c r="M130" s="304"/>
      <c r="N130" s="303"/>
      <c r="O130" s="303"/>
    </row>
    <row r="131" spans="1:16" ht="18" customHeight="1" x14ac:dyDescent="0.25">
      <c r="A131" s="301"/>
      <c r="B131" s="302">
        <v>42199</v>
      </c>
      <c r="C131" s="303">
        <v>500</v>
      </c>
      <c r="D131" s="304">
        <v>4.8</v>
      </c>
      <c r="E131" s="304"/>
      <c r="F131" s="304">
        <f t="shared" si="5"/>
        <v>2400</v>
      </c>
      <c r="G131" s="305"/>
      <c r="H131" s="303"/>
      <c r="I131" s="304"/>
      <c r="J131" s="304"/>
      <c r="K131" s="304"/>
      <c r="L131" s="305"/>
      <c r="M131" s="304"/>
      <c r="N131" s="303"/>
      <c r="O131" s="303"/>
      <c r="P131" s="143" t="s">
        <v>136</v>
      </c>
    </row>
    <row r="132" spans="1:16" ht="18" customHeight="1" x14ac:dyDescent="0.25">
      <c r="A132" s="301"/>
      <c r="B132" s="302">
        <v>42212</v>
      </c>
      <c r="C132" s="303">
        <v>300</v>
      </c>
      <c r="D132" s="304">
        <v>4.76</v>
      </c>
      <c r="E132" s="304"/>
      <c r="F132" s="304">
        <f t="shared" si="5"/>
        <v>1428</v>
      </c>
      <c r="G132" s="305"/>
      <c r="H132" s="303"/>
      <c r="I132" s="304"/>
      <c r="J132" s="304"/>
      <c r="K132" s="304"/>
      <c r="L132" s="305"/>
      <c r="M132" s="304"/>
      <c r="N132" s="303"/>
      <c r="O132" s="303"/>
    </row>
    <row r="133" spans="1:16" ht="18" customHeight="1" x14ac:dyDescent="0.25">
      <c r="A133" s="301"/>
      <c r="B133" s="302">
        <v>42212</v>
      </c>
      <c r="C133" s="303">
        <v>1700</v>
      </c>
      <c r="D133" s="304">
        <v>4.76</v>
      </c>
      <c r="E133" s="304"/>
      <c r="F133" s="304">
        <f t="shared" si="5"/>
        <v>8092</v>
      </c>
      <c r="G133" s="305"/>
      <c r="H133" s="303"/>
      <c r="I133" s="304"/>
      <c r="J133" s="304"/>
      <c r="K133" s="304"/>
      <c r="L133" s="305"/>
      <c r="M133" s="304"/>
      <c r="N133" s="303"/>
      <c r="O133" s="303"/>
    </row>
    <row r="134" spans="1:16" ht="18" customHeight="1" x14ac:dyDescent="0.25">
      <c r="A134" s="301"/>
      <c r="B134" s="302">
        <v>42214</v>
      </c>
      <c r="C134" s="303">
        <v>500</v>
      </c>
      <c r="D134" s="304">
        <v>4.68</v>
      </c>
      <c r="E134" s="304"/>
      <c r="F134" s="304">
        <f t="shared" si="5"/>
        <v>2340</v>
      </c>
      <c r="G134" s="305"/>
      <c r="H134" s="303"/>
      <c r="I134" s="304"/>
      <c r="J134" s="304"/>
      <c r="K134" s="304"/>
      <c r="L134" s="305"/>
      <c r="M134" s="304"/>
      <c r="N134" s="303"/>
      <c r="O134" s="303"/>
    </row>
    <row r="135" spans="1:16" ht="18" customHeight="1" x14ac:dyDescent="0.25">
      <c r="A135" s="301"/>
      <c r="B135" s="302">
        <v>42214</v>
      </c>
      <c r="C135" s="303">
        <v>50</v>
      </c>
      <c r="D135" s="304">
        <v>4.6500000000000004</v>
      </c>
      <c r="E135" s="304"/>
      <c r="F135" s="304">
        <f t="shared" si="5"/>
        <v>232.50000000000003</v>
      </c>
      <c r="G135" s="305"/>
      <c r="H135" s="303"/>
      <c r="I135" s="304"/>
      <c r="J135" s="304"/>
      <c r="K135" s="304"/>
      <c r="L135" s="305"/>
      <c r="M135" s="304"/>
      <c r="N135" s="303"/>
      <c r="O135" s="303"/>
      <c r="P135" s="143" t="s">
        <v>136</v>
      </c>
    </row>
    <row r="136" spans="1:16" ht="18" customHeight="1" x14ac:dyDescent="0.25">
      <c r="A136" s="301"/>
      <c r="B136" s="302">
        <v>42214</v>
      </c>
      <c r="C136" s="303">
        <v>200</v>
      </c>
      <c r="D136" s="304">
        <v>4.63</v>
      </c>
      <c r="E136" s="304"/>
      <c r="F136" s="304">
        <f t="shared" si="5"/>
        <v>926</v>
      </c>
      <c r="G136" s="305"/>
      <c r="H136" s="303"/>
      <c r="I136" s="304"/>
      <c r="J136" s="304"/>
      <c r="K136" s="304"/>
      <c r="L136" s="305"/>
      <c r="M136" s="304"/>
      <c r="N136" s="303"/>
      <c r="O136" s="303"/>
    </row>
    <row r="137" spans="1:16" ht="18" customHeight="1" x14ac:dyDescent="0.25">
      <c r="A137" s="301"/>
      <c r="B137" s="302">
        <v>42214</v>
      </c>
      <c r="C137" s="303">
        <v>300</v>
      </c>
      <c r="D137" s="304">
        <v>4.59</v>
      </c>
      <c r="E137" s="304"/>
      <c r="F137" s="304">
        <f t="shared" si="5"/>
        <v>1377</v>
      </c>
      <c r="G137" s="305"/>
      <c r="H137" s="303"/>
      <c r="I137" s="304"/>
      <c r="J137" s="304"/>
      <c r="K137" s="304"/>
      <c r="L137" s="305"/>
      <c r="M137" s="304"/>
      <c r="N137" s="303"/>
      <c r="O137" s="303"/>
    </row>
    <row r="138" spans="1:16" ht="18" customHeight="1" x14ac:dyDescent="0.25">
      <c r="A138" s="301"/>
      <c r="B138" s="302">
        <v>42214</v>
      </c>
      <c r="C138" s="303">
        <v>500</v>
      </c>
      <c r="D138" s="304">
        <v>4.54</v>
      </c>
      <c r="E138" s="304"/>
      <c r="F138" s="304">
        <f t="shared" si="5"/>
        <v>2270</v>
      </c>
      <c r="G138" s="305"/>
      <c r="H138" s="303"/>
      <c r="I138" s="304"/>
      <c r="J138" s="304"/>
      <c r="K138" s="304"/>
      <c r="L138" s="305"/>
      <c r="M138" s="304"/>
      <c r="N138" s="303"/>
      <c r="O138" s="303"/>
    </row>
    <row r="139" spans="1:16" ht="18" customHeight="1" x14ac:dyDescent="0.25">
      <c r="A139" s="301"/>
      <c r="B139" s="310"/>
      <c r="C139" s="308">
        <f>SUM(C109:C138)</f>
        <v>19200</v>
      </c>
      <c r="D139" s="309"/>
      <c r="E139" s="309"/>
      <c r="F139" s="309">
        <f>SUM(F109:F138)</f>
        <v>96087.5</v>
      </c>
      <c r="G139" s="310"/>
      <c r="H139" s="308">
        <f>SUM(H109:H138)</f>
        <v>19200</v>
      </c>
      <c r="I139" s="309"/>
      <c r="J139" s="309"/>
      <c r="K139" s="309">
        <f>SUM(K109:K138)</f>
        <v>98256.200000000012</v>
      </c>
      <c r="L139" s="310"/>
      <c r="M139" s="309">
        <f>SUM(M109:M138)</f>
        <v>656.25</v>
      </c>
      <c r="N139" s="309">
        <f>K139-F139</f>
        <v>2168.7000000000116</v>
      </c>
      <c r="O139" s="311">
        <f>(N139+M139)/F139</f>
        <v>2.9399765838428637E-2</v>
      </c>
    </row>
    <row r="140" spans="1:16" ht="18" customHeight="1" x14ac:dyDescent="0.25">
      <c r="B140" s="316"/>
      <c r="C140" s="317"/>
      <c r="D140" s="318"/>
      <c r="E140" s="25"/>
      <c r="F140" s="318"/>
      <c r="G140" s="316"/>
      <c r="H140" s="317"/>
      <c r="I140" s="318"/>
      <c r="K140" s="318"/>
      <c r="L140" s="316"/>
      <c r="M140" s="318"/>
      <c r="N140" s="318"/>
      <c r="O140" s="319"/>
    </row>
    <row r="141" spans="1:16" ht="18" customHeight="1" x14ac:dyDescent="0.25">
      <c r="A141" s="301" t="s">
        <v>25</v>
      </c>
      <c r="B141" s="302">
        <v>42163</v>
      </c>
      <c r="C141" s="303">
        <v>1</v>
      </c>
      <c r="D141" s="304">
        <v>117.3</v>
      </c>
      <c r="E141" s="305"/>
      <c r="F141" s="304">
        <f>C141*D141</f>
        <v>117.3</v>
      </c>
      <c r="G141" s="302">
        <v>42186</v>
      </c>
      <c r="H141" s="303">
        <v>1</v>
      </c>
      <c r="I141" s="304">
        <v>121.6</v>
      </c>
      <c r="J141" s="303">
        <v>0.01</v>
      </c>
      <c r="K141" s="304">
        <f>H141*I141-J141</f>
        <v>121.58999999999999</v>
      </c>
      <c r="L141" s="305"/>
      <c r="M141" s="304"/>
      <c r="N141" s="304"/>
      <c r="O141" s="306"/>
    </row>
    <row r="142" spans="1:16" ht="18" customHeight="1" x14ac:dyDescent="0.25">
      <c r="A142" s="301"/>
      <c r="B142" s="307"/>
      <c r="C142" s="308">
        <f>SUM(C141)</f>
        <v>1</v>
      </c>
      <c r="D142" s="309"/>
      <c r="E142" s="310"/>
      <c r="F142" s="309">
        <f>SUM(F141)</f>
        <v>117.3</v>
      </c>
      <c r="G142" s="310"/>
      <c r="H142" s="308">
        <f>SUM(H141)</f>
        <v>1</v>
      </c>
      <c r="I142" s="309"/>
      <c r="J142" s="308"/>
      <c r="K142" s="309">
        <f>SUM(K141)</f>
        <v>121.58999999999999</v>
      </c>
      <c r="L142" s="310"/>
      <c r="M142" s="309"/>
      <c r="N142" s="309">
        <f>K142-F142</f>
        <v>4.289999999999992</v>
      </c>
      <c r="O142" s="311">
        <f>(N142+M142)/F142</f>
        <v>3.6572890025575379E-2</v>
      </c>
      <c r="P142" s="143" t="s">
        <v>136</v>
      </c>
    </row>
    <row r="143" spans="1:16" ht="18" customHeight="1" x14ac:dyDescent="0.25">
      <c r="B143" s="316"/>
      <c r="C143" s="317"/>
      <c r="D143" s="318"/>
      <c r="E143" s="318"/>
      <c r="F143" s="318"/>
      <c r="G143" s="316"/>
      <c r="H143" s="317"/>
      <c r="I143" s="318"/>
      <c r="J143" s="318"/>
      <c r="K143" s="318"/>
      <c r="L143" s="316"/>
      <c r="M143" s="318"/>
      <c r="N143" s="318"/>
      <c r="O143" s="319"/>
    </row>
    <row r="144" spans="1:16" ht="18" customHeight="1" x14ac:dyDescent="0.25">
      <c r="A144" s="301" t="s">
        <v>36</v>
      </c>
      <c r="B144" s="302">
        <v>42167</v>
      </c>
      <c r="C144" s="303">
        <v>25</v>
      </c>
      <c r="D144" s="304">
        <v>34.15</v>
      </c>
      <c r="E144" s="304"/>
      <c r="F144" s="304">
        <f>C144*D144</f>
        <v>853.75</v>
      </c>
      <c r="G144" s="302">
        <v>42186</v>
      </c>
      <c r="H144" s="303">
        <v>35</v>
      </c>
      <c r="I144" s="304">
        <v>34.799999999999997</v>
      </c>
      <c r="J144" s="304">
        <v>0.02</v>
      </c>
      <c r="K144" s="304">
        <f>H144*I144-J144</f>
        <v>1217.98</v>
      </c>
      <c r="L144" s="305"/>
      <c r="M144" s="304"/>
      <c r="N144" s="304"/>
      <c r="O144" s="306"/>
    </row>
    <row r="145" spans="1:18" ht="18" customHeight="1" x14ac:dyDescent="0.25">
      <c r="A145" s="301"/>
      <c r="B145" s="302">
        <v>42178</v>
      </c>
      <c r="C145" s="303">
        <v>10</v>
      </c>
      <c r="D145" s="304">
        <v>33.119999999999997</v>
      </c>
      <c r="E145" s="304"/>
      <c r="F145" s="304">
        <f>C145*D145</f>
        <v>331.2</v>
      </c>
      <c r="G145" s="305"/>
      <c r="H145" s="303"/>
      <c r="I145" s="304"/>
      <c r="J145" s="304"/>
      <c r="K145" s="304"/>
      <c r="L145" s="305"/>
      <c r="M145" s="304"/>
      <c r="N145" s="304"/>
      <c r="O145" s="306"/>
    </row>
    <row r="146" spans="1:18" ht="18" customHeight="1" x14ac:dyDescent="0.25">
      <c r="A146" s="301"/>
      <c r="B146" s="307"/>
      <c r="C146" s="308">
        <f>SUM(C144:C145)</f>
        <v>35</v>
      </c>
      <c r="D146" s="309"/>
      <c r="E146" s="309"/>
      <c r="F146" s="309">
        <f>SUM(F144:F145)</f>
        <v>1184.95</v>
      </c>
      <c r="G146" s="310"/>
      <c r="H146" s="308">
        <f>SUM(H144:H145)</f>
        <v>35</v>
      </c>
      <c r="I146" s="309"/>
      <c r="J146" s="309"/>
      <c r="K146" s="309">
        <f>SUM(K144:K145)</f>
        <v>1217.98</v>
      </c>
      <c r="L146" s="310"/>
      <c r="M146" s="309"/>
      <c r="N146" s="309">
        <f>K146-F146</f>
        <v>33.029999999999973</v>
      </c>
      <c r="O146" s="311">
        <f>(N146+M146)/F146</f>
        <v>2.7874593864720007E-2</v>
      </c>
    </row>
    <row r="147" spans="1:18" ht="18" customHeight="1" x14ac:dyDescent="0.25">
      <c r="B147" s="316"/>
      <c r="C147" s="317"/>
      <c r="D147" s="318"/>
      <c r="E147" s="25"/>
      <c r="F147" s="318"/>
      <c r="G147" s="316"/>
      <c r="H147" s="317"/>
      <c r="I147" s="318"/>
      <c r="K147" s="318"/>
      <c r="L147" s="316"/>
      <c r="M147" s="318"/>
      <c r="N147" s="318"/>
      <c r="O147" s="319"/>
    </row>
    <row r="148" spans="1:18" ht="18" customHeight="1" x14ac:dyDescent="0.25">
      <c r="A148" s="301" t="s">
        <v>14</v>
      </c>
      <c r="B148" s="302">
        <v>42152</v>
      </c>
      <c r="C148" s="303">
        <v>2</v>
      </c>
      <c r="D148" s="304">
        <v>51.22</v>
      </c>
      <c r="E148" s="305"/>
      <c r="F148" s="304">
        <f>C148*D148</f>
        <v>102.44</v>
      </c>
      <c r="G148" s="302">
        <v>42187</v>
      </c>
      <c r="H148" s="303">
        <v>150</v>
      </c>
      <c r="I148" s="304">
        <v>48.92</v>
      </c>
      <c r="J148" s="303">
        <v>0.12</v>
      </c>
      <c r="K148" s="304">
        <f>H148*I148-J148</f>
        <v>7337.88</v>
      </c>
      <c r="L148" s="302">
        <v>42195</v>
      </c>
      <c r="M148" s="304">
        <v>52</v>
      </c>
      <c r="N148" s="304"/>
      <c r="O148" s="306"/>
    </row>
    <row r="149" spans="1:18" ht="18" customHeight="1" x14ac:dyDescent="0.25">
      <c r="A149" s="301"/>
      <c r="B149" s="302">
        <v>42164</v>
      </c>
      <c r="C149" s="303">
        <v>48</v>
      </c>
      <c r="D149" s="304">
        <v>49.9</v>
      </c>
      <c r="E149" s="305"/>
      <c r="F149" s="304">
        <f>C149*D149</f>
        <v>2395.1999999999998</v>
      </c>
      <c r="G149" s="305"/>
      <c r="H149" s="303"/>
      <c r="I149" s="304"/>
      <c r="J149" s="303"/>
      <c r="K149" s="304"/>
      <c r="L149" s="305"/>
      <c r="M149" s="304"/>
      <c r="N149" s="304"/>
      <c r="O149" s="306"/>
      <c r="P149" s="143" t="s">
        <v>136</v>
      </c>
    </row>
    <row r="150" spans="1:18" ht="18" customHeight="1" x14ac:dyDescent="0.25">
      <c r="A150" s="301"/>
      <c r="B150" s="302">
        <v>42165</v>
      </c>
      <c r="C150" s="303">
        <v>50</v>
      </c>
      <c r="D150" s="304">
        <v>48.6</v>
      </c>
      <c r="E150" s="305"/>
      <c r="F150" s="304">
        <f>C150*D150</f>
        <v>2430</v>
      </c>
      <c r="G150" s="305"/>
      <c r="H150" s="303"/>
      <c r="I150" s="304"/>
      <c r="J150" s="303"/>
      <c r="K150" s="304"/>
      <c r="L150" s="305"/>
      <c r="M150" s="304"/>
      <c r="N150" s="304"/>
      <c r="O150" s="306"/>
    </row>
    <row r="151" spans="1:18" ht="18" customHeight="1" x14ac:dyDescent="0.25">
      <c r="A151" s="301"/>
      <c r="B151" s="302">
        <v>42173</v>
      </c>
      <c r="C151" s="303">
        <v>25</v>
      </c>
      <c r="D151" s="304">
        <v>47.62</v>
      </c>
      <c r="E151" s="305"/>
      <c r="F151" s="304">
        <f>C151*D151</f>
        <v>1190.5</v>
      </c>
      <c r="G151" s="305"/>
      <c r="H151" s="303"/>
      <c r="I151" s="304"/>
      <c r="J151" s="303"/>
      <c r="K151" s="304"/>
      <c r="L151" s="305"/>
      <c r="M151" s="304"/>
      <c r="N151" s="304"/>
      <c r="O151" s="306"/>
      <c r="P151"/>
      <c r="Q151"/>
    </row>
    <row r="152" spans="1:18" ht="18" customHeight="1" x14ac:dyDescent="0.25">
      <c r="A152" s="301"/>
      <c r="B152" s="302">
        <v>42173</v>
      </c>
      <c r="C152" s="303">
        <v>25</v>
      </c>
      <c r="D152" s="304">
        <v>47.54</v>
      </c>
      <c r="E152" s="305"/>
      <c r="F152" s="304">
        <f>C152*D152</f>
        <v>1188.5</v>
      </c>
      <c r="G152" s="305"/>
      <c r="H152" s="303"/>
      <c r="I152" s="304"/>
      <c r="J152" s="303"/>
      <c r="K152" s="304"/>
      <c r="L152" s="305"/>
      <c r="M152" s="304"/>
      <c r="N152" s="304"/>
      <c r="O152" s="306"/>
      <c r="P152"/>
      <c r="Q152"/>
    </row>
    <row r="153" spans="1:18" ht="18" customHeight="1" x14ac:dyDescent="0.25">
      <c r="A153" s="301"/>
      <c r="B153" s="307"/>
      <c r="C153" s="308">
        <f>SUM(C148:C152)</f>
        <v>150</v>
      </c>
      <c r="D153" s="309"/>
      <c r="E153" s="310"/>
      <c r="F153" s="309">
        <f t="shared" ref="F153:M153" si="7">SUM(F148:F152)</f>
        <v>7306.6399999999994</v>
      </c>
      <c r="G153" s="310"/>
      <c r="H153" s="308">
        <f t="shared" si="7"/>
        <v>150</v>
      </c>
      <c r="I153" s="309"/>
      <c r="J153" s="308"/>
      <c r="K153" s="309">
        <f t="shared" si="7"/>
        <v>7337.88</v>
      </c>
      <c r="L153" s="310"/>
      <c r="M153" s="309">
        <f t="shared" si="7"/>
        <v>52</v>
      </c>
      <c r="N153" s="309">
        <f>K153-F153</f>
        <v>31.240000000000691</v>
      </c>
      <c r="O153" s="311">
        <f>(N153+M153)/F153</f>
        <v>1.1392377344442959E-2</v>
      </c>
      <c r="P153"/>
      <c r="Q153"/>
    </row>
    <row r="154" spans="1:18" ht="18" customHeight="1" x14ac:dyDescent="0.25">
      <c r="B154" s="329"/>
      <c r="C154" s="317"/>
      <c r="D154" s="318"/>
      <c r="E154" s="317"/>
      <c r="F154" s="318"/>
      <c r="G154" s="332"/>
      <c r="H154" s="317"/>
      <c r="I154" s="318"/>
      <c r="J154" s="317"/>
      <c r="K154" s="318"/>
      <c r="L154" s="316"/>
      <c r="M154" s="318"/>
      <c r="N154" s="317"/>
      <c r="O154" s="317"/>
      <c r="P154"/>
      <c r="Q154" s="3"/>
      <c r="R154"/>
    </row>
    <row r="155" spans="1:18" ht="18" customHeight="1" x14ac:dyDescent="0.25">
      <c r="A155" s="301" t="s">
        <v>26</v>
      </c>
      <c r="B155" s="302">
        <v>42163</v>
      </c>
      <c r="C155" s="303">
        <v>50</v>
      </c>
      <c r="D155" s="304">
        <v>5.9</v>
      </c>
      <c r="E155" s="303">
        <v>0</v>
      </c>
      <c r="F155" s="304">
        <v>295</v>
      </c>
      <c r="G155" s="331">
        <v>42187</v>
      </c>
      <c r="H155" s="303">
        <v>200</v>
      </c>
      <c r="I155" s="304">
        <v>6.45</v>
      </c>
      <c r="J155" s="303">
        <v>0.02</v>
      </c>
      <c r="K155" s="304">
        <v>1289.98</v>
      </c>
      <c r="L155" s="305"/>
      <c r="M155" s="304"/>
      <c r="N155" s="303"/>
      <c r="O155" s="303"/>
      <c r="P155"/>
      <c r="Q155" s="138"/>
      <c r="R155"/>
    </row>
    <row r="156" spans="1:18" ht="18" customHeight="1" x14ac:dyDescent="0.25">
      <c r="A156" s="301"/>
      <c r="B156" s="302">
        <v>42163</v>
      </c>
      <c r="C156" s="303">
        <v>100</v>
      </c>
      <c r="D156" s="304">
        <v>6.2</v>
      </c>
      <c r="E156" s="303">
        <v>0</v>
      </c>
      <c r="F156" s="304">
        <v>620</v>
      </c>
      <c r="G156" s="331">
        <v>42261</v>
      </c>
      <c r="H156" s="303">
        <v>450</v>
      </c>
      <c r="I156" s="304">
        <v>6.23</v>
      </c>
      <c r="J156" s="303">
        <v>0.05</v>
      </c>
      <c r="K156" s="304">
        <v>2803.45</v>
      </c>
      <c r="L156" s="305"/>
      <c r="M156" s="304"/>
      <c r="N156" s="303"/>
      <c r="O156" s="303"/>
    </row>
    <row r="157" spans="1:18" ht="18" customHeight="1" x14ac:dyDescent="0.25">
      <c r="A157" s="301"/>
      <c r="B157" s="302">
        <v>42187</v>
      </c>
      <c r="C157" s="303">
        <v>200</v>
      </c>
      <c r="D157" s="304">
        <v>6.3</v>
      </c>
      <c r="E157" s="303">
        <v>0</v>
      </c>
      <c r="F157" s="304">
        <v>1260</v>
      </c>
      <c r="G157" s="331"/>
      <c r="H157" s="303"/>
      <c r="I157" s="304"/>
      <c r="J157" s="303"/>
      <c r="K157" s="304"/>
      <c r="L157" s="305"/>
      <c r="M157" s="304"/>
      <c r="N157" s="303"/>
      <c r="O157" s="303"/>
    </row>
    <row r="158" spans="1:18" ht="18" customHeight="1" x14ac:dyDescent="0.25">
      <c r="A158" s="301"/>
      <c r="B158" s="302">
        <v>42194</v>
      </c>
      <c r="C158" s="303">
        <v>150</v>
      </c>
      <c r="D158" s="304">
        <v>6.1</v>
      </c>
      <c r="E158" s="303">
        <v>0</v>
      </c>
      <c r="F158" s="304">
        <v>915</v>
      </c>
      <c r="G158" s="331"/>
      <c r="H158" s="303"/>
      <c r="I158" s="304"/>
      <c r="J158" s="303"/>
      <c r="K158" s="304"/>
      <c r="L158" s="305"/>
      <c r="M158" s="304"/>
      <c r="N158" s="303"/>
      <c r="O158" s="303"/>
    </row>
    <row r="159" spans="1:18" ht="18" customHeight="1" x14ac:dyDescent="0.25">
      <c r="A159" s="301"/>
      <c r="B159" s="302">
        <v>42240</v>
      </c>
      <c r="C159" s="303">
        <v>150</v>
      </c>
      <c r="D159" s="304">
        <v>5.69</v>
      </c>
      <c r="E159" s="303">
        <v>0</v>
      </c>
      <c r="F159" s="304">
        <v>853.50000000000011</v>
      </c>
      <c r="G159" s="331"/>
      <c r="H159" s="303"/>
      <c r="I159" s="304"/>
      <c r="J159" s="303"/>
      <c r="K159" s="304"/>
      <c r="L159" s="305"/>
      <c r="M159" s="304"/>
      <c r="N159" s="303"/>
      <c r="O159" s="303"/>
    </row>
    <row r="160" spans="1:18" ht="18" customHeight="1" x14ac:dyDescent="0.25">
      <c r="A160" s="301"/>
      <c r="B160" s="307"/>
      <c r="C160" s="308">
        <v>650</v>
      </c>
      <c r="D160" s="309"/>
      <c r="E160" s="308"/>
      <c r="F160" s="309">
        <v>3943.5</v>
      </c>
      <c r="G160" s="333"/>
      <c r="H160" s="308">
        <v>650</v>
      </c>
      <c r="I160" s="309"/>
      <c r="J160" s="308"/>
      <c r="K160" s="309">
        <f>SUM(K155:K156)</f>
        <v>4093.43</v>
      </c>
      <c r="L160" s="310"/>
      <c r="M160" s="309"/>
      <c r="N160" s="309">
        <f>K160-F160</f>
        <v>149.92999999999984</v>
      </c>
      <c r="O160" s="311">
        <f>N160/K160</f>
        <v>3.6626985193346374E-2</v>
      </c>
    </row>
    <row r="161" spans="1:16" ht="18" customHeight="1" x14ac:dyDescent="0.25">
      <c r="B161" s="329"/>
      <c r="C161" s="317"/>
      <c r="D161" s="318"/>
      <c r="E161" s="317"/>
      <c r="F161" s="318"/>
      <c r="G161" s="332"/>
      <c r="H161" s="317"/>
      <c r="I161" s="318"/>
      <c r="J161" s="317"/>
      <c r="K161" s="318"/>
      <c r="L161" s="316"/>
      <c r="M161" s="318"/>
      <c r="N161" s="317"/>
      <c r="O161" s="317"/>
      <c r="P161" s="143" t="s">
        <v>136</v>
      </c>
    </row>
    <row r="162" spans="1:16" ht="18" customHeight="1" x14ac:dyDescent="0.25">
      <c r="A162" s="290" t="s">
        <v>26</v>
      </c>
      <c r="B162" s="291">
        <v>42284</v>
      </c>
      <c r="C162" s="292">
        <v>150</v>
      </c>
      <c r="D162" s="293">
        <v>3.75</v>
      </c>
      <c r="E162" s="293">
        <v>0</v>
      </c>
      <c r="F162" s="293">
        <f>D162*C162</f>
        <v>562.5</v>
      </c>
      <c r="G162" s="291">
        <v>42291</v>
      </c>
      <c r="H162" s="294">
        <v>100</v>
      </c>
      <c r="I162" s="293">
        <v>4.4000000000000004</v>
      </c>
      <c r="J162" s="293">
        <v>0.01</v>
      </c>
      <c r="K162" s="292">
        <f>I162*H162-J162</f>
        <v>439.99000000000007</v>
      </c>
      <c r="L162" s="291"/>
      <c r="M162" s="293"/>
      <c r="N162" s="292"/>
      <c r="O162" s="295"/>
    </row>
    <row r="163" spans="1:16" ht="18" customHeight="1" x14ac:dyDescent="0.25">
      <c r="A163" s="336"/>
      <c r="B163" s="534">
        <v>42338</v>
      </c>
      <c r="C163" s="292">
        <v>50</v>
      </c>
      <c r="D163" s="293">
        <v>3.03</v>
      </c>
      <c r="E163" s="293">
        <v>0</v>
      </c>
      <c r="F163" s="293">
        <f>D163*C163</f>
        <v>151.5</v>
      </c>
      <c r="G163" s="291">
        <v>42333</v>
      </c>
      <c r="H163" s="292">
        <v>50</v>
      </c>
      <c r="I163" s="292">
        <v>3.16</v>
      </c>
      <c r="J163" s="292">
        <v>0.01</v>
      </c>
      <c r="K163" s="292">
        <f>I163*H163-J163</f>
        <v>157.99</v>
      </c>
      <c r="L163" s="292"/>
      <c r="M163" s="292"/>
      <c r="N163" s="292"/>
      <c r="O163" s="295"/>
    </row>
    <row r="164" spans="1:16" ht="18" customHeight="1" x14ac:dyDescent="0.25">
      <c r="A164" s="292"/>
      <c r="B164" s="534"/>
      <c r="C164" s="292">
        <v>2</v>
      </c>
      <c r="D164" s="293">
        <v>3.03</v>
      </c>
      <c r="E164" s="293">
        <v>0</v>
      </c>
      <c r="F164" s="293">
        <f>D164*C164</f>
        <v>6.06</v>
      </c>
      <c r="G164" s="291">
        <v>42339</v>
      </c>
      <c r="H164" s="292">
        <v>50</v>
      </c>
      <c r="I164" s="292">
        <v>3.38</v>
      </c>
      <c r="J164" s="292">
        <v>0.01</v>
      </c>
      <c r="K164" s="292">
        <f>I164*H164-J164</f>
        <v>168.99</v>
      </c>
      <c r="L164" s="292"/>
      <c r="M164" s="292"/>
      <c r="N164" s="292"/>
      <c r="O164" s="295"/>
      <c r="P164" s="143" t="s">
        <v>136</v>
      </c>
    </row>
    <row r="165" spans="1:16" ht="18" customHeight="1" x14ac:dyDescent="0.25">
      <c r="A165" s="292"/>
      <c r="B165" s="291">
        <v>42340</v>
      </c>
      <c r="C165" s="292">
        <v>52</v>
      </c>
      <c r="D165" s="293">
        <v>3.2</v>
      </c>
      <c r="E165" s="293">
        <v>0</v>
      </c>
      <c r="F165" s="293">
        <f>D165*C165</f>
        <v>166.4</v>
      </c>
      <c r="G165" s="292"/>
      <c r="H165" s="293">
        <v>54</v>
      </c>
      <c r="I165" s="293">
        <v>1.63</v>
      </c>
      <c r="J165" s="293">
        <v>0</v>
      </c>
      <c r="K165" s="292">
        <f>I165*H165-J165</f>
        <v>88.02</v>
      </c>
      <c r="L165" s="292"/>
      <c r="M165" s="292"/>
      <c r="N165" s="292"/>
      <c r="O165" s="295"/>
    </row>
    <row r="166" spans="1:16" ht="18" customHeight="1" x14ac:dyDescent="0.25">
      <c r="A166" s="295"/>
      <c r="B166" s="295"/>
      <c r="C166" s="295">
        <f>SUM(C162:C165)</f>
        <v>254</v>
      </c>
      <c r="D166" s="295"/>
      <c r="E166" s="298"/>
      <c r="F166" s="295">
        <f>SUM(F162:F165)</f>
        <v>886.45999999999992</v>
      </c>
      <c r="G166" s="295"/>
      <c r="H166" s="299">
        <f>SUM(H162:H165)</f>
        <v>254</v>
      </c>
      <c r="I166" s="295"/>
      <c r="J166" s="295"/>
      <c r="K166" s="295">
        <f>SUM(K162:K165)</f>
        <v>854.99</v>
      </c>
      <c r="L166" s="295"/>
      <c r="M166" s="298">
        <f>SUM(M162:M164)</f>
        <v>0</v>
      </c>
      <c r="N166" s="295">
        <f>K166-F166</f>
        <v>-31.469999999999914</v>
      </c>
      <c r="O166" s="300">
        <f>N166/F166</f>
        <v>-3.5500755815265121E-2</v>
      </c>
    </row>
    <row r="167" spans="1:16" ht="18" customHeight="1" x14ac:dyDescent="0.25">
      <c r="B167" s="329"/>
      <c r="C167" s="317"/>
      <c r="D167" s="318"/>
      <c r="E167" s="317"/>
      <c r="F167" s="318"/>
      <c r="G167" s="332"/>
      <c r="H167" s="317"/>
      <c r="I167" s="318"/>
      <c r="J167" s="317"/>
      <c r="K167" s="318"/>
      <c r="L167" s="316"/>
      <c r="M167" s="318"/>
      <c r="N167" s="317"/>
      <c r="O167" s="317"/>
      <c r="P167" s="143" t="s">
        <v>136</v>
      </c>
    </row>
    <row r="168" spans="1:16" ht="18" customHeight="1" x14ac:dyDescent="0.25">
      <c r="A168" s="301" t="s">
        <v>23</v>
      </c>
      <c r="B168" s="302">
        <v>42153</v>
      </c>
      <c r="C168" s="303">
        <v>50</v>
      </c>
      <c r="D168" s="304">
        <v>37.22</v>
      </c>
      <c r="E168" s="303"/>
      <c r="F168" s="304">
        <f>D168*C168</f>
        <v>1861</v>
      </c>
      <c r="G168" s="331">
        <v>42186</v>
      </c>
      <c r="H168" s="303">
        <v>50</v>
      </c>
      <c r="I168" s="304">
        <v>38.4</v>
      </c>
      <c r="J168" s="303">
        <v>0.04</v>
      </c>
      <c r="K168" s="304">
        <f>H168*I168-J168</f>
        <v>1919.96</v>
      </c>
      <c r="L168" s="305"/>
      <c r="M168" s="304"/>
      <c r="N168" s="303"/>
      <c r="O168" s="303"/>
    </row>
    <row r="169" spans="1:16" ht="18" customHeight="1" x14ac:dyDescent="0.25">
      <c r="A169" s="301"/>
      <c r="B169" s="302">
        <v>42208</v>
      </c>
      <c r="C169" s="303">
        <v>100</v>
      </c>
      <c r="D169" s="304">
        <v>36</v>
      </c>
      <c r="E169" s="305"/>
      <c r="F169" s="304">
        <f>D169*C169</f>
        <v>3600</v>
      </c>
      <c r="G169" s="331">
        <v>42230</v>
      </c>
      <c r="H169" s="303">
        <v>100</v>
      </c>
      <c r="I169" s="304">
        <v>35.96</v>
      </c>
      <c r="J169" s="303">
        <v>7.0000000000000007E-2</v>
      </c>
      <c r="K169" s="304">
        <f>H169*I169-J169</f>
        <v>3595.93</v>
      </c>
      <c r="L169" s="305"/>
      <c r="M169" s="304"/>
      <c r="N169" s="303"/>
      <c r="O169" s="303"/>
    </row>
    <row r="170" spans="1:16" ht="18" customHeight="1" x14ac:dyDescent="0.25">
      <c r="A170" s="301"/>
      <c r="B170" s="302">
        <v>42209</v>
      </c>
      <c r="C170" s="303">
        <v>20</v>
      </c>
      <c r="D170" s="303">
        <f>709.5/20</f>
        <v>35.475000000000001</v>
      </c>
      <c r="E170" s="303"/>
      <c r="F170" s="304">
        <f>D170*C170</f>
        <v>709.5</v>
      </c>
      <c r="G170" s="331">
        <v>42258</v>
      </c>
      <c r="H170" s="303">
        <v>40</v>
      </c>
      <c r="I170" s="304">
        <v>36.65</v>
      </c>
      <c r="J170" s="303">
        <v>0.03</v>
      </c>
      <c r="K170" s="304">
        <f>H170*I170-J170</f>
        <v>1465.97</v>
      </c>
      <c r="L170" s="305"/>
      <c r="M170" s="304"/>
      <c r="N170" s="303"/>
      <c r="O170" s="303"/>
    </row>
    <row r="171" spans="1:16" ht="18" customHeight="1" x14ac:dyDescent="0.25">
      <c r="A171" s="301"/>
      <c r="B171" s="302">
        <v>42209</v>
      </c>
      <c r="C171" s="303">
        <v>20</v>
      </c>
      <c r="D171" s="304">
        <v>35.03</v>
      </c>
      <c r="E171" s="305"/>
      <c r="F171" s="304">
        <f>D171*C171</f>
        <v>700.6</v>
      </c>
      <c r="G171" s="331"/>
      <c r="H171" s="303"/>
      <c r="I171" s="304"/>
      <c r="J171" s="303"/>
      <c r="K171" s="304"/>
      <c r="L171" s="305"/>
      <c r="M171" s="304"/>
      <c r="N171" s="303"/>
      <c r="O171" s="303"/>
      <c r="P171" s="143" t="s">
        <v>136</v>
      </c>
    </row>
    <row r="172" spans="1:16" ht="18" customHeight="1" x14ac:dyDescent="0.25">
      <c r="A172" s="301"/>
      <c r="B172" s="307"/>
      <c r="C172" s="308">
        <v>190</v>
      </c>
      <c r="D172" s="309"/>
      <c r="E172" s="308"/>
      <c r="F172" s="309">
        <f>SUM(F168:F171)</f>
        <v>6871.1</v>
      </c>
      <c r="G172" s="333"/>
      <c r="H172" s="308">
        <v>190</v>
      </c>
      <c r="I172" s="309"/>
      <c r="J172" s="308"/>
      <c r="K172" s="309">
        <f>SUM(K168:K170)</f>
        <v>6981.86</v>
      </c>
      <c r="L172" s="310"/>
      <c r="M172" s="309"/>
      <c r="N172" s="308">
        <f>K172-F172</f>
        <v>110.75999999999931</v>
      </c>
      <c r="O172" s="311">
        <f>(N172+M172)/F172</f>
        <v>1.6119689714892711E-2</v>
      </c>
      <c r="P172" s="143"/>
    </row>
    <row r="173" spans="1:16" ht="18" customHeight="1" x14ac:dyDescent="0.25">
      <c r="B173" s="316"/>
      <c r="C173" s="317"/>
      <c r="D173" s="318"/>
      <c r="E173" s="318"/>
      <c r="F173" s="318"/>
      <c r="G173" s="316"/>
      <c r="H173" s="317"/>
      <c r="I173" s="318"/>
      <c r="J173" s="318"/>
      <c r="K173" s="318"/>
      <c r="L173" s="316"/>
      <c r="M173" s="318"/>
      <c r="N173" s="318"/>
      <c r="O173" s="319"/>
      <c r="P173" s="143"/>
    </row>
    <row r="174" spans="1:16" ht="18" customHeight="1" x14ac:dyDescent="0.25">
      <c r="A174" s="301" t="s">
        <v>41</v>
      </c>
      <c r="B174" s="302">
        <v>42184</v>
      </c>
      <c r="C174" s="303">
        <v>10</v>
      </c>
      <c r="D174" s="304">
        <v>66</v>
      </c>
      <c r="E174" s="304"/>
      <c r="F174" s="304">
        <f>C174*D174</f>
        <v>660</v>
      </c>
      <c r="G174" s="302">
        <v>42219</v>
      </c>
      <c r="H174" s="303">
        <v>10</v>
      </c>
      <c r="I174" s="304">
        <v>70.45</v>
      </c>
      <c r="J174" s="304">
        <v>0.01</v>
      </c>
      <c r="K174" s="304">
        <f>H174*I174-J174</f>
        <v>704.49</v>
      </c>
      <c r="L174" s="305"/>
      <c r="M174" s="304"/>
      <c r="N174" s="304"/>
      <c r="O174" s="306"/>
      <c r="P174" s="143"/>
    </row>
    <row r="175" spans="1:16" ht="18" customHeight="1" x14ac:dyDescent="0.25">
      <c r="A175" s="301"/>
      <c r="B175" s="307"/>
      <c r="C175" s="308">
        <f>SUM(C174)</f>
        <v>10</v>
      </c>
      <c r="D175" s="309"/>
      <c r="E175" s="309"/>
      <c r="F175" s="309">
        <f>SUM(F174)</f>
        <v>660</v>
      </c>
      <c r="G175" s="310"/>
      <c r="H175" s="308">
        <f>SUM(H174)</f>
        <v>10</v>
      </c>
      <c r="I175" s="309"/>
      <c r="J175" s="309"/>
      <c r="K175" s="309">
        <f>SUM(K174)</f>
        <v>704.49</v>
      </c>
      <c r="L175" s="310"/>
      <c r="M175" s="309"/>
      <c r="N175" s="309">
        <f>K175-F175</f>
        <v>44.490000000000009</v>
      </c>
      <c r="O175" s="311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1" t="s">
        <v>35</v>
      </c>
      <c r="B177" s="302">
        <v>42166</v>
      </c>
      <c r="C177" s="303">
        <v>10</v>
      </c>
      <c r="D177" s="304">
        <v>55.7</v>
      </c>
      <c r="E177" s="304">
        <v>0</v>
      </c>
      <c r="F177" s="304">
        <f t="shared" ref="F177:F203" si="8">C177*D177+E177</f>
        <v>557</v>
      </c>
      <c r="G177" s="302">
        <v>42208</v>
      </c>
      <c r="H177" s="303">
        <v>10</v>
      </c>
      <c r="I177" s="304">
        <v>56</v>
      </c>
      <c r="J177" s="304">
        <v>0.01</v>
      </c>
      <c r="K177" s="304">
        <f t="shared" ref="K177:K200" si="9">H177*I177-J177</f>
        <v>559.99</v>
      </c>
      <c r="L177" s="305"/>
      <c r="M177" s="304"/>
      <c r="N177" s="304"/>
      <c r="O177" s="306"/>
    </row>
    <row r="178" spans="1:16" ht="18" customHeight="1" x14ac:dyDescent="0.25">
      <c r="A178" s="301"/>
      <c r="B178" s="302">
        <v>42205</v>
      </c>
      <c r="C178" s="303">
        <v>10</v>
      </c>
      <c r="D178" s="304">
        <v>52.6</v>
      </c>
      <c r="E178" s="304">
        <v>0</v>
      </c>
      <c r="F178" s="304">
        <f t="shared" si="8"/>
        <v>526</v>
      </c>
      <c r="G178" s="302">
        <v>42234</v>
      </c>
      <c r="H178" s="303">
        <v>25</v>
      </c>
      <c r="I178" s="304">
        <v>50.88</v>
      </c>
      <c r="J178" s="304">
        <v>0.02</v>
      </c>
      <c r="K178" s="304">
        <f t="shared" si="9"/>
        <v>1271.98</v>
      </c>
      <c r="L178" s="305"/>
      <c r="M178" s="304"/>
      <c r="N178" s="304"/>
      <c r="O178" s="306"/>
      <c r="P178" s="143"/>
    </row>
    <row r="179" spans="1:16" ht="18" customHeight="1" x14ac:dyDescent="0.25">
      <c r="A179" s="301"/>
      <c r="B179" s="302">
        <v>42229</v>
      </c>
      <c r="C179" s="303">
        <v>15</v>
      </c>
      <c r="D179" s="304">
        <v>50.9</v>
      </c>
      <c r="E179" s="304">
        <v>0</v>
      </c>
      <c r="F179" s="304">
        <f t="shared" si="8"/>
        <v>763.5</v>
      </c>
      <c r="G179" s="302">
        <v>42314</v>
      </c>
      <c r="H179" s="303">
        <v>150</v>
      </c>
      <c r="I179" s="304">
        <v>31.5</v>
      </c>
      <c r="J179" s="304">
        <v>0.09</v>
      </c>
      <c r="K179" s="304">
        <f t="shared" si="9"/>
        <v>4724.91</v>
      </c>
      <c r="L179" s="305"/>
      <c r="M179" s="304"/>
      <c r="N179" s="304"/>
      <c r="O179" s="306"/>
    </row>
    <row r="180" spans="1:16" ht="18" customHeight="1" x14ac:dyDescent="0.25">
      <c r="A180" s="301"/>
      <c r="B180" s="302">
        <v>42233</v>
      </c>
      <c r="C180" s="303">
        <v>15</v>
      </c>
      <c r="D180" s="304">
        <v>46.8</v>
      </c>
      <c r="E180" s="304">
        <v>0</v>
      </c>
      <c r="F180" s="304">
        <f t="shared" si="8"/>
        <v>702</v>
      </c>
      <c r="G180" s="302">
        <v>42317</v>
      </c>
      <c r="H180" s="303">
        <v>150</v>
      </c>
      <c r="I180" s="304">
        <v>31.5</v>
      </c>
      <c r="J180" s="304">
        <v>0.09</v>
      </c>
      <c r="K180" s="304">
        <f t="shared" si="9"/>
        <v>4724.91</v>
      </c>
      <c r="L180" s="305"/>
      <c r="M180" s="304"/>
      <c r="N180" s="304"/>
      <c r="O180" s="306"/>
    </row>
    <row r="181" spans="1:16" ht="18" customHeight="1" x14ac:dyDescent="0.25">
      <c r="A181" s="301"/>
      <c r="B181" s="302">
        <v>42233</v>
      </c>
      <c r="C181" s="303">
        <v>20</v>
      </c>
      <c r="D181" s="304">
        <v>47.45</v>
      </c>
      <c r="E181" s="304">
        <v>0</v>
      </c>
      <c r="F181" s="304">
        <f t="shared" si="8"/>
        <v>949</v>
      </c>
      <c r="G181" s="302">
        <v>42340</v>
      </c>
      <c r="H181" s="303">
        <v>150</v>
      </c>
      <c r="I181" s="304">
        <v>30.55</v>
      </c>
      <c r="J181" s="304">
        <v>0.08</v>
      </c>
      <c r="K181" s="304">
        <f t="shared" si="9"/>
        <v>4582.42</v>
      </c>
      <c r="L181" s="305"/>
      <c r="M181" s="304"/>
      <c r="N181" s="304"/>
      <c r="O181" s="306"/>
      <c r="P181" s="143"/>
    </row>
    <row r="182" spans="1:16" ht="18" customHeight="1" x14ac:dyDescent="0.25">
      <c r="A182" s="301"/>
      <c r="B182" s="302">
        <v>42298</v>
      </c>
      <c r="C182" s="303">
        <v>35</v>
      </c>
      <c r="D182" s="304">
        <v>44.3</v>
      </c>
      <c r="E182" s="304">
        <v>0</v>
      </c>
      <c r="F182" s="304">
        <f t="shared" si="8"/>
        <v>1550.5</v>
      </c>
      <c r="G182" s="302">
        <v>42342</v>
      </c>
      <c r="H182" s="303">
        <v>150</v>
      </c>
      <c r="I182" s="304">
        <v>30.45</v>
      </c>
      <c r="J182" s="304">
        <v>0.08</v>
      </c>
      <c r="K182" s="304">
        <f t="shared" si="9"/>
        <v>4567.42</v>
      </c>
      <c r="L182" s="305"/>
      <c r="M182" s="304"/>
      <c r="N182" s="304"/>
      <c r="O182" s="306"/>
    </row>
    <row r="183" spans="1:16" ht="18" customHeight="1" x14ac:dyDescent="0.25">
      <c r="A183" s="301"/>
      <c r="B183" s="302">
        <v>42299</v>
      </c>
      <c r="C183" s="303">
        <v>70</v>
      </c>
      <c r="D183" s="304">
        <v>41.35</v>
      </c>
      <c r="E183" s="304">
        <v>0</v>
      </c>
      <c r="F183" s="304">
        <f t="shared" si="8"/>
        <v>2894.5</v>
      </c>
      <c r="G183" s="302">
        <v>42345</v>
      </c>
      <c r="H183" s="303">
        <v>100</v>
      </c>
      <c r="I183" s="304">
        <v>34.5</v>
      </c>
      <c r="J183" s="304">
        <v>0.06</v>
      </c>
      <c r="K183" s="304">
        <f t="shared" si="9"/>
        <v>3449.94</v>
      </c>
      <c r="L183" s="305"/>
      <c r="M183" s="304"/>
      <c r="N183" s="304"/>
      <c r="O183" s="306"/>
    </row>
    <row r="184" spans="1:16" ht="18" customHeight="1" x14ac:dyDescent="0.25">
      <c r="A184" s="301"/>
      <c r="B184" s="302">
        <v>42299</v>
      </c>
      <c r="C184" s="303">
        <v>60</v>
      </c>
      <c r="D184" s="304">
        <v>40.229999999999997</v>
      </c>
      <c r="E184" s="304">
        <v>0</v>
      </c>
      <c r="F184" s="304">
        <f t="shared" si="8"/>
        <v>2413.7999999999997</v>
      </c>
      <c r="G184" s="302">
        <v>42356</v>
      </c>
      <c r="H184" s="303">
        <v>150</v>
      </c>
      <c r="I184" s="304">
        <v>43.25</v>
      </c>
      <c r="J184" s="304">
        <v>0.12</v>
      </c>
      <c r="K184" s="304">
        <f t="shared" si="9"/>
        <v>6487.38</v>
      </c>
      <c r="L184" s="305"/>
      <c r="M184" s="304"/>
      <c r="N184" s="304"/>
      <c r="O184" s="306"/>
    </row>
    <row r="185" spans="1:16" ht="18" customHeight="1" x14ac:dyDescent="0.25">
      <c r="A185" s="301"/>
      <c r="B185" s="302">
        <v>42300</v>
      </c>
      <c r="C185" s="303">
        <v>100</v>
      </c>
      <c r="D185" s="304">
        <v>39.57</v>
      </c>
      <c r="E185" s="304">
        <v>0</v>
      </c>
      <c r="F185" s="304">
        <f t="shared" si="8"/>
        <v>3957</v>
      </c>
      <c r="G185" s="302">
        <v>42359</v>
      </c>
      <c r="H185" s="303">
        <v>20</v>
      </c>
      <c r="I185" s="304">
        <v>51.05</v>
      </c>
      <c r="J185" s="304">
        <v>0.02</v>
      </c>
      <c r="K185" s="304">
        <f t="shared" si="9"/>
        <v>1020.98</v>
      </c>
      <c r="L185" s="305"/>
      <c r="M185" s="304"/>
      <c r="N185" s="304"/>
      <c r="O185" s="306"/>
    </row>
    <row r="186" spans="1:16" ht="18" customHeight="1" x14ac:dyDescent="0.25">
      <c r="A186" s="301"/>
      <c r="B186" s="302">
        <v>42304</v>
      </c>
      <c r="C186" s="303">
        <v>100</v>
      </c>
      <c r="D186" s="304">
        <v>37.950000000000003</v>
      </c>
      <c r="E186" s="304">
        <v>0</v>
      </c>
      <c r="F186" s="304">
        <f t="shared" si="8"/>
        <v>3795.0000000000005</v>
      </c>
      <c r="G186" s="302">
        <v>42361</v>
      </c>
      <c r="H186" s="303">
        <v>30</v>
      </c>
      <c r="I186" s="304">
        <v>57.95</v>
      </c>
      <c r="J186" s="304">
        <v>0.03</v>
      </c>
      <c r="K186" s="304">
        <f t="shared" si="9"/>
        <v>1738.47</v>
      </c>
      <c r="L186" s="305"/>
      <c r="M186" s="304"/>
      <c r="N186" s="304"/>
      <c r="O186" s="306"/>
    </row>
    <row r="187" spans="1:16" ht="18" customHeight="1" x14ac:dyDescent="0.25">
      <c r="A187" s="301"/>
      <c r="B187" s="302">
        <v>42311</v>
      </c>
      <c r="C187" s="303">
        <v>150</v>
      </c>
      <c r="D187" s="304">
        <v>30.5</v>
      </c>
      <c r="E187" s="304">
        <v>6.95</v>
      </c>
      <c r="F187" s="304">
        <f t="shared" si="8"/>
        <v>4581.95</v>
      </c>
      <c r="G187" s="302">
        <v>42426</v>
      </c>
      <c r="H187" s="303">
        <v>50</v>
      </c>
      <c r="I187" s="304">
        <v>19.149999999999999</v>
      </c>
      <c r="J187" s="304">
        <v>0.02</v>
      </c>
      <c r="K187" s="304">
        <f t="shared" si="9"/>
        <v>957.4799999999999</v>
      </c>
      <c r="L187" s="305"/>
      <c r="M187" s="304"/>
      <c r="N187" s="304"/>
      <c r="O187" s="306"/>
    </row>
    <row r="188" spans="1:16" ht="18" customHeight="1" x14ac:dyDescent="0.25">
      <c r="A188" s="301"/>
      <c r="B188" s="302">
        <v>42314</v>
      </c>
      <c r="C188" s="303">
        <v>150</v>
      </c>
      <c r="D188" s="304">
        <v>30.65</v>
      </c>
      <c r="E188" s="304">
        <v>0</v>
      </c>
      <c r="F188" s="304">
        <f t="shared" si="8"/>
        <v>4597.5</v>
      </c>
      <c r="G188" s="302">
        <v>42430</v>
      </c>
      <c r="H188" s="303">
        <v>75</v>
      </c>
      <c r="I188" s="304">
        <v>18.350000000000001</v>
      </c>
      <c r="J188" s="304">
        <v>0.03</v>
      </c>
      <c r="K188" s="304">
        <f t="shared" si="9"/>
        <v>1376.22</v>
      </c>
      <c r="L188" s="305"/>
      <c r="M188" s="304"/>
      <c r="N188" s="304"/>
      <c r="O188" s="306"/>
    </row>
    <row r="189" spans="1:16" ht="18" customHeight="1" x14ac:dyDescent="0.25">
      <c r="A189" s="301"/>
      <c r="B189" s="302">
        <v>42317</v>
      </c>
      <c r="C189" s="303">
        <v>150</v>
      </c>
      <c r="D189" s="304">
        <v>30.65</v>
      </c>
      <c r="E189" s="304">
        <v>0</v>
      </c>
      <c r="F189" s="304">
        <f t="shared" si="8"/>
        <v>4597.5</v>
      </c>
      <c r="G189" s="302">
        <v>42432</v>
      </c>
      <c r="H189" s="303">
        <v>50</v>
      </c>
      <c r="I189" s="304">
        <v>20.67</v>
      </c>
      <c r="J189" s="304">
        <v>0.02</v>
      </c>
      <c r="K189" s="304">
        <f t="shared" si="9"/>
        <v>1033.48</v>
      </c>
      <c r="L189" s="305"/>
      <c r="M189" s="304"/>
      <c r="N189" s="304"/>
      <c r="O189" s="306"/>
    </row>
    <row r="190" spans="1:16" ht="18" customHeight="1" x14ac:dyDescent="0.25">
      <c r="A190" s="304"/>
      <c r="B190" s="302">
        <v>42340</v>
      </c>
      <c r="C190" s="303">
        <v>150</v>
      </c>
      <c r="D190" s="304">
        <v>30.21</v>
      </c>
      <c r="E190" s="304">
        <v>0</v>
      </c>
      <c r="F190" s="304">
        <f t="shared" si="8"/>
        <v>4531.5</v>
      </c>
      <c r="G190" s="302">
        <v>42437</v>
      </c>
      <c r="H190" s="303">
        <v>25</v>
      </c>
      <c r="I190" s="304">
        <v>26.85</v>
      </c>
      <c r="J190" s="304">
        <v>0.01</v>
      </c>
      <c r="K190" s="304">
        <f t="shared" si="9"/>
        <v>671.24</v>
      </c>
      <c r="L190" s="304"/>
      <c r="M190" s="304"/>
      <c r="N190" s="304"/>
      <c r="O190" s="304"/>
      <c r="P190" s="143"/>
    </row>
    <row r="191" spans="1:16" ht="18" customHeight="1" x14ac:dyDescent="0.25">
      <c r="A191" s="304"/>
      <c r="B191" s="302">
        <v>42408</v>
      </c>
      <c r="C191" s="303">
        <v>25</v>
      </c>
      <c r="D191" s="304">
        <v>26.59</v>
      </c>
      <c r="E191" s="304">
        <v>0</v>
      </c>
      <c r="F191" s="304">
        <f t="shared" si="8"/>
        <v>664.75</v>
      </c>
      <c r="G191" s="302">
        <v>42466</v>
      </c>
      <c r="H191" s="303">
        <v>30</v>
      </c>
      <c r="I191" s="304">
        <v>28.08</v>
      </c>
      <c r="J191" s="304">
        <v>0.02</v>
      </c>
      <c r="K191" s="304">
        <f t="shared" si="9"/>
        <v>842.38</v>
      </c>
      <c r="L191" s="304"/>
      <c r="M191" s="304"/>
      <c r="N191" s="304"/>
      <c r="O191" s="304"/>
    </row>
    <row r="192" spans="1:16" ht="18" customHeight="1" x14ac:dyDescent="0.25">
      <c r="A192" s="304"/>
      <c r="B192" s="302">
        <v>42423</v>
      </c>
      <c r="C192" s="303">
        <v>50</v>
      </c>
      <c r="D192" s="304">
        <v>18.149999999999999</v>
      </c>
      <c r="E192" s="304">
        <v>0</v>
      </c>
      <c r="F192" s="304">
        <f t="shared" si="8"/>
        <v>907.49999999999989</v>
      </c>
      <c r="G192" s="302">
        <v>42471</v>
      </c>
      <c r="H192" s="303">
        <v>30</v>
      </c>
      <c r="I192" s="304">
        <v>29.37</v>
      </c>
      <c r="J192" s="304">
        <v>0.02</v>
      </c>
      <c r="K192" s="304">
        <f t="shared" si="9"/>
        <v>881.08</v>
      </c>
      <c r="L192" s="304"/>
      <c r="M192" s="304"/>
      <c r="N192" s="304"/>
      <c r="O192" s="304"/>
    </row>
    <row r="193" spans="1:16" ht="18" customHeight="1" x14ac:dyDescent="0.25">
      <c r="A193" s="304"/>
      <c r="B193" s="302">
        <v>42426</v>
      </c>
      <c r="C193" s="303">
        <v>50</v>
      </c>
      <c r="D193" s="304">
        <v>18.7</v>
      </c>
      <c r="E193" s="304">
        <v>0</v>
      </c>
      <c r="F193" s="304">
        <f t="shared" si="8"/>
        <v>935</v>
      </c>
      <c r="G193" s="302">
        <v>42480</v>
      </c>
      <c r="H193" s="303">
        <v>100</v>
      </c>
      <c r="I193" s="304">
        <v>31.79</v>
      </c>
      <c r="J193" s="304">
        <v>7.0000000000000007E-2</v>
      </c>
      <c r="K193" s="304">
        <f t="shared" si="9"/>
        <v>3178.93</v>
      </c>
      <c r="L193" s="304"/>
      <c r="M193" s="304"/>
      <c r="N193" s="304"/>
      <c r="O193" s="304"/>
    </row>
    <row r="194" spans="1:16" ht="18" customHeight="1" x14ac:dyDescent="0.25">
      <c r="A194" s="304"/>
      <c r="B194" s="302">
        <v>42430</v>
      </c>
      <c r="C194" s="303">
        <v>75</v>
      </c>
      <c r="D194" s="304">
        <v>17.989999999999998</v>
      </c>
      <c r="E194" s="304">
        <v>0</v>
      </c>
      <c r="F194" s="304">
        <f t="shared" si="8"/>
        <v>1349.2499999999998</v>
      </c>
      <c r="G194" s="302">
        <v>42486</v>
      </c>
      <c r="H194" s="303">
        <v>60</v>
      </c>
      <c r="I194" s="304">
        <v>32.5</v>
      </c>
      <c r="J194" s="304">
        <v>0.04</v>
      </c>
      <c r="K194" s="304">
        <f t="shared" si="9"/>
        <v>1949.96</v>
      </c>
      <c r="L194" s="304"/>
      <c r="M194" s="304"/>
      <c r="N194" s="304"/>
      <c r="O194" s="304"/>
    </row>
    <row r="195" spans="1:16" ht="18" customHeight="1" x14ac:dyDescent="0.25">
      <c r="A195" s="304"/>
      <c r="B195" s="302">
        <v>42451</v>
      </c>
      <c r="C195" s="303">
        <v>30</v>
      </c>
      <c r="D195" s="304">
        <v>25.08</v>
      </c>
      <c r="E195" s="304">
        <v>0</v>
      </c>
      <c r="F195" s="304">
        <f t="shared" si="8"/>
        <v>752.4</v>
      </c>
      <c r="G195" s="302">
        <v>42500</v>
      </c>
      <c r="H195" s="303">
        <v>200</v>
      </c>
      <c r="I195" s="304">
        <v>18.649999999999999</v>
      </c>
      <c r="J195" s="304">
        <v>0.08</v>
      </c>
      <c r="K195" s="304">
        <f t="shared" si="9"/>
        <v>3729.9199999999996</v>
      </c>
      <c r="L195" s="304"/>
      <c r="M195" s="304"/>
      <c r="N195" s="304"/>
      <c r="O195" s="304"/>
    </row>
    <row r="196" spans="1:16" ht="18" customHeight="1" x14ac:dyDescent="0.25">
      <c r="A196" s="304"/>
      <c r="B196" s="302">
        <v>42471</v>
      </c>
      <c r="C196" s="303">
        <v>30</v>
      </c>
      <c r="D196" s="304">
        <v>28.67</v>
      </c>
      <c r="E196" s="304">
        <v>0</v>
      </c>
      <c r="F196" s="304">
        <f t="shared" si="8"/>
        <v>860.1</v>
      </c>
      <c r="G196" s="302">
        <v>42510</v>
      </c>
      <c r="H196" s="303">
        <v>130</v>
      </c>
      <c r="I196" s="304">
        <v>21.35</v>
      </c>
      <c r="J196" s="304">
        <v>0.06</v>
      </c>
      <c r="K196" s="304">
        <f t="shared" si="9"/>
        <v>2775.44</v>
      </c>
      <c r="L196" s="304"/>
      <c r="M196" s="304"/>
      <c r="N196" s="304"/>
      <c r="O196" s="304"/>
    </row>
    <row r="197" spans="1:16" ht="18" customHeight="1" x14ac:dyDescent="0.25">
      <c r="A197" s="304"/>
      <c r="B197" s="302">
        <v>42485</v>
      </c>
      <c r="C197" s="303">
        <v>100</v>
      </c>
      <c r="D197" s="304">
        <v>31.25</v>
      </c>
      <c r="E197" s="304">
        <v>0</v>
      </c>
      <c r="F197" s="304">
        <f t="shared" si="8"/>
        <v>3125</v>
      </c>
      <c r="G197" s="302">
        <v>42513</v>
      </c>
      <c r="H197" s="303">
        <v>70</v>
      </c>
      <c r="I197" s="304">
        <v>23.68</v>
      </c>
      <c r="J197" s="304">
        <v>0.04</v>
      </c>
      <c r="K197" s="304">
        <f t="shared" si="9"/>
        <v>1657.56</v>
      </c>
      <c r="L197" s="304"/>
      <c r="M197" s="304"/>
      <c r="N197" s="304"/>
      <c r="O197" s="304"/>
      <c r="P197" s="143"/>
    </row>
    <row r="198" spans="1:16" ht="18" customHeight="1" x14ac:dyDescent="0.25">
      <c r="A198" s="304"/>
      <c r="B198" s="302">
        <v>42489</v>
      </c>
      <c r="C198" s="303">
        <v>60</v>
      </c>
      <c r="D198" s="304">
        <v>30.51</v>
      </c>
      <c r="E198" s="304">
        <v>0</v>
      </c>
      <c r="F198" s="304">
        <f t="shared" si="8"/>
        <v>1830.6000000000001</v>
      </c>
      <c r="G198" s="302">
        <v>42513</v>
      </c>
      <c r="H198" s="303">
        <v>40</v>
      </c>
      <c r="I198" s="304">
        <v>23.55</v>
      </c>
      <c r="J198" s="304">
        <v>0.02</v>
      </c>
      <c r="K198" s="304">
        <f t="shared" si="9"/>
        <v>941.98</v>
      </c>
      <c r="L198" s="304"/>
      <c r="M198" s="304"/>
      <c r="N198" s="304"/>
      <c r="O198" s="304"/>
    </row>
    <row r="199" spans="1:16" ht="18" customHeight="1" x14ac:dyDescent="0.25">
      <c r="A199" s="304"/>
      <c r="B199" s="302">
        <v>42493</v>
      </c>
      <c r="C199" s="303">
        <v>30</v>
      </c>
      <c r="D199" s="304">
        <v>26.75</v>
      </c>
      <c r="E199" s="304">
        <v>0</v>
      </c>
      <c r="F199" s="304">
        <f t="shared" si="8"/>
        <v>802.5</v>
      </c>
      <c r="G199" s="302">
        <v>42527</v>
      </c>
      <c r="H199" s="303">
        <v>60</v>
      </c>
      <c r="I199" s="304">
        <v>22.79</v>
      </c>
      <c r="J199" s="304">
        <v>0.03</v>
      </c>
      <c r="K199" s="304">
        <f t="shared" si="9"/>
        <v>1367.37</v>
      </c>
      <c r="L199" s="304"/>
      <c r="M199" s="304"/>
      <c r="N199" s="304"/>
      <c r="O199" s="304"/>
    </row>
    <row r="200" spans="1:16" ht="18" customHeight="1" x14ac:dyDescent="0.25">
      <c r="A200" s="304"/>
      <c r="B200" s="302">
        <v>42495</v>
      </c>
      <c r="C200" s="303">
        <v>70</v>
      </c>
      <c r="D200" s="304">
        <v>21.65</v>
      </c>
      <c r="E200" s="304">
        <v>0</v>
      </c>
      <c r="F200" s="304">
        <f t="shared" si="8"/>
        <v>1515.5</v>
      </c>
      <c r="G200" s="302">
        <v>42541</v>
      </c>
      <c r="H200" s="303">
        <v>70</v>
      </c>
      <c r="I200" s="304">
        <v>22.45</v>
      </c>
      <c r="J200" s="304">
        <v>0.03</v>
      </c>
      <c r="K200" s="304">
        <f t="shared" si="9"/>
        <v>1571.47</v>
      </c>
      <c r="L200" s="304"/>
      <c r="M200" s="304"/>
      <c r="N200" s="304"/>
      <c r="O200" s="304"/>
      <c r="P200" s="143"/>
    </row>
    <row r="201" spans="1:16" ht="18" customHeight="1" x14ac:dyDescent="0.25">
      <c r="A201" s="304"/>
      <c r="B201" s="302">
        <v>42500</v>
      </c>
      <c r="C201" s="303">
        <v>200</v>
      </c>
      <c r="D201" s="304">
        <v>18.25</v>
      </c>
      <c r="E201" s="304">
        <v>0</v>
      </c>
      <c r="F201" s="304">
        <f t="shared" si="8"/>
        <v>3650</v>
      </c>
      <c r="G201" s="304"/>
      <c r="H201" s="304"/>
      <c r="I201" s="304"/>
      <c r="J201" s="304"/>
      <c r="K201" s="304"/>
      <c r="L201" s="304"/>
      <c r="M201" s="304"/>
      <c r="N201" s="304"/>
      <c r="O201" s="304"/>
      <c r="P201" s="143"/>
    </row>
    <row r="202" spans="1:16" ht="18" customHeight="1" x14ac:dyDescent="0.25">
      <c r="A202" s="304"/>
      <c r="B202" s="302">
        <v>42500</v>
      </c>
      <c r="C202" s="303">
        <v>100</v>
      </c>
      <c r="D202" s="304">
        <v>16.510000000000002</v>
      </c>
      <c r="E202" s="304">
        <v>0</v>
      </c>
      <c r="F202" s="304">
        <f t="shared" si="8"/>
        <v>1651.0000000000002</v>
      </c>
      <c r="G202" s="304"/>
      <c r="H202" s="304"/>
      <c r="I202" s="304"/>
      <c r="J202" s="304"/>
      <c r="K202" s="304"/>
      <c r="L202" s="304"/>
      <c r="M202" s="304"/>
      <c r="N202" s="304"/>
      <c r="O202" s="304"/>
    </row>
    <row r="203" spans="1:16" ht="18" customHeight="1" x14ac:dyDescent="0.25">
      <c r="A203" s="301"/>
      <c r="B203" s="330">
        <v>42531</v>
      </c>
      <c r="C203" s="303">
        <v>70</v>
      </c>
      <c r="D203" s="328">
        <v>21.65</v>
      </c>
      <c r="E203" s="304">
        <v>0</v>
      </c>
      <c r="F203" s="328">
        <f t="shared" si="8"/>
        <v>1515.5</v>
      </c>
      <c r="G203" s="330"/>
      <c r="H203" s="327"/>
      <c r="I203" s="328"/>
      <c r="J203" s="327"/>
      <c r="K203" s="328"/>
      <c r="L203" s="326"/>
      <c r="M203" s="328"/>
      <c r="N203" s="323"/>
      <c r="O203" s="325"/>
    </row>
    <row r="204" spans="1:16" ht="18" customHeight="1" x14ac:dyDescent="0.25">
      <c r="A204" s="320"/>
      <c r="B204" s="324"/>
      <c r="C204" s="322">
        <f>SUM(C177:C203)</f>
        <v>1925</v>
      </c>
      <c r="D204" s="323"/>
      <c r="E204" s="324"/>
      <c r="F204" s="323">
        <f>SUM(F177:F203)</f>
        <v>55975.85</v>
      </c>
      <c r="G204" s="324"/>
      <c r="H204" s="322">
        <f>SUM(H177:H203)</f>
        <v>1925</v>
      </c>
      <c r="I204" s="323"/>
      <c r="J204" s="322"/>
      <c r="K204" s="323">
        <f>SUM(K177:K203)</f>
        <v>56062.910000000011</v>
      </c>
      <c r="L204" s="324"/>
      <c r="M204" s="323"/>
      <c r="N204" s="323">
        <f t="shared" ref="N204" si="10">K204-F204</f>
        <v>87.060000000012224</v>
      </c>
      <c r="O204" s="325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6"/>
      <c r="C205" s="317"/>
      <c r="D205" s="318"/>
      <c r="E205" s="25"/>
      <c r="F205" s="318"/>
      <c r="G205" s="316"/>
      <c r="H205" s="317"/>
      <c r="I205" s="318"/>
      <c r="K205" s="318"/>
      <c r="L205" s="316"/>
      <c r="M205" s="318"/>
      <c r="N205" s="442"/>
      <c r="O205" s="443"/>
    </row>
    <row r="206" spans="1:16" ht="18" customHeight="1" x14ac:dyDescent="0.25">
      <c r="A206" s="301" t="s">
        <v>46</v>
      </c>
      <c r="B206" s="330">
        <v>42185</v>
      </c>
      <c r="C206" s="327">
        <v>20</v>
      </c>
      <c r="D206" s="328">
        <v>28.2</v>
      </c>
      <c r="E206" s="326"/>
      <c r="F206" s="328">
        <f>C206*D206</f>
        <v>564</v>
      </c>
      <c r="G206" s="330">
        <v>42187</v>
      </c>
      <c r="H206" s="327">
        <v>20</v>
      </c>
      <c r="I206" s="328">
        <v>28.75</v>
      </c>
      <c r="J206" s="327">
        <v>0.01</v>
      </c>
      <c r="K206" s="328">
        <f>H206*I206-J206</f>
        <v>574.99</v>
      </c>
      <c r="L206" s="326"/>
      <c r="M206" s="328"/>
      <c r="N206" s="323"/>
      <c r="O206" s="325"/>
      <c r="P206" s="239"/>
    </row>
    <row r="207" spans="1:16" ht="18" customHeight="1" x14ac:dyDescent="0.25">
      <c r="A207" s="320"/>
      <c r="B207" s="324"/>
      <c r="C207" s="322">
        <f>SUM(C206)</f>
        <v>20</v>
      </c>
      <c r="D207" s="323"/>
      <c r="E207" s="324"/>
      <c r="F207" s="323">
        <f>SUM(F206)</f>
        <v>564</v>
      </c>
      <c r="G207" s="324"/>
      <c r="H207" s="322">
        <f>SUM(H206)</f>
        <v>20</v>
      </c>
      <c r="I207" s="323"/>
      <c r="J207" s="322"/>
      <c r="K207" s="323">
        <f>SUM(K206)</f>
        <v>574.99</v>
      </c>
      <c r="L207" s="324"/>
      <c r="M207" s="323"/>
      <c r="N207" s="323">
        <f>K207-F207</f>
        <v>10.990000000000009</v>
      </c>
      <c r="O207" s="325">
        <f>(N207+M207)/F207</f>
        <v>1.9485815602836895E-2</v>
      </c>
    </row>
    <row r="208" spans="1:16" ht="18" customHeight="1" x14ac:dyDescent="0.25">
      <c r="B208" s="316"/>
      <c r="C208" s="317"/>
      <c r="D208" s="318"/>
      <c r="E208" s="318"/>
      <c r="F208" s="318"/>
      <c r="G208" s="316"/>
      <c r="H208" s="317"/>
      <c r="I208" s="318"/>
      <c r="J208" s="318"/>
      <c r="K208" s="318"/>
      <c r="L208" s="316"/>
      <c r="M208" s="318"/>
      <c r="N208" s="318"/>
      <c r="O208" s="319"/>
    </row>
    <row r="209" spans="1:15" ht="18" customHeight="1" x14ac:dyDescent="0.25">
      <c r="A209" s="301" t="s">
        <v>28</v>
      </c>
      <c r="B209" s="302">
        <v>42164</v>
      </c>
      <c r="C209" s="303">
        <v>20</v>
      </c>
      <c r="D209" s="304">
        <v>29.9</v>
      </c>
      <c r="E209" s="304"/>
      <c r="F209" s="304">
        <f>C209*D209</f>
        <v>598</v>
      </c>
      <c r="G209" s="302">
        <v>42187</v>
      </c>
      <c r="H209" s="303">
        <v>40</v>
      </c>
      <c r="I209" s="304">
        <v>30.4</v>
      </c>
      <c r="J209" s="304">
        <v>0.02</v>
      </c>
      <c r="K209" s="304">
        <f>H209*I209-J209</f>
        <v>1215.98</v>
      </c>
      <c r="L209" s="305"/>
      <c r="M209" s="304"/>
      <c r="N209" s="304"/>
      <c r="O209" s="306"/>
    </row>
    <row r="210" spans="1:15" ht="18" customHeight="1" x14ac:dyDescent="0.25">
      <c r="A210" s="301"/>
      <c r="B210" s="302">
        <v>42166</v>
      </c>
      <c r="C210" s="303">
        <v>20</v>
      </c>
      <c r="D210" s="304">
        <v>29.3</v>
      </c>
      <c r="E210" s="304"/>
      <c r="F210" s="304">
        <f>C210*D210</f>
        <v>586</v>
      </c>
      <c r="G210" s="305"/>
      <c r="H210" s="303"/>
      <c r="I210" s="304"/>
      <c r="J210" s="303"/>
      <c r="K210" s="304"/>
      <c r="L210" s="305"/>
      <c r="M210" s="304"/>
      <c r="N210" s="304"/>
      <c r="O210" s="306"/>
    </row>
    <row r="211" spans="1:15" ht="18" customHeight="1" x14ac:dyDescent="0.25">
      <c r="A211" s="301"/>
      <c r="B211" s="307"/>
      <c r="C211" s="308">
        <f>SUM(C209:C210)</f>
        <v>40</v>
      </c>
      <c r="D211" s="309"/>
      <c r="E211" s="309"/>
      <c r="F211" s="309">
        <f>SUM(F209:F210)</f>
        <v>1184</v>
      </c>
      <c r="G211" s="310"/>
      <c r="H211" s="308">
        <f>SUM(H209:H210)</f>
        <v>40</v>
      </c>
      <c r="I211" s="309"/>
      <c r="J211" s="309"/>
      <c r="K211" s="309">
        <f>SUM(K209:K210)</f>
        <v>1215.98</v>
      </c>
      <c r="L211" s="310"/>
      <c r="M211" s="309"/>
      <c r="N211" s="309">
        <f>K211-F211</f>
        <v>31.980000000000018</v>
      </c>
      <c r="O211" s="311">
        <f>(N211+M211)/F211</f>
        <v>2.7010135135135151E-2</v>
      </c>
    </row>
    <row r="212" spans="1:15" ht="18" customHeight="1" x14ac:dyDescent="0.25">
      <c r="B212" s="329"/>
      <c r="C212" s="317"/>
      <c r="D212" s="318"/>
      <c r="E212" s="317"/>
      <c r="F212" s="318"/>
      <c r="G212" s="316"/>
      <c r="H212" s="317"/>
      <c r="I212" s="318"/>
      <c r="J212" s="317"/>
      <c r="K212" s="318"/>
      <c r="L212" s="316"/>
      <c r="M212" s="318"/>
      <c r="N212" s="316"/>
      <c r="O212" s="316"/>
    </row>
    <row r="213" spans="1:15" ht="18" customHeight="1" x14ac:dyDescent="0.25">
      <c r="A213" s="301" t="s">
        <v>44</v>
      </c>
      <c r="B213" s="302">
        <v>42185</v>
      </c>
      <c r="C213" s="303">
        <v>10</v>
      </c>
      <c r="D213" s="304">
        <v>71.2</v>
      </c>
      <c r="E213" s="303"/>
      <c r="F213" s="304">
        <f>C213*D213</f>
        <v>712</v>
      </c>
      <c r="G213" s="302">
        <v>42228</v>
      </c>
      <c r="H213" s="303">
        <v>10</v>
      </c>
      <c r="I213" s="304">
        <v>75.5</v>
      </c>
      <c r="J213" s="303">
        <v>0.01</v>
      </c>
      <c r="K213" s="304">
        <f>H213*I213-J213</f>
        <v>754.99</v>
      </c>
      <c r="L213" s="302">
        <v>42277</v>
      </c>
      <c r="M213" s="304">
        <v>2.83</v>
      </c>
      <c r="N213" s="305"/>
      <c r="O213" s="305"/>
    </row>
    <row r="214" spans="1:15" ht="18" customHeight="1" x14ac:dyDescent="0.25">
      <c r="A214" s="301"/>
      <c r="B214" s="302">
        <v>42220</v>
      </c>
      <c r="C214" s="303">
        <v>5</v>
      </c>
      <c r="D214" s="304">
        <v>70.650000000000006</v>
      </c>
      <c r="E214" s="304"/>
      <c r="F214" s="304">
        <f>C214*D214</f>
        <v>353.25</v>
      </c>
      <c r="G214" s="302">
        <v>42283</v>
      </c>
      <c r="H214" s="303">
        <v>5</v>
      </c>
      <c r="I214" s="304">
        <v>71.25</v>
      </c>
      <c r="J214" s="303">
        <v>0.01</v>
      </c>
      <c r="K214" s="304">
        <f>H214*I214-J214</f>
        <v>356.24</v>
      </c>
      <c r="L214" s="305"/>
      <c r="M214" s="303"/>
      <c r="N214" s="305"/>
      <c r="O214" s="305"/>
    </row>
    <row r="215" spans="1:15" ht="18" customHeight="1" x14ac:dyDescent="0.25">
      <c r="A215" s="301"/>
      <c r="B215" s="310"/>
      <c r="C215" s="308">
        <f>SUM(C213:C214)</f>
        <v>15</v>
      </c>
      <c r="D215" s="309"/>
      <c r="E215" s="309"/>
      <c r="F215" s="309">
        <f>SUM(F213:F214)</f>
        <v>1065.25</v>
      </c>
      <c r="G215" s="310"/>
      <c r="H215" s="308">
        <f>SUM(H213:H214)</f>
        <v>15</v>
      </c>
      <c r="I215" s="309"/>
      <c r="J215" s="309"/>
      <c r="K215" s="309">
        <f>SUM(K213:K214)</f>
        <v>1111.23</v>
      </c>
      <c r="L215" s="334"/>
      <c r="M215" s="309">
        <f>SUM(M213:M214)</f>
        <v>2.83</v>
      </c>
      <c r="N215" s="309">
        <f>K215-F215</f>
        <v>45.980000000000018</v>
      </c>
      <c r="O215" s="335">
        <f>(N215+M215)/F215</f>
        <v>4.5820229992959413E-2</v>
      </c>
    </row>
    <row r="216" spans="1:15" ht="18" customHeight="1" x14ac:dyDescent="0.25">
      <c r="B216" s="316"/>
      <c r="C216" s="317"/>
      <c r="D216" s="318"/>
      <c r="E216" s="25"/>
      <c r="F216" s="318"/>
      <c r="G216" s="316"/>
      <c r="H216" s="317"/>
      <c r="I216" s="318"/>
      <c r="K216" s="318"/>
      <c r="L216" s="316"/>
      <c r="M216" s="318"/>
      <c r="N216" s="318"/>
      <c r="O216" s="319"/>
    </row>
    <row r="217" spans="1:15" ht="18" customHeight="1" x14ac:dyDescent="0.25">
      <c r="A217" s="301" t="s">
        <v>0</v>
      </c>
      <c r="B217" s="302">
        <v>42144</v>
      </c>
      <c r="C217" s="303">
        <v>50</v>
      </c>
      <c r="D217" s="304">
        <v>130.16999999999999</v>
      </c>
      <c r="E217" s="305"/>
      <c r="F217" s="304">
        <f>C217*D217</f>
        <v>6508.4999999999991</v>
      </c>
      <c r="G217" s="302">
        <v>42186</v>
      </c>
      <c r="H217" s="303">
        <v>50</v>
      </c>
      <c r="I217" s="304">
        <v>133.5</v>
      </c>
      <c r="J217" s="303">
        <v>0.12</v>
      </c>
      <c r="K217" s="304">
        <f>H217*I217-J217</f>
        <v>6674.88</v>
      </c>
      <c r="L217" s="302">
        <v>42200</v>
      </c>
      <c r="M217" s="304">
        <v>7.5</v>
      </c>
      <c r="N217" s="303"/>
      <c r="O217" s="303"/>
    </row>
    <row r="218" spans="1:15" ht="18" customHeight="1" x14ac:dyDescent="0.25">
      <c r="A218" s="301"/>
      <c r="B218" s="307"/>
      <c r="C218" s="308">
        <f>SUM(C217)</f>
        <v>50</v>
      </c>
      <c r="D218" s="309"/>
      <c r="E218" s="310"/>
      <c r="F218" s="309">
        <f>SUM(F217)</f>
        <v>6508.4999999999991</v>
      </c>
      <c r="G218" s="310"/>
      <c r="H218" s="308">
        <f>SUM(H217)</f>
        <v>50</v>
      </c>
      <c r="I218" s="309"/>
      <c r="J218" s="308"/>
      <c r="K218" s="309">
        <f>SUM(K217)</f>
        <v>6674.88</v>
      </c>
      <c r="L218" s="310"/>
      <c r="M218" s="309">
        <f>SUM(M217)</f>
        <v>7.5</v>
      </c>
      <c r="N218" s="309">
        <f>K218-F218</f>
        <v>166.38000000000102</v>
      </c>
      <c r="O218" s="311">
        <f>(N218+M218)/F218</f>
        <v>2.6715833141276953E-2</v>
      </c>
    </row>
    <row r="219" spans="1:15" ht="18" customHeight="1" x14ac:dyDescent="0.25">
      <c r="B219" s="316"/>
      <c r="C219" s="317"/>
      <c r="D219" s="318"/>
      <c r="E219" s="318"/>
      <c r="F219" s="318"/>
      <c r="G219" s="316"/>
      <c r="H219" s="317"/>
      <c r="I219" s="318"/>
      <c r="J219" s="318"/>
      <c r="K219" s="318"/>
      <c r="L219" s="316"/>
      <c r="M219" s="318"/>
      <c r="N219" s="318"/>
      <c r="O219" s="319"/>
    </row>
    <row r="220" spans="1:15" ht="18" customHeight="1" x14ac:dyDescent="0.25">
      <c r="A220" s="301" t="s">
        <v>49</v>
      </c>
      <c r="B220" s="302">
        <v>42186</v>
      </c>
      <c r="C220" s="303">
        <v>100</v>
      </c>
      <c r="D220" s="304">
        <v>27.5</v>
      </c>
      <c r="E220" s="304"/>
      <c r="F220" s="304">
        <f>C220*D220</f>
        <v>2750</v>
      </c>
      <c r="G220" s="302">
        <v>42219</v>
      </c>
      <c r="H220" s="303">
        <v>100</v>
      </c>
      <c r="I220" s="304">
        <v>29.5</v>
      </c>
      <c r="J220" s="303">
        <v>0.05</v>
      </c>
      <c r="K220" s="304">
        <f>H220*I220-J220</f>
        <v>2949.95</v>
      </c>
      <c r="L220" s="302">
        <v>42216</v>
      </c>
      <c r="M220" s="304">
        <v>11</v>
      </c>
      <c r="N220" s="304"/>
      <c r="O220" s="306"/>
    </row>
    <row r="221" spans="1:15" ht="18" customHeight="1" x14ac:dyDescent="0.25">
      <c r="A221" s="301"/>
      <c r="B221" s="307"/>
      <c r="C221" s="308">
        <f>SUM(C220)</f>
        <v>100</v>
      </c>
      <c r="D221" s="309"/>
      <c r="E221" s="310"/>
      <c r="F221" s="309">
        <f>SUM(F220)</f>
        <v>2750</v>
      </c>
      <c r="G221" s="310"/>
      <c r="H221" s="308">
        <f>SUM(H220)</f>
        <v>100</v>
      </c>
      <c r="I221" s="309"/>
      <c r="J221" s="309"/>
      <c r="K221" s="309">
        <f>SUM(K220)</f>
        <v>2949.95</v>
      </c>
      <c r="L221" s="310"/>
      <c r="M221" s="309">
        <v>11</v>
      </c>
      <c r="N221" s="309">
        <f>K221-F221</f>
        <v>199.94999999999982</v>
      </c>
      <c r="O221" s="311">
        <f>(N221+M221)/F221</f>
        <v>7.6709090909090838E-2</v>
      </c>
    </row>
    <row r="222" spans="1:15" ht="18" customHeight="1" x14ac:dyDescent="0.25">
      <c r="B222" s="316"/>
      <c r="C222" s="317"/>
      <c r="D222" s="318"/>
      <c r="E222" s="25"/>
      <c r="F222" s="318"/>
      <c r="G222" s="316"/>
      <c r="H222" s="317"/>
      <c r="I222" s="318"/>
      <c r="K222" s="318"/>
      <c r="L222" s="316"/>
      <c r="M222" s="318"/>
      <c r="N222" s="318"/>
      <c r="O222" s="317"/>
    </row>
    <row r="223" spans="1:15" ht="18" customHeight="1" x14ac:dyDescent="0.25">
      <c r="A223" s="301" t="s">
        <v>13</v>
      </c>
      <c r="B223" s="302">
        <v>42151</v>
      </c>
      <c r="C223" s="303">
        <v>5</v>
      </c>
      <c r="D223" s="304">
        <v>54.2</v>
      </c>
      <c r="E223" s="305"/>
      <c r="F223" s="304">
        <f t="shared" ref="F223:F229" si="12">C223*D223</f>
        <v>271</v>
      </c>
      <c r="G223" s="302">
        <v>42181</v>
      </c>
      <c r="H223" s="303">
        <v>25</v>
      </c>
      <c r="I223" s="304">
        <v>55.4</v>
      </c>
      <c r="J223" s="303">
        <v>0.03</v>
      </c>
      <c r="K223" s="304">
        <f>H223*I223-J223</f>
        <v>1384.97</v>
      </c>
      <c r="L223" s="305"/>
      <c r="M223" s="304"/>
      <c r="N223" s="304"/>
      <c r="O223" s="306"/>
    </row>
    <row r="224" spans="1:15" ht="18" customHeight="1" x14ac:dyDescent="0.25">
      <c r="A224" s="301"/>
      <c r="B224" s="302">
        <v>42152</v>
      </c>
      <c r="C224" s="303">
        <v>20</v>
      </c>
      <c r="D224" s="304">
        <v>53.35</v>
      </c>
      <c r="E224" s="305"/>
      <c r="F224" s="304">
        <f t="shared" si="12"/>
        <v>1067</v>
      </c>
      <c r="G224" s="302">
        <v>42200</v>
      </c>
      <c r="H224" s="303">
        <v>225</v>
      </c>
      <c r="I224" s="304">
        <v>55.56</v>
      </c>
      <c r="J224" s="303">
        <v>0.23</v>
      </c>
      <c r="K224" s="304">
        <f>H224*I224-J224</f>
        <v>12500.77</v>
      </c>
      <c r="L224" s="305"/>
      <c r="M224" s="304"/>
      <c r="N224" s="304"/>
      <c r="O224" s="306"/>
    </row>
    <row r="225" spans="1:15" ht="18" customHeight="1" x14ac:dyDescent="0.25">
      <c r="A225" s="301"/>
      <c r="B225" s="302">
        <v>42153</v>
      </c>
      <c r="C225" s="303">
        <v>25</v>
      </c>
      <c r="D225" s="304">
        <v>52.35</v>
      </c>
      <c r="E225" s="305"/>
      <c r="F225" s="304">
        <f t="shared" si="12"/>
        <v>1308.75</v>
      </c>
      <c r="G225" s="305"/>
      <c r="H225" s="303"/>
      <c r="I225" s="304"/>
      <c r="J225" s="303"/>
      <c r="K225" s="304"/>
      <c r="L225" s="305"/>
      <c r="M225" s="304"/>
      <c r="N225" s="304"/>
      <c r="O225" s="306"/>
    </row>
    <row r="226" spans="1:15" ht="18" customHeight="1" x14ac:dyDescent="0.25">
      <c r="A226" s="301"/>
      <c r="B226" s="302">
        <v>42153</v>
      </c>
      <c r="C226" s="303">
        <v>25</v>
      </c>
      <c r="D226" s="304">
        <v>51.75</v>
      </c>
      <c r="E226" s="305"/>
      <c r="F226" s="304">
        <f t="shared" si="12"/>
        <v>1293.75</v>
      </c>
      <c r="G226" s="305"/>
      <c r="H226" s="303"/>
      <c r="I226" s="304"/>
      <c r="J226" s="303"/>
      <c r="K226" s="304"/>
      <c r="L226" s="305"/>
      <c r="M226" s="304"/>
      <c r="N226" s="304"/>
      <c r="O226" s="306"/>
    </row>
    <row r="227" spans="1:15" ht="18" customHeight="1" x14ac:dyDescent="0.25">
      <c r="A227" s="301"/>
      <c r="B227" s="302">
        <v>42166</v>
      </c>
      <c r="C227" s="303">
        <v>25</v>
      </c>
      <c r="D227" s="304">
        <v>52.1</v>
      </c>
      <c r="E227" s="305"/>
      <c r="F227" s="304">
        <f t="shared" si="12"/>
        <v>1302.5</v>
      </c>
      <c r="G227" s="305"/>
      <c r="H227" s="303"/>
      <c r="I227" s="304"/>
      <c r="J227" s="303"/>
      <c r="K227" s="304"/>
      <c r="L227" s="305"/>
      <c r="M227" s="304"/>
      <c r="N227" s="304"/>
      <c r="O227" s="306"/>
    </row>
    <row r="228" spans="1:15" ht="18" customHeight="1" x14ac:dyDescent="0.25">
      <c r="A228" s="301"/>
      <c r="B228" s="302">
        <v>42166</v>
      </c>
      <c r="C228" s="303">
        <v>50</v>
      </c>
      <c r="D228" s="304">
        <v>51.5</v>
      </c>
      <c r="E228" s="305"/>
      <c r="F228" s="304">
        <f t="shared" si="12"/>
        <v>2575</v>
      </c>
      <c r="G228" s="305"/>
      <c r="H228" s="303"/>
      <c r="I228" s="304"/>
      <c r="J228" s="303"/>
      <c r="K228" s="304"/>
      <c r="L228" s="305"/>
      <c r="M228" s="304"/>
      <c r="N228" s="304"/>
      <c r="O228" s="306"/>
    </row>
    <row r="229" spans="1:15" ht="18" customHeight="1" x14ac:dyDescent="0.25">
      <c r="A229" s="301"/>
      <c r="B229" s="302">
        <v>42166</v>
      </c>
      <c r="C229" s="303">
        <v>100</v>
      </c>
      <c r="D229" s="304">
        <v>51.35</v>
      </c>
      <c r="E229" s="305"/>
      <c r="F229" s="304">
        <f t="shared" si="12"/>
        <v>5135</v>
      </c>
      <c r="G229" s="305"/>
      <c r="H229" s="303"/>
      <c r="I229" s="304"/>
      <c r="J229" s="303"/>
      <c r="K229" s="304"/>
      <c r="L229" s="305"/>
      <c r="M229" s="304"/>
      <c r="N229" s="304"/>
      <c r="O229" s="306"/>
    </row>
    <row r="230" spans="1:15" ht="18" customHeight="1" x14ac:dyDescent="0.25">
      <c r="A230" s="301"/>
      <c r="B230" s="307"/>
      <c r="C230" s="308">
        <f>SUM(C223:C229)</f>
        <v>250</v>
      </c>
      <c r="D230" s="309"/>
      <c r="E230" s="310"/>
      <c r="F230" s="309">
        <f>SUM(F223:F229)</f>
        <v>12953</v>
      </c>
      <c r="G230" s="310"/>
      <c r="H230" s="308">
        <f>SUM(H223:H229)</f>
        <v>250</v>
      </c>
      <c r="I230" s="309"/>
      <c r="J230" s="308"/>
      <c r="K230" s="309">
        <f>SUM(K223:K229)</f>
        <v>13885.74</v>
      </c>
      <c r="L230" s="310"/>
      <c r="M230" s="309"/>
      <c r="N230" s="309">
        <f>K230-F230</f>
        <v>932.73999999999978</v>
      </c>
      <c r="O230" s="311">
        <f>(N230+M230)/F230</f>
        <v>7.2009573071875221E-2</v>
      </c>
    </row>
    <row r="231" spans="1:15" ht="18" customHeight="1" x14ac:dyDescent="0.25">
      <c r="B231" s="316"/>
      <c r="C231" s="317"/>
      <c r="D231" s="318"/>
      <c r="E231" s="318"/>
      <c r="F231" s="318"/>
      <c r="G231" s="316"/>
      <c r="H231" s="317"/>
      <c r="I231" s="318"/>
      <c r="J231" s="318"/>
      <c r="K231" s="318"/>
      <c r="L231" s="316"/>
      <c r="M231" s="318"/>
      <c r="N231" s="318"/>
      <c r="O231" s="319"/>
    </row>
    <row r="232" spans="1:15" ht="18" customHeight="1" x14ac:dyDescent="0.25">
      <c r="A232" s="301" t="s">
        <v>20</v>
      </c>
      <c r="B232" s="302">
        <v>42153</v>
      </c>
      <c r="C232" s="303">
        <v>50</v>
      </c>
      <c r="D232" s="304">
        <v>20.99</v>
      </c>
      <c r="E232" s="305"/>
      <c r="F232" s="304">
        <f>C232*D232</f>
        <v>1049.5</v>
      </c>
      <c r="G232" s="302">
        <v>42186</v>
      </c>
      <c r="H232" s="303">
        <v>297</v>
      </c>
      <c r="I232" s="304">
        <v>19.399999999999999</v>
      </c>
      <c r="J232" s="304">
        <v>0.11</v>
      </c>
      <c r="K232" s="304">
        <f>H232*I232-J232</f>
        <v>5761.69</v>
      </c>
      <c r="L232" s="305"/>
      <c r="M232" s="304"/>
      <c r="N232" s="304"/>
      <c r="O232" s="306"/>
    </row>
    <row r="233" spans="1:15" ht="18" customHeight="1" x14ac:dyDescent="0.25">
      <c r="A233" s="301"/>
      <c r="B233" s="302">
        <v>42185</v>
      </c>
      <c r="C233" s="303">
        <v>100</v>
      </c>
      <c r="D233" s="304">
        <v>20.6</v>
      </c>
      <c r="E233" s="304"/>
      <c r="F233" s="304">
        <f>C233*D233</f>
        <v>2060</v>
      </c>
      <c r="G233" s="302">
        <v>42186</v>
      </c>
      <c r="H233" s="303">
        <v>300</v>
      </c>
      <c r="I233" s="304">
        <v>20.28</v>
      </c>
      <c r="J233" s="304">
        <v>0.11</v>
      </c>
      <c r="K233" s="304">
        <f>H233*I233-J233</f>
        <v>6083.89</v>
      </c>
      <c r="L233" s="305"/>
      <c r="M233" s="304"/>
      <c r="N233" s="304"/>
      <c r="O233" s="306"/>
    </row>
    <row r="234" spans="1:15" ht="18" customHeight="1" x14ac:dyDescent="0.25">
      <c r="A234" s="301"/>
      <c r="B234" s="302">
        <v>42186</v>
      </c>
      <c r="C234" s="303">
        <v>150</v>
      </c>
      <c r="D234" s="304">
        <v>19.95</v>
      </c>
      <c r="E234" s="304"/>
      <c r="F234" s="304">
        <f>C234*D234</f>
        <v>2992.5</v>
      </c>
      <c r="G234" s="302">
        <v>42186</v>
      </c>
      <c r="H234" s="303">
        <v>300</v>
      </c>
      <c r="I234" s="304">
        <v>19.75</v>
      </c>
      <c r="J234" s="304">
        <v>0.11</v>
      </c>
      <c r="K234" s="304">
        <f>H234*I234-J234</f>
        <v>5924.89</v>
      </c>
      <c r="L234" s="305"/>
      <c r="M234" s="304"/>
      <c r="N234" s="304"/>
      <c r="O234" s="306"/>
    </row>
    <row r="235" spans="1:15" ht="18" customHeight="1" x14ac:dyDescent="0.25">
      <c r="A235" s="301"/>
      <c r="B235" s="302">
        <v>42186</v>
      </c>
      <c r="C235" s="303">
        <v>300</v>
      </c>
      <c r="D235" s="304">
        <v>19.7</v>
      </c>
      <c r="E235" s="305"/>
      <c r="F235" s="304">
        <f>C235*D235</f>
        <v>5910</v>
      </c>
      <c r="G235" s="305"/>
      <c r="H235" s="303"/>
      <c r="I235" s="304"/>
      <c r="J235" s="304"/>
      <c r="K235" s="304"/>
      <c r="L235" s="305"/>
      <c r="M235" s="304"/>
      <c r="N235" s="304"/>
      <c r="O235" s="306"/>
    </row>
    <row r="236" spans="1:15" ht="18" customHeight="1" x14ac:dyDescent="0.25">
      <c r="A236" s="301"/>
      <c r="B236" s="302">
        <v>42186</v>
      </c>
      <c r="C236" s="303">
        <v>297</v>
      </c>
      <c r="D236" s="304">
        <v>19.13</v>
      </c>
      <c r="E236" s="304"/>
      <c r="F236" s="304">
        <f>C236*D236</f>
        <v>5681.61</v>
      </c>
      <c r="G236" s="305"/>
      <c r="H236" s="303"/>
      <c r="I236" s="304"/>
      <c r="J236" s="304"/>
      <c r="K236" s="304"/>
      <c r="L236" s="305"/>
      <c r="M236" s="304"/>
      <c r="N236" s="304"/>
      <c r="O236" s="306"/>
    </row>
    <row r="237" spans="1:15" ht="18" customHeight="1" x14ac:dyDescent="0.25">
      <c r="A237" s="301"/>
      <c r="B237" s="307"/>
      <c r="C237" s="308">
        <f>SUM(C232:C236)</f>
        <v>897</v>
      </c>
      <c r="D237" s="309"/>
      <c r="E237" s="309"/>
      <c r="F237" s="309">
        <f>SUM(F232:F236)</f>
        <v>17693.61</v>
      </c>
      <c r="G237" s="310"/>
      <c r="H237" s="308">
        <f>SUM(H232:H236)</f>
        <v>897</v>
      </c>
      <c r="I237" s="309"/>
      <c r="J237" s="309"/>
      <c r="K237" s="309">
        <f>SUM(K232:K236)</f>
        <v>17770.47</v>
      </c>
      <c r="L237" s="310"/>
      <c r="M237" s="309"/>
      <c r="N237" s="309">
        <f>K237-F237</f>
        <v>76.860000000000582</v>
      </c>
      <c r="O237" s="311">
        <f>(N237+M237)/F237</f>
        <v>4.3439411177255841E-3</v>
      </c>
    </row>
    <row r="238" spans="1:15" ht="18" customHeight="1" x14ac:dyDescent="0.25">
      <c r="B238" s="316"/>
      <c r="C238" s="317"/>
      <c r="D238" s="318"/>
      <c r="E238" s="25"/>
      <c r="F238" s="318"/>
      <c r="G238" s="316"/>
      <c r="H238" s="317"/>
      <c r="I238" s="318"/>
      <c r="K238" s="318"/>
      <c r="L238" s="316"/>
      <c r="M238" s="318"/>
      <c r="N238" s="318"/>
      <c r="O238" s="319"/>
    </row>
    <row r="239" spans="1:15" ht="18" customHeight="1" x14ac:dyDescent="0.25">
      <c r="A239" s="301" t="s">
        <v>31</v>
      </c>
      <c r="B239" s="302">
        <v>42165</v>
      </c>
      <c r="C239" s="303">
        <v>1</v>
      </c>
      <c r="D239" s="304">
        <v>73.03</v>
      </c>
      <c r="E239" s="305"/>
      <c r="F239" s="304">
        <f>C239*D239</f>
        <v>73.03</v>
      </c>
      <c r="G239" s="302">
        <v>42195</v>
      </c>
      <c r="H239" s="303">
        <v>1</v>
      </c>
      <c r="I239" s="304">
        <v>73.5</v>
      </c>
      <c r="J239" s="303">
        <v>0.01</v>
      </c>
      <c r="K239" s="304">
        <f>H239*I239-J239</f>
        <v>73.489999999999995</v>
      </c>
      <c r="L239" s="305"/>
      <c r="M239" s="304"/>
      <c r="N239" s="304"/>
      <c r="O239" s="306"/>
    </row>
    <row r="240" spans="1:15" ht="18" customHeight="1" x14ac:dyDescent="0.25">
      <c r="A240" s="301"/>
      <c r="B240" s="307"/>
      <c r="C240" s="308">
        <f>SUM(C239)</f>
        <v>1</v>
      </c>
      <c r="D240" s="309"/>
      <c r="E240" s="310"/>
      <c r="F240" s="309">
        <f>SUM(F239)</f>
        <v>73.03</v>
      </c>
      <c r="G240" s="310"/>
      <c r="H240" s="308">
        <f>SUM(H239)</f>
        <v>1</v>
      </c>
      <c r="I240" s="309"/>
      <c r="J240" s="308"/>
      <c r="K240" s="309">
        <f>SUM(K239)</f>
        <v>73.489999999999995</v>
      </c>
      <c r="L240" s="310"/>
      <c r="M240" s="309"/>
      <c r="N240" s="309">
        <f>K240-F240</f>
        <v>0.45999999999999375</v>
      </c>
      <c r="O240" s="311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9" t="s">
        <v>260</v>
      </c>
      <c r="R242" s="468"/>
      <c r="S242" s="433" t="s">
        <v>243</v>
      </c>
      <c r="T242" s="431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8">
        <v>42449</v>
      </c>
      <c r="R243" s="468">
        <v>0.02</v>
      </c>
      <c r="S243" s="431">
        <v>2015</v>
      </c>
      <c r="T243" s="431">
        <v>1003.28</v>
      </c>
    </row>
    <row r="244" spans="1:21" ht="18" customHeight="1" x14ac:dyDescent="0.25">
      <c r="M244" s="26" t="s">
        <v>156</v>
      </c>
      <c r="N244" s="431">
        <f>T258</f>
        <v>1006.0400000000001</v>
      </c>
      <c r="Q244" s="368">
        <v>42451</v>
      </c>
      <c r="R244" s="468">
        <v>0.01</v>
      </c>
      <c r="S244" s="502">
        <v>42278</v>
      </c>
      <c r="T244" s="431">
        <v>0.19</v>
      </c>
    </row>
    <row r="245" spans="1:21" ht="18" customHeight="1" x14ac:dyDescent="0.25">
      <c r="M245" s="26" t="s">
        <v>132</v>
      </c>
      <c r="N245" s="145">
        <f>SUM(ACTIVE!L:L)</f>
        <v>-17878.311999999012</v>
      </c>
      <c r="Q245" s="522"/>
      <c r="R245" s="468"/>
      <c r="S245" s="502">
        <v>42309</v>
      </c>
      <c r="T245" s="431">
        <v>0.26</v>
      </c>
    </row>
    <row r="246" spans="1:21" ht="18" customHeight="1" x14ac:dyDescent="0.25">
      <c r="Q246" s="367"/>
      <c r="R246" s="468"/>
      <c r="S246" s="502">
        <v>42339</v>
      </c>
      <c r="T246" s="431">
        <v>0.23</v>
      </c>
    </row>
    <row r="247" spans="1:21" ht="18" customHeight="1" x14ac:dyDescent="0.25">
      <c r="M247" s="26" t="s">
        <v>147</v>
      </c>
      <c r="N247" s="145">
        <f>SUM(N242:N245)</f>
        <v>-19991.721999998947</v>
      </c>
      <c r="Q247" s="367"/>
      <c r="R247" s="468"/>
      <c r="S247" s="502">
        <v>42370</v>
      </c>
      <c r="T247" s="431">
        <v>0.08</v>
      </c>
    </row>
    <row r="248" spans="1:21" ht="18" customHeight="1" x14ac:dyDescent="0.25">
      <c r="M248" s="26" t="s">
        <v>148</v>
      </c>
      <c r="N248" s="145">
        <f>Balance!W2</f>
        <v>-19991.75</v>
      </c>
      <c r="Q248" s="367"/>
      <c r="R248" s="468"/>
      <c r="S248" s="502">
        <v>42401</v>
      </c>
      <c r="T248" s="431">
        <v>0.57999999999999996</v>
      </c>
    </row>
    <row r="249" spans="1:21" ht="18" customHeight="1" x14ac:dyDescent="0.25">
      <c r="M249" s="26" t="s">
        <v>201</v>
      </c>
      <c r="N249" s="468">
        <f>R258</f>
        <v>0.03</v>
      </c>
      <c r="O249" s="354"/>
      <c r="Q249" s="367"/>
      <c r="R249" s="468"/>
      <c r="S249" s="502">
        <v>42430</v>
      </c>
      <c r="T249" s="431">
        <v>0.68</v>
      </c>
    </row>
    <row r="250" spans="1:21" ht="18" customHeight="1" x14ac:dyDescent="0.25">
      <c r="Q250" s="367"/>
      <c r="R250" s="468"/>
      <c r="S250" s="502">
        <v>42461</v>
      </c>
      <c r="T250" s="431">
        <v>0.37</v>
      </c>
    </row>
    <row r="251" spans="1:21" ht="18" customHeight="1" x14ac:dyDescent="0.25">
      <c r="M251" s="26" t="s">
        <v>134</v>
      </c>
      <c r="N251" s="239">
        <f>N247-N249-N248</f>
        <v>-1.9999989453935996E-3</v>
      </c>
      <c r="Q251" s="367"/>
      <c r="R251" s="468"/>
      <c r="S251" s="502">
        <v>42491</v>
      </c>
      <c r="T251" s="431">
        <v>0.13</v>
      </c>
    </row>
    <row r="252" spans="1:21" ht="18" customHeight="1" x14ac:dyDescent="0.25">
      <c r="Q252" s="367"/>
      <c r="R252" s="468"/>
      <c r="S252" s="502">
        <v>42552</v>
      </c>
      <c r="T252" s="431">
        <v>0.64</v>
      </c>
    </row>
    <row r="253" spans="1:21" ht="18" customHeight="1" x14ac:dyDescent="0.25">
      <c r="Q253" s="367"/>
      <c r="R253" s="468"/>
      <c r="S253" s="502">
        <v>42580</v>
      </c>
      <c r="T253" s="431">
        <v>-0.66</v>
      </c>
      <c r="U253" s="25" t="s">
        <v>328</v>
      </c>
    </row>
    <row r="254" spans="1:21" ht="18" customHeight="1" x14ac:dyDescent="0.25">
      <c r="Q254" s="367"/>
      <c r="R254" s="468"/>
      <c r="S254" s="502">
        <v>42582</v>
      </c>
      <c r="T254" s="431">
        <v>0.26</v>
      </c>
    </row>
    <row r="255" spans="1:21" ht="18" customHeight="1" x14ac:dyDescent="0.25">
      <c r="Q255" s="367"/>
      <c r="R255" s="468"/>
      <c r="S255" s="432"/>
      <c r="T255" s="431"/>
    </row>
    <row r="256" spans="1:21" ht="18" customHeight="1" x14ac:dyDescent="0.25">
      <c r="Q256" s="367"/>
      <c r="R256" s="468"/>
      <c r="S256" s="432"/>
      <c r="T256" s="431"/>
    </row>
    <row r="257" spans="17:20" ht="18" customHeight="1" x14ac:dyDescent="0.25">
      <c r="Q257" s="367"/>
      <c r="R257" s="468"/>
      <c r="S257" s="432"/>
      <c r="T257" s="431"/>
    </row>
    <row r="258" spans="17:20" ht="18" customHeight="1" x14ac:dyDescent="0.25">
      <c r="Q258" s="367" t="s">
        <v>81</v>
      </c>
      <c r="R258" s="468">
        <f>SUM(R243:R257)</f>
        <v>0.03</v>
      </c>
      <c r="S258" s="432" t="s">
        <v>81</v>
      </c>
      <c r="T258" s="431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6" priority="5">
      <formula>#REF!&gt;0</formula>
    </cfRule>
    <cfRule type="expression" dxfId="69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zoomScaleNormal="100" workbookViewId="0">
      <pane ySplit="1" topLeftCell="A14" activePane="bottomLeft" state="frozen"/>
      <selection pane="bottomLeft" activeCell="S16" sqref="S16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9" bestFit="1" customWidth="1"/>
    <col min="7" max="7" width="10.7109375" style="249" bestFit="1" customWidth="1"/>
    <col min="8" max="8" width="12.140625" style="50" customWidth="1"/>
    <col min="9" max="9" width="10.7109375" style="49" bestFit="1" customWidth="1"/>
    <col min="10" max="10" width="14.140625" style="381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6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8" t="s">
        <v>146</v>
      </c>
      <c r="G1" s="248" t="s">
        <v>73</v>
      </c>
      <c r="H1" s="57" t="s">
        <v>57</v>
      </c>
      <c r="I1" s="58" t="s">
        <v>74</v>
      </c>
      <c r="J1" s="379" t="s">
        <v>190</v>
      </c>
      <c r="K1" s="365" t="s">
        <v>223</v>
      </c>
      <c r="L1" s="58" t="s">
        <v>187</v>
      </c>
      <c r="M1" s="58" t="s">
        <v>281</v>
      </c>
      <c r="N1" s="58" t="s">
        <v>92</v>
      </c>
      <c r="O1" s="365" t="s">
        <v>222</v>
      </c>
    </row>
    <row r="2" spans="1:19" ht="21.95" customHeight="1" x14ac:dyDescent="0.25">
      <c r="A2" s="52"/>
      <c r="B2" s="52"/>
      <c r="C2" s="52"/>
      <c r="E2" s="23" t="s">
        <v>10</v>
      </c>
      <c r="F2" s="249">
        <v>10.039999999999999</v>
      </c>
      <c r="G2" s="249">
        <v>10.039999999999999</v>
      </c>
      <c r="H2" s="337">
        <v>0</v>
      </c>
      <c r="I2" s="49">
        <v>0</v>
      </c>
      <c r="J2" s="380">
        <v>0</v>
      </c>
      <c r="K2" s="366">
        <v>0</v>
      </c>
      <c r="L2" s="380">
        <v>1128.3800000000047</v>
      </c>
      <c r="M2">
        <v>0</v>
      </c>
      <c r="N2" s="377" t="str">
        <f>HYPERLINK("http://finance.yahoo.com/q?s=" &amp; E2, "Link")</f>
        <v>Link</v>
      </c>
      <c r="O2" s="376">
        <v>1.17E-2</v>
      </c>
      <c r="Q2" s="49"/>
      <c r="S2" s="49"/>
    </row>
    <row r="3" spans="1:19" ht="21.95" customHeight="1" x14ac:dyDescent="0.25">
      <c r="A3" s="51"/>
      <c r="B3" s="51"/>
      <c r="C3" s="52"/>
      <c r="E3" s="23" t="s">
        <v>218</v>
      </c>
      <c r="F3" s="249">
        <v>108.03</v>
      </c>
      <c r="G3" s="249">
        <v>108.03</v>
      </c>
      <c r="H3" s="337">
        <v>0</v>
      </c>
      <c r="I3" s="49">
        <v>0</v>
      </c>
      <c r="J3" s="380">
        <v>0</v>
      </c>
      <c r="K3" s="366">
        <v>0</v>
      </c>
      <c r="L3" s="380">
        <v>363.09999999999945</v>
      </c>
      <c r="M3">
        <v>0</v>
      </c>
      <c r="N3" s="377" t="str">
        <f>HYPERLINK("http://finance.yahoo.com/q?s=" &amp; E3, "Link")</f>
        <v>Link</v>
      </c>
      <c r="O3" s="376">
        <v>2.0799999999999999E-2</v>
      </c>
      <c r="Q3" s="152"/>
      <c r="R3" s="49"/>
    </row>
    <row r="4" spans="1:19" ht="21.95" customHeight="1" x14ac:dyDescent="0.25">
      <c r="A4" s="51"/>
      <c r="B4" s="51"/>
      <c r="C4" s="52"/>
      <c r="E4" s="23" t="s">
        <v>318</v>
      </c>
      <c r="F4" s="249">
        <v>53.98</v>
      </c>
      <c r="G4" s="249">
        <v>50.396500000000003</v>
      </c>
      <c r="H4" s="337">
        <v>20</v>
      </c>
      <c r="I4" s="49">
        <v>1007.9300000000001</v>
      </c>
      <c r="J4" s="380">
        <v>71.669999999999845</v>
      </c>
      <c r="K4" s="366">
        <v>7.1106128401773799E-2</v>
      </c>
      <c r="L4" s="380">
        <v>71.669999999999845</v>
      </c>
      <c r="M4" s="30">
        <v>42609</v>
      </c>
      <c r="N4" s="377" t="str">
        <f>HYPERLINK("http://finance.yahoo.com/q?s=" &amp; E4, "Link")</f>
        <v>Link</v>
      </c>
      <c r="O4" s="376">
        <v>0</v>
      </c>
    </row>
    <row r="5" spans="1:19" ht="21.95" customHeight="1" x14ac:dyDescent="0.25">
      <c r="A5" s="51"/>
      <c r="B5" s="51"/>
      <c r="C5" s="52"/>
      <c r="E5" s="23" t="s">
        <v>45</v>
      </c>
      <c r="F5" s="249">
        <v>68.260000000000005</v>
      </c>
      <c r="G5" s="249">
        <v>68.260000000000005</v>
      </c>
      <c r="H5" s="337">
        <v>0</v>
      </c>
      <c r="I5" s="49">
        <v>0</v>
      </c>
      <c r="J5" s="380">
        <v>0</v>
      </c>
      <c r="K5" s="366">
        <v>0</v>
      </c>
      <c r="L5" s="380">
        <v>523.61999999999898</v>
      </c>
      <c r="M5">
        <v>0</v>
      </c>
      <c r="N5" s="377" t="str">
        <f>HYPERLINK("http://finance.yahoo.com/q?s=" &amp; E5, "Link")</f>
        <v>Link</v>
      </c>
      <c r="O5" s="376">
        <v>1.9099999999999999E-2</v>
      </c>
      <c r="Q5" s="152"/>
    </row>
    <row r="6" spans="1:19" ht="21.95" customHeight="1" x14ac:dyDescent="0.25">
      <c r="A6" s="52"/>
      <c r="B6" s="159"/>
      <c r="C6" s="338"/>
      <c r="E6" s="23" t="s">
        <v>33</v>
      </c>
      <c r="F6" s="249">
        <v>175.3</v>
      </c>
      <c r="G6" s="249">
        <v>175.3</v>
      </c>
      <c r="H6" s="50">
        <v>0</v>
      </c>
      <c r="I6" s="49">
        <v>0</v>
      </c>
      <c r="J6" s="380">
        <v>0</v>
      </c>
      <c r="K6" s="366">
        <v>0</v>
      </c>
      <c r="L6" s="49">
        <v>780.73999999999796</v>
      </c>
      <c r="M6">
        <v>0</v>
      </c>
      <c r="N6" s="377" t="str">
        <f>HYPERLINK("http://finance.yahoo.com/q?s=" &amp; E6, "Link")</f>
        <v>Link</v>
      </c>
      <c r="O6" s="366">
        <v>1.14E-2</v>
      </c>
      <c r="Q6" s="152"/>
      <c r="R6" s="49"/>
    </row>
    <row r="7" spans="1:19" ht="21.95" customHeight="1" x14ac:dyDescent="0.25">
      <c r="A7" s="51"/>
      <c r="B7" s="51"/>
      <c r="C7" s="52"/>
      <c r="E7" s="23" t="s">
        <v>264</v>
      </c>
      <c r="F7" s="249">
        <v>65.16</v>
      </c>
      <c r="G7" s="249">
        <v>65.16</v>
      </c>
      <c r="H7" s="337">
        <v>0</v>
      </c>
      <c r="I7" s="49">
        <v>0</v>
      </c>
      <c r="J7" s="380">
        <v>0</v>
      </c>
      <c r="K7" s="366">
        <v>0</v>
      </c>
      <c r="L7" s="380">
        <v>231.53999999999996</v>
      </c>
      <c r="M7">
        <v>0</v>
      </c>
      <c r="N7" s="377" t="str">
        <f>HYPERLINK("http://finance.yahoo.com/q?s=" &amp; E7, "Link")</f>
        <v>Link</v>
      </c>
      <c r="O7" s="376">
        <v>1.77E-2</v>
      </c>
      <c r="Q7" s="152"/>
    </row>
    <row r="8" spans="1:19" ht="21.95" customHeight="1" x14ac:dyDescent="0.25">
      <c r="A8" s="61"/>
      <c r="B8" s="62"/>
      <c r="C8" s="61"/>
      <c r="E8" s="23" t="s">
        <v>62</v>
      </c>
      <c r="F8" s="249">
        <v>309.33</v>
      </c>
      <c r="G8" s="249">
        <v>309.33</v>
      </c>
      <c r="H8" s="337">
        <v>0</v>
      </c>
      <c r="I8" s="49">
        <v>0</v>
      </c>
      <c r="J8" s="380">
        <v>0</v>
      </c>
      <c r="K8" s="366">
        <v>0</v>
      </c>
      <c r="L8" s="380">
        <v>1659.3600000000079</v>
      </c>
      <c r="M8">
        <v>0</v>
      </c>
      <c r="N8" s="377" t="str">
        <f>HYPERLINK("http://finance.yahoo.com/q?s=" &amp; E8, "Link")</f>
        <v>Link</v>
      </c>
      <c r="O8" s="376">
        <v>0</v>
      </c>
      <c r="R8" s="49"/>
    </row>
    <row r="9" spans="1:19" ht="21.95" customHeight="1" x14ac:dyDescent="0.25">
      <c r="A9" s="51"/>
      <c r="B9" s="51"/>
      <c r="C9" s="52"/>
      <c r="E9" s="23" t="s">
        <v>52</v>
      </c>
      <c r="F9" s="249">
        <v>81.08</v>
      </c>
      <c r="G9" s="249">
        <v>81.08</v>
      </c>
      <c r="H9" s="337">
        <v>0</v>
      </c>
      <c r="I9" s="49">
        <v>0</v>
      </c>
      <c r="J9" s="380">
        <v>0</v>
      </c>
      <c r="K9" s="366">
        <v>0</v>
      </c>
      <c r="L9" s="380">
        <v>490.94999999999891</v>
      </c>
      <c r="M9">
        <v>0</v>
      </c>
      <c r="N9" s="377" t="str">
        <f>HYPERLINK("http://finance.yahoo.com/q?s=" &amp; E9, "Link")</f>
        <v>Link</v>
      </c>
      <c r="O9" s="376">
        <v>2.1999999999999999E-2</v>
      </c>
      <c r="Q9" s="463"/>
    </row>
    <row r="10" spans="1:19" ht="21.95" customHeight="1" x14ac:dyDescent="0.25">
      <c r="A10" s="51"/>
      <c r="B10" s="51"/>
      <c r="C10" s="52"/>
      <c r="E10" s="23" t="s">
        <v>261</v>
      </c>
      <c r="F10" s="249">
        <v>24.04</v>
      </c>
      <c r="G10" s="249">
        <v>22.554099999999998</v>
      </c>
      <c r="H10" s="337">
        <v>200</v>
      </c>
      <c r="I10" s="49">
        <v>4510.82</v>
      </c>
      <c r="J10" s="380">
        <v>297.18000000000029</v>
      </c>
      <c r="K10" s="366">
        <v>6.588159137363056E-2</v>
      </c>
      <c r="L10" s="380">
        <v>297.18000000000029</v>
      </c>
      <c r="M10" s="30">
        <v>42617</v>
      </c>
      <c r="N10" s="377" t="str">
        <f>HYPERLINK("http://finance.yahoo.com/q?s=" &amp; E10, "Link")</f>
        <v>Link</v>
      </c>
      <c r="O10" s="376">
        <v>5.21E-2</v>
      </c>
      <c r="Q10" s="152"/>
    </row>
    <row r="11" spans="1:19" ht="21.95" customHeight="1" x14ac:dyDescent="0.25">
      <c r="A11" s="159"/>
      <c r="B11" s="51"/>
      <c r="C11" s="52"/>
      <c r="E11" s="23" t="s">
        <v>8</v>
      </c>
      <c r="F11" s="249">
        <v>64.959999999999994</v>
      </c>
      <c r="G11" s="249">
        <v>64.959999999999994</v>
      </c>
      <c r="H11" s="337">
        <v>0</v>
      </c>
      <c r="I11" s="49">
        <v>0</v>
      </c>
      <c r="J11" s="380">
        <v>0</v>
      </c>
      <c r="K11" s="366">
        <v>0</v>
      </c>
      <c r="L11" s="380">
        <v>121.94999999999982</v>
      </c>
      <c r="M11">
        <v>0</v>
      </c>
      <c r="N11" s="377" t="str">
        <f>HYPERLINK("http://finance.yahoo.com/q?s=" &amp; E11, "Link")</f>
        <v>Link</v>
      </c>
      <c r="O11" s="376">
        <v>1.7600000000000001E-2</v>
      </c>
      <c r="Q11" s="49"/>
    </row>
    <row r="12" spans="1:19" ht="21.95" customHeight="1" x14ac:dyDescent="0.25">
      <c r="A12" s="51"/>
      <c r="B12" s="51"/>
      <c r="C12" s="52"/>
      <c r="E12" s="23" t="s">
        <v>17</v>
      </c>
      <c r="F12" s="249">
        <v>12.46</v>
      </c>
      <c r="G12" s="249">
        <v>18.269631111111117</v>
      </c>
      <c r="H12" s="337">
        <v>4500</v>
      </c>
      <c r="I12" s="49">
        <v>82213.340000000026</v>
      </c>
      <c r="J12" s="380">
        <v>-26143.340000000018</v>
      </c>
      <c r="K12" s="366">
        <v>-0.31799389247535759</v>
      </c>
      <c r="L12" s="380">
        <v>-26143.340000000018</v>
      </c>
      <c r="M12">
        <v>500</v>
      </c>
      <c r="N12" s="377" t="str">
        <f>HYPERLINK("http://finance.yahoo.com/q?s=" &amp; E12, "Link")</f>
        <v>Link</v>
      </c>
      <c r="O12" s="376">
        <v>0</v>
      </c>
      <c r="R12" s="49"/>
      <c r="S12" s="49"/>
    </row>
    <row r="13" spans="1:19" ht="21.95" customHeight="1" x14ac:dyDescent="0.25">
      <c r="A13" s="159"/>
      <c r="B13" s="51"/>
      <c r="C13" s="52"/>
      <c r="E13" s="23" t="s">
        <v>32</v>
      </c>
      <c r="F13" s="249">
        <v>36.770000000000003</v>
      </c>
      <c r="G13" s="249">
        <v>37.037100000000009</v>
      </c>
      <c r="H13" s="337">
        <v>400</v>
      </c>
      <c r="I13" s="444">
        <v>14814.840000000004</v>
      </c>
      <c r="J13" s="380">
        <v>-106.84000000000196</v>
      </c>
      <c r="K13" s="366">
        <v>-7.2116877401310108E-3</v>
      </c>
      <c r="L13" s="380">
        <v>98.179999999998017</v>
      </c>
      <c r="M13">
        <v>300</v>
      </c>
      <c r="N13" s="377" t="str">
        <f>HYPERLINK("http://finance.yahoo.com/q?s=" &amp; E13, "Link")</f>
        <v>Link</v>
      </c>
      <c r="O13" s="376">
        <v>2.1999999999999999E-2</v>
      </c>
    </row>
    <row r="14" spans="1:19" ht="21.95" customHeight="1" x14ac:dyDescent="0.25">
      <c r="A14" s="51"/>
      <c r="B14" s="52"/>
      <c r="C14" s="52"/>
      <c r="E14" s="23" t="s">
        <v>63</v>
      </c>
      <c r="F14" s="249">
        <v>95.82</v>
      </c>
      <c r="G14" s="249">
        <v>92.657999999999973</v>
      </c>
      <c r="H14" s="337">
        <v>30</v>
      </c>
      <c r="I14" s="49">
        <v>2779.7399999999993</v>
      </c>
      <c r="J14" s="380">
        <v>94.860000000000127</v>
      </c>
      <c r="K14" s="366">
        <v>3.4125493751214375E-2</v>
      </c>
      <c r="L14" s="380">
        <v>94.860000000000127</v>
      </c>
      <c r="M14" s="30">
        <v>42617</v>
      </c>
      <c r="N14" s="377" t="str">
        <f>HYPERLINK("http://finance.yahoo.com/q?s=" &amp; E14, "Link")</f>
        <v>Link</v>
      </c>
      <c r="O14" s="376">
        <v>1.47E-2</v>
      </c>
      <c r="S14" s="49"/>
    </row>
    <row r="15" spans="1:19" ht="21.95" customHeight="1" x14ac:dyDescent="0.25">
      <c r="A15" s="52"/>
      <c r="B15" s="52"/>
      <c r="C15" s="52"/>
      <c r="E15" s="23" t="s">
        <v>208</v>
      </c>
      <c r="F15" s="249">
        <v>12.3</v>
      </c>
      <c r="G15" s="249">
        <v>12.28632</v>
      </c>
      <c r="H15" s="337">
        <v>250</v>
      </c>
      <c r="I15" s="49">
        <v>3071.58</v>
      </c>
      <c r="J15" s="380">
        <v>3.4200000000000728</v>
      </c>
      <c r="K15" s="366">
        <v>1.1134334772332807E-3</v>
      </c>
      <c r="L15" s="380">
        <v>3.4200000000000728</v>
      </c>
      <c r="M15">
        <v>250</v>
      </c>
      <c r="N15" s="377" t="str">
        <f>HYPERLINK("http://finance.yahoo.com/q?s=" &amp; E15, "Link")</f>
        <v>Link</v>
      </c>
      <c r="O15" s="376">
        <v>4.8399999999999999E-2</v>
      </c>
      <c r="R15" s="49"/>
    </row>
    <row r="16" spans="1:19" ht="21.95" customHeight="1" x14ac:dyDescent="0.25">
      <c r="A16" s="51"/>
      <c r="B16" s="51"/>
      <c r="C16" s="52"/>
      <c r="E16" s="23" t="s">
        <v>9</v>
      </c>
      <c r="F16" s="249">
        <v>4.66</v>
      </c>
      <c r="G16" s="249">
        <v>4.66</v>
      </c>
      <c r="H16" s="337">
        <v>0</v>
      </c>
      <c r="I16" s="49">
        <v>0</v>
      </c>
      <c r="J16" s="380">
        <v>0</v>
      </c>
      <c r="K16" s="366">
        <v>0</v>
      </c>
      <c r="L16" s="380">
        <v>434.93000000000029</v>
      </c>
      <c r="M16">
        <v>0</v>
      </c>
      <c r="N16" s="377" t="str">
        <f>HYPERLINK("http://finance.yahoo.com/q?s=" &amp; E16, "Link")</f>
        <v>Link</v>
      </c>
      <c r="O16" s="376">
        <v>8.9599999999999999E-2</v>
      </c>
      <c r="Q16" s="152"/>
    </row>
    <row r="17" spans="1:20" ht="21.95" customHeight="1" x14ac:dyDescent="0.25">
      <c r="A17" s="51"/>
      <c r="B17" s="51"/>
      <c r="C17" s="52"/>
      <c r="E17" s="23" t="s">
        <v>55</v>
      </c>
      <c r="F17" s="249">
        <v>80.5</v>
      </c>
      <c r="G17" s="249">
        <v>86.017866666666649</v>
      </c>
      <c r="H17" s="337">
        <v>150</v>
      </c>
      <c r="I17" s="49">
        <v>12902.679999999997</v>
      </c>
      <c r="J17" s="380">
        <v>-827.67999999999665</v>
      </c>
      <c r="K17" s="366">
        <v>-6.4147913456739022E-2</v>
      </c>
      <c r="L17" s="380">
        <v>-827.67999999999665</v>
      </c>
      <c r="M17">
        <v>100</v>
      </c>
      <c r="N17" s="377" t="str">
        <f>HYPERLINK("http://finance.yahoo.com/q?s=" &amp; E17, "Link")</f>
        <v>Link</v>
      </c>
      <c r="O17" s="376">
        <v>2.3199999999999998E-2</v>
      </c>
      <c r="Q17" s="152"/>
    </row>
    <row r="18" spans="1:20" ht="21.95" customHeight="1" x14ac:dyDescent="0.25">
      <c r="A18" s="51"/>
      <c r="B18" s="51"/>
      <c r="C18" s="52"/>
      <c r="E18" s="23" t="s">
        <v>179</v>
      </c>
      <c r="F18" s="249">
        <v>71</v>
      </c>
      <c r="G18" s="249">
        <v>71</v>
      </c>
      <c r="H18" s="337">
        <v>0</v>
      </c>
      <c r="I18" s="49">
        <v>0</v>
      </c>
      <c r="J18" s="380">
        <v>0</v>
      </c>
      <c r="K18" s="366">
        <v>0</v>
      </c>
      <c r="L18" s="380">
        <v>49.949999999999818</v>
      </c>
      <c r="M18">
        <v>0</v>
      </c>
      <c r="N18" s="377" t="str">
        <f>HYPERLINK("http://finance.yahoo.com/q?s=" &amp; E18, "Link")</f>
        <v>Link</v>
      </c>
      <c r="O18" s="376">
        <v>2.69E-2</v>
      </c>
      <c r="Q18" s="463"/>
      <c r="T18" s="49"/>
    </row>
    <row r="19" spans="1:20" ht="21.95" customHeight="1" x14ac:dyDescent="0.25">
      <c r="A19" s="51"/>
      <c r="B19" s="51"/>
      <c r="C19" s="52"/>
      <c r="E19" s="23" t="s">
        <v>56</v>
      </c>
      <c r="F19" s="249">
        <v>31.78</v>
      </c>
      <c r="G19" s="249">
        <v>31.78</v>
      </c>
      <c r="H19" s="337">
        <v>0</v>
      </c>
      <c r="I19" s="49">
        <v>0</v>
      </c>
      <c r="J19" s="380">
        <v>0</v>
      </c>
      <c r="K19" s="366">
        <v>0</v>
      </c>
      <c r="L19" s="380">
        <v>36.819999999999709</v>
      </c>
      <c r="M19">
        <v>0</v>
      </c>
      <c r="N19" s="377" t="str">
        <f>HYPERLINK("http://finance.yahoo.com/q?s=" &amp; E19, "Link")</f>
        <v>Link</v>
      </c>
      <c r="O19" s="376">
        <v>4.7800000000000002E-2</v>
      </c>
      <c r="R19" s="49"/>
    </row>
    <row r="20" spans="1:20" ht="21.95" customHeight="1" x14ac:dyDescent="0.25">
      <c r="A20" s="51"/>
      <c r="B20" s="51"/>
      <c r="C20" s="51"/>
      <c r="E20" s="23" t="s">
        <v>22</v>
      </c>
      <c r="F20" s="249">
        <v>56.35</v>
      </c>
      <c r="G20" s="249">
        <v>56.35</v>
      </c>
      <c r="H20" s="337">
        <v>0</v>
      </c>
      <c r="I20" s="49">
        <v>0</v>
      </c>
      <c r="J20" s="380">
        <v>0</v>
      </c>
      <c r="K20" s="366">
        <v>0</v>
      </c>
      <c r="L20" s="380">
        <v>3178.8000000000466</v>
      </c>
      <c r="M20">
        <v>0</v>
      </c>
      <c r="N20" s="377" t="str">
        <f>HYPERLINK("http://finance.yahoo.com/q?s=" &amp; E20, "Link")</f>
        <v>Link</v>
      </c>
      <c r="O20" s="376">
        <v>1.7500000000000002E-2</v>
      </c>
    </row>
    <row r="21" spans="1:20" ht="21.95" customHeight="1" x14ac:dyDescent="0.25">
      <c r="A21" s="52"/>
      <c r="B21" s="51"/>
      <c r="C21" s="52"/>
      <c r="E21" s="23" t="s">
        <v>27</v>
      </c>
      <c r="F21" s="249">
        <v>35.15</v>
      </c>
      <c r="G21" s="249">
        <v>35.15</v>
      </c>
      <c r="H21" s="337">
        <v>0</v>
      </c>
      <c r="I21" s="49">
        <v>0</v>
      </c>
      <c r="J21" s="380">
        <v>0</v>
      </c>
      <c r="K21" s="366">
        <v>0</v>
      </c>
      <c r="L21" s="380">
        <v>1407.5400000000009</v>
      </c>
      <c r="M21">
        <v>0</v>
      </c>
      <c r="N21" s="377" t="str">
        <f>HYPERLINK("http://finance.yahoo.com/q?s=" &amp; E21, "Link")</f>
        <v>Link</v>
      </c>
      <c r="O21" s="376">
        <v>2.9499999999999998E-2</v>
      </c>
      <c r="Q21" s="152"/>
    </row>
    <row r="22" spans="1:20" ht="21.95" customHeight="1" x14ac:dyDescent="0.25">
      <c r="A22" s="52"/>
      <c r="B22" s="159"/>
      <c r="C22" s="338"/>
      <c r="E22" s="23" t="s">
        <v>180</v>
      </c>
      <c r="F22" s="249">
        <v>46.56</v>
      </c>
      <c r="G22" s="249">
        <v>46.56</v>
      </c>
      <c r="H22" s="337">
        <v>0</v>
      </c>
      <c r="I22" s="49">
        <v>0</v>
      </c>
      <c r="J22" s="380">
        <v>0</v>
      </c>
      <c r="K22" s="366">
        <v>0</v>
      </c>
      <c r="L22" s="380">
        <v>119.92000000000053</v>
      </c>
      <c r="M22">
        <v>0</v>
      </c>
      <c r="N22" s="377" t="str">
        <f>HYPERLINK("http://finance.yahoo.com/q?s=" &amp; E22, "Link")</f>
        <v>Link</v>
      </c>
      <c r="O22" s="376">
        <v>3.7100000000000001E-2</v>
      </c>
      <c r="P22" s="49"/>
      <c r="R22" s="49"/>
    </row>
    <row r="23" spans="1:20" ht="21.95" customHeight="1" x14ac:dyDescent="0.25">
      <c r="A23" s="52"/>
      <c r="B23" s="52"/>
      <c r="C23" s="52"/>
      <c r="E23" s="23" t="s">
        <v>15</v>
      </c>
      <c r="F23" s="249">
        <v>19.37</v>
      </c>
      <c r="G23" s="249">
        <v>19.37</v>
      </c>
      <c r="H23" s="337">
        <v>0</v>
      </c>
      <c r="I23" s="49">
        <v>0</v>
      </c>
      <c r="J23" s="380">
        <v>0</v>
      </c>
      <c r="K23" s="366">
        <v>0</v>
      </c>
      <c r="L23" s="380">
        <v>155.90000000000146</v>
      </c>
      <c r="M23">
        <v>0</v>
      </c>
      <c r="N23" s="377" t="str">
        <f>HYPERLINK("http://finance.yahoo.com/q?s=" &amp; E23, "Link")</f>
        <v>Link</v>
      </c>
      <c r="O23" s="376">
        <v>0</v>
      </c>
    </row>
    <row r="24" spans="1:20" ht="21.95" customHeight="1" x14ac:dyDescent="0.25">
      <c r="A24" s="51"/>
      <c r="B24" s="51"/>
      <c r="C24" s="52"/>
      <c r="E24" s="23" t="s">
        <v>24</v>
      </c>
      <c r="F24" s="249">
        <v>50.34</v>
      </c>
      <c r="G24" s="249">
        <v>50.34</v>
      </c>
      <c r="H24" s="337">
        <v>0</v>
      </c>
      <c r="I24" s="49">
        <v>0</v>
      </c>
      <c r="J24" s="380">
        <v>0</v>
      </c>
      <c r="K24" s="366">
        <v>0</v>
      </c>
      <c r="L24" s="380">
        <v>745.43999999999505</v>
      </c>
      <c r="M24">
        <v>0</v>
      </c>
      <c r="N24" s="377" t="str">
        <f>HYPERLINK("http://finance.yahoo.com/q?s=" &amp; E24, "Link")</f>
        <v>Link</v>
      </c>
      <c r="O24" s="376">
        <v>0</v>
      </c>
      <c r="Q24" s="463"/>
    </row>
    <row r="25" spans="1:20" ht="21.95" customHeight="1" x14ac:dyDescent="0.25">
      <c r="A25" s="52"/>
      <c r="B25" s="52"/>
      <c r="C25" s="52"/>
      <c r="E25" s="23" t="s">
        <v>207</v>
      </c>
      <c r="F25" s="249">
        <v>32.99</v>
      </c>
      <c r="G25" s="249">
        <v>33.045880000000004</v>
      </c>
      <c r="H25" s="337">
        <v>500</v>
      </c>
      <c r="I25" s="49">
        <v>16522.940000000002</v>
      </c>
      <c r="J25" s="380">
        <v>-27.940000000002328</v>
      </c>
      <c r="K25" s="366">
        <v>-1.6909823554404338E-3</v>
      </c>
      <c r="L25" s="380">
        <v>-27.940000000002328</v>
      </c>
      <c r="M25">
        <v>60</v>
      </c>
      <c r="N25" s="377" t="str">
        <f>HYPERLINK("http://finance.yahoo.com/q?s=" &amp; E25, "Link")</f>
        <v>Link</v>
      </c>
      <c r="O25" s="376">
        <v>1.47E-2</v>
      </c>
    </row>
    <row r="26" spans="1:20" ht="21.95" customHeight="1" x14ac:dyDescent="0.25">
      <c r="A26" s="51"/>
      <c r="B26" s="51"/>
      <c r="C26" s="52"/>
      <c r="E26" s="23" t="s">
        <v>36</v>
      </c>
      <c r="F26" s="249">
        <v>36.659999999999997</v>
      </c>
      <c r="G26" s="249">
        <v>38.025499999999994</v>
      </c>
      <c r="H26" s="337">
        <v>200</v>
      </c>
      <c r="I26" s="49">
        <v>7605.0999999999985</v>
      </c>
      <c r="J26" s="380">
        <v>-273.10000000000036</v>
      </c>
      <c r="K26" s="366">
        <v>-3.5910112950519983E-2</v>
      </c>
      <c r="L26" s="380">
        <v>-273.10000000000036</v>
      </c>
      <c r="M26">
        <v>140</v>
      </c>
      <c r="N26" s="377" t="str">
        <f>HYPERLINK("http://finance.yahoo.com/q?s=" &amp; E26, "Link")</f>
        <v>Link</v>
      </c>
      <c r="O26" s="376">
        <v>1.0999999999999999E-2</v>
      </c>
      <c r="Q26" s="152"/>
      <c r="S26" s="49"/>
    </row>
    <row r="27" spans="1:20" ht="21.95" customHeight="1" x14ac:dyDescent="0.25">
      <c r="A27" s="51"/>
      <c r="B27" s="51"/>
      <c r="C27" s="52"/>
      <c r="E27" s="23" t="s">
        <v>265</v>
      </c>
      <c r="F27" s="249">
        <v>28.44</v>
      </c>
      <c r="G27" s="249">
        <v>28.44</v>
      </c>
      <c r="H27" s="337">
        <v>0</v>
      </c>
      <c r="I27" s="49">
        <v>0</v>
      </c>
      <c r="J27" s="380">
        <v>0</v>
      </c>
      <c r="K27" s="366">
        <v>0</v>
      </c>
      <c r="L27" s="380">
        <v>287.94000000000005</v>
      </c>
      <c r="M27">
        <v>0</v>
      </c>
      <c r="N27" s="377" t="str">
        <f>HYPERLINK("http://finance.yahoo.com/q?s=" &amp; E27, "Link")</f>
        <v>Link</v>
      </c>
      <c r="O27" s="376">
        <v>2.9000000000000001E-2</v>
      </c>
      <c r="Q27" s="152"/>
      <c r="S27" s="49"/>
    </row>
    <row r="28" spans="1:20" ht="21.95" customHeight="1" x14ac:dyDescent="0.25">
      <c r="A28" s="52"/>
      <c r="B28" s="52"/>
      <c r="C28" s="52"/>
      <c r="E28" s="23" t="s">
        <v>50</v>
      </c>
      <c r="F28" s="249">
        <v>16.059999999999999</v>
      </c>
      <c r="G28" s="249">
        <v>17.001735998454706</v>
      </c>
      <c r="H28" s="50">
        <v>5178</v>
      </c>
      <c r="I28" s="49">
        <v>88034.988999998459</v>
      </c>
      <c r="J28" s="380">
        <v>-4876.3089999984368</v>
      </c>
      <c r="K28" s="366">
        <v>-5.5390578852671381E-2</v>
      </c>
      <c r="L28" s="49">
        <v>-4876.3089999984368</v>
      </c>
      <c r="M28">
        <v>1100</v>
      </c>
      <c r="N28" s="377" t="str">
        <f>HYPERLINK("http://finance.yahoo.com/q?s=" &amp; E28, "Link")</f>
        <v>Link</v>
      </c>
      <c r="O28" s="366">
        <v>1.52E-2</v>
      </c>
      <c r="R28" s="49"/>
    </row>
    <row r="29" spans="1:20" ht="21.95" customHeight="1" x14ac:dyDescent="0.25">
      <c r="A29" s="51"/>
      <c r="B29" s="51"/>
      <c r="C29" s="52"/>
      <c r="E29" s="23" t="s">
        <v>34</v>
      </c>
      <c r="F29" s="249">
        <v>15.51</v>
      </c>
      <c r="G29" s="249">
        <v>17.331316500000305</v>
      </c>
      <c r="H29" s="337">
        <v>2000</v>
      </c>
      <c r="I29" s="49">
        <v>34662.633000000613</v>
      </c>
      <c r="J29" s="380">
        <v>-3642.6330000006128</v>
      </c>
      <c r="K29" s="366">
        <v>-0.10508817953906002</v>
      </c>
      <c r="L29" s="380">
        <v>-3642.6330000006128</v>
      </c>
      <c r="M29" s="30">
        <v>42609</v>
      </c>
      <c r="N29" s="377" t="str">
        <f>HYPERLINK("http://finance.yahoo.com/q?s=" &amp; E29, "Link")</f>
        <v>Link</v>
      </c>
      <c r="O29" s="376">
        <v>0</v>
      </c>
      <c r="Q29" s="463"/>
      <c r="R29" s="49"/>
    </row>
    <row r="30" spans="1:20" ht="21.95" customHeight="1" x14ac:dyDescent="0.25">
      <c r="A30" s="52"/>
      <c r="B30" s="52"/>
      <c r="C30" s="52"/>
      <c r="E30" s="23" t="s">
        <v>219</v>
      </c>
      <c r="F30" s="249">
        <v>43.15</v>
      </c>
      <c r="G30" s="249">
        <v>43.15</v>
      </c>
      <c r="H30" s="337">
        <v>0</v>
      </c>
      <c r="I30" s="49">
        <v>0</v>
      </c>
      <c r="J30" s="380">
        <v>0</v>
      </c>
      <c r="K30" s="366">
        <v>0</v>
      </c>
      <c r="L30" s="380">
        <v>439.77999999999975</v>
      </c>
      <c r="M30">
        <v>0</v>
      </c>
      <c r="N30" s="377" t="str">
        <f>HYPERLINK("http://finance.yahoo.com/q?s=" &amp; E30, "Link")</f>
        <v>Link</v>
      </c>
      <c r="O30" s="376">
        <v>0</v>
      </c>
      <c r="Q30" s="152"/>
      <c r="S30" s="49"/>
    </row>
    <row r="31" spans="1:20" ht="21.95" customHeight="1" x14ac:dyDescent="0.25">
      <c r="A31" s="61"/>
      <c r="B31" s="62"/>
      <c r="C31" s="61"/>
      <c r="E31" s="23" t="s">
        <v>205</v>
      </c>
      <c r="F31" s="249">
        <v>60.22</v>
      </c>
      <c r="G31" s="249">
        <v>60.22</v>
      </c>
      <c r="H31" s="337">
        <v>0</v>
      </c>
      <c r="I31" s="49">
        <v>0</v>
      </c>
      <c r="J31" s="380">
        <v>0</v>
      </c>
      <c r="K31" s="366">
        <v>0</v>
      </c>
      <c r="L31" s="380">
        <v>281.96000000000095</v>
      </c>
      <c r="M31">
        <v>0</v>
      </c>
      <c r="N31" s="377" t="str">
        <f>HYPERLINK("http://finance.yahoo.com/q?s=" &amp; E31, "Link")</f>
        <v>Link</v>
      </c>
      <c r="O31" s="376">
        <v>1.09E-2</v>
      </c>
      <c r="Q31" s="152"/>
      <c r="R31" s="49"/>
      <c r="S31" s="49"/>
    </row>
    <row r="32" spans="1:20" ht="21.95" customHeight="1" x14ac:dyDescent="0.25">
      <c r="A32" s="51"/>
      <c r="B32" s="52"/>
      <c r="C32" s="52"/>
      <c r="E32" s="23" t="s">
        <v>47</v>
      </c>
      <c r="F32" s="249">
        <v>92.1</v>
      </c>
      <c r="G32" s="249">
        <v>92.1</v>
      </c>
      <c r="H32" s="337">
        <v>0</v>
      </c>
      <c r="I32" s="49">
        <v>0</v>
      </c>
      <c r="J32" s="380">
        <v>0</v>
      </c>
      <c r="K32" s="366">
        <v>0</v>
      </c>
      <c r="L32" s="380">
        <v>-168.6200000000008</v>
      </c>
      <c r="M32">
        <v>0</v>
      </c>
      <c r="N32" s="377" t="str">
        <f>HYPERLINK("http://finance.yahoo.com/q?s=" &amp; E32, "Link")</f>
        <v>Link</v>
      </c>
      <c r="O32" s="376">
        <v>2.58E-2</v>
      </c>
      <c r="R32" s="49"/>
    </row>
    <row r="33" spans="1:21" ht="21.95" customHeight="1" x14ac:dyDescent="0.25">
      <c r="A33" s="51"/>
      <c r="B33" s="51"/>
      <c r="C33" s="52"/>
      <c r="E33" s="23" t="s">
        <v>182</v>
      </c>
      <c r="F33" s="249">
        <v>53.84</v>
      </c>
      <c r="G33" s="249">
        <v>53.84</v>
      </c>
      <c r="H33" s="337">
        <v>0</v>
      </c>
      <c r="I33" s="49">
        <v>0</v>
      </c>
      <c r="J33" s="380">
        <v>0</v>
      </c>
      <c r="K33" s="366">
        <v>0</v>
      </c>
      <c r="L33" s="380">
        <v>75.019999999999982</v>
      </c>
      <c r="M33">
        <v>0</v>
      </c>
      <c r="N33" s="377" t="str">
        <f>HYPERLINK("http://finance.yahoo.com/q?s=" &amp; E33, "Link")</f>
        <v>Link</v>
      </c>
      <c r="O33" s="376">
        <v>1.41E-2</v>
      </c>
      <c r="R33" s="49"/>
    </row>
    <row r="34" spans="1:21" ht="21.95" customHeight="1" x14ac:dyDescent="0.25">
      <c r="A34" s="51"/>
      <c r="B34" s="51"/>
      <c r="C34" s="52"/>
      <c r="E34" s="23" t="s">
        <v>239</v>
      </c>
      <c r="F34" s="249">
        <v>95.5</v>
      </c>
      <c r="G34" s="249">
        <v>95.5</v>
      </c>
      <c r="H34" s="337">
        <v>0</v>
      </c>
      <c r="I34" s="49">
        <v>0</v>
      </c>
      <c r="J34" s="380">
        <v>0</v>
      </c>
      <c r="K34" s="366">
        <v>0</v>
      </c>
      <c r="L34" s="380">
        <v>420.9900000000016</v>
      </c>
      <c r="M34">
        <v>0</v>
      </c>
      <c r="N34" s="377" t="str">
        <f>HYPERLINK("http://finance.yahoo.com/q?s=" &amp; E34, "Link")</f>
        <v>Link</v>
      </c>
      <c r="O34" s="376">
        <v>1.12E-2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49">
        <v>217.85</v>
      </c>
      <c r="G35" s="249">
        <v>217.85</v>
      </c>
      <c r="H35" s="337">
        <v>0</v>
      </c>
      <c r="I35" s="49">
        <v>0</v>
      </c>
      <c r="J35" s="380">
        <v>0</v>
      </c>
      <c r="K35" s="366">
        <v>0</v>
      </c>
      <c r="L35" s="380">
        <v>160.82999999999993</v>
      </c>
      <c r="M35">
        <v>0</v>
      </c>
      <c r="N35" s="377" t="str">
        <f>HYPERLINK("http://finance.yahoo.com/q?s=" &amp; E35, "Link")</f>
        <v>Link</v>
      </c>
      <c r="O35" s="376">
        <v>0</v>
      </c>
      <c r="Q35" s="152"/>
      <c r="R35" s="49"/>
      <c r="S35" s="49"/>
    </row>
    <row r="36" spans="1:21" ht="21.95" customHeight="1" x14ac:dyDescent="0.25">
      <c r="A36" s="51"/>
      <c r="B36" s="51"/>
      <c r="C36" s="52"/>
      <c r="E36" s="23" t="s">
        <v>178</v>
      </c>
      <c r="F36" s="249">
        <v>73.290000000000006</v>
      </c>
      <c r="G36" s="249">
        <v>73.290000000000006</v>
      </c>
      <c r="H36" s="337">
        <v>0</v>
      </c>
      <c r="I36" s="49">
        <v>0</v>
      </c>
      <c r="J36" s="380">
        <v>0</v>
      </c>
      <c r="K36" s="366">
        <v>0</v>
      </c>
      <c r="L36" s="380">
        <v>1338.0999999999985</v>
      </c>
      <c r="M36">
        <v>0</v>
      </c>
      <c r="N36" s="377" t="str">
        <f>HYPERLINK("http://finance.yahoo.com/q?s=" &amp; E36, "Link")</f>
        <v>Link</v>
      </c>
      <c r="O36" s="376">
        <v>1.55E-2</v>
      </c>
      <c r="Q36" s="152"/>
    </row>
    <row r="37" spans="1:21" ht="21.95" customHeight="1" x14ac:dyDescent="0.25">
      <c r="A37" s="51"/>
      <c r="B37" s="51"/>
      <c r="C37" s="52"/>
      <c r="E37" s="23" t="s">
        <v>39</v>
      </c>
      <c r="F37" s="249">
        <v>34.07</v>
      </c>
      <c r="G37" s="249">
        <v>34.07</v>
      </c>
      <c r="H37" s="337">
        <v>0</v>
      </c>
      <c r="I37" s="49">
        <v>0</v>
      </c>
      <c r="J37" s="380">
        <v>0</v>
      </c>
      <c r="K37" s="366">
        <v>0</v>
      </c>
      <c r="L37" s="380">
        <v>529.88000000000284</v>
      </c>
      <c r="M37">
        <v>0</v>
      </c>
      <c r="N37" s="377" t="str">
        <f>HYPERLINK("http://finance.yahoo.com/q?s=" &amp; E37, "Link")</f>
        <v>Link</v>
      </c>
      <c r="O37" s="376">
        <v>3.0800000000000001E-2</v>
      </c>
      <c r="Q37" s="49"/>
      <c r="S37" s="49"/>
    </row>
    <row r="38" spans="1:21" ht="21.95" customHeight="1" x14ac:dyDescent="0.25">
      <c r="A38" s="51"/>
      <c r="B38" s="51"/>
      <c r="C38" s="52"/>
      <c r="E38" s="23" t="s">
        <v>0</v>
      </c>
      <c r="F38" s="249">
        <v>151.26</v>
      </c>
      <c r="G38" s="249">
        <v>151.26</v>
      </c>
      <c r="H38" s="337">
        <v>0</v>
      </c>
      <c r="I38" s="49">
        <v>0</v>
      </c>
      <c r="J38" s="380">
        <v>0</v>
      </c>
      <c r="K38" s="366">
        <v>0</v>
      </c>
      <c r="L38" s="380">
        <v>171.47000000000003</v>
      </c>
      <c r="M38">
        <v>0</v>
      </c>
      <c r="N38" s="377" t="str">
        <f>HYPERLINK("http://finance.yahoo.com/q?s=" &amp; E38, "Link")</f>
        <v>Link</v>
      </c>
      <c r="O38" s="376">
        <v>3.8999999999999998E-3</v>
      </c>
      <c r="Q38" s="49"/>
      <c r="R38" s="49"/>
    </row>
    <row r="39" spans="1:21" ht="21.95" customHeight="1" x14ac:dyDescent="0.25">
      <c r="A39" s="51"/>
      <c r="B39" s="51"/>
      <c r="C39" s="52"/>
      <c r="E39" s="23" t="s">
        <v>13</v>
      </c>
      <c r="F39" s="249">
        <v>47.6</v>
      </c>
      <c r="G39" s="249">
        <v>47.6</v>
      </c>
      <c r="H39" s="337">
        <v>0</v>
      </c>
      <c r="I39" s="49">
        <v>0</v>
      </c>
      <c r="J39" s="380">
        <v>0</v>
      </c>
      <c r="K39" s="366">
        <v>0</v>
      </c>
      <c r="L39" s="380">
        <v>1461.5600000000013</v>
      </c>
      <c r="M39">
        <v>0</v>
      </c>
      <c r="N39" s="377" t="str">
        <f>HYPERLINK("http://finance.yahoo.com/q?s=" &amp; E39, "Link")</f>
        <v>Link</v>
      </c>
      <c r="O39" s="376">
        <v>0</v>
      </c>
      <c r="Q39" s="49"/>
      <c r="R39" s="49"/>
      <c r="T39" s="364"/>
      <c r="U39" s="364"/>
    </row>
    <row r="40" spans="1:21" ht="21.95" customHeight="1" x14ac:dyDescent="0.25">
      <c r="A40" s="51"/>
      <c r="B40" s="51"/>
      <c r="C40" s="52"/>
      <c r="E40" s="23" t="s">
        <v>51</v>
      </c>
      <c r="F40" s="249">
        <v>139.87</v>
      </c>
      <c r="G40" s="249">
        <v>139.87</v>
      </c>
      <c r="H40" s="337">
        <v>0</v>
      </c>
      <c r="I40" s="49">
        <v>0</v>
      </c>
      <c r="J40" s="380">
        <v>0</v>
      </c>
      <c r="K40" s="366">
        <v>0</v>
      </c>
      <c r="L40" s="380">
        <v>176.70000000000073</v>
      </c>
      <c r="M40">
        <v>0</v>
      </c>
      <c r="N40" s="377" t="str">
        <f>HYPERLINK("http://finance.yahoo.com/q?s=" &amp; E40, "Link")</f>
        <v>Link</v>
      </c>
      <c r="O40" s="376">
        <v>1.7600000000000001E-2</v>
      </c>
      <c r="Q40" s="152"/>
      <c r="S40" s="49"/>
    </row>
    <row r="41" spans="1:21" ht="21.95" customHeight="1" x14ac:dyDescent="0.25">
      <c r="A41" s="52"/>
      <c r="B41" s="52"/>
      <c r="C41" s="52"/>
      <c r="E41" s="23" t="s">
        <v>42</v>
      </c>
      <c r="F41" s="249">
        <v>95.48</v>
      </c>
      <c r="G41" s="249">
        <v>95.48</v>
      </c>
      <c r="H41" s="337">
        <v>0</v>
      </c>
      <c r="I41" s="49">
        <v>0</v>
      </c>
      <c r="J41" s="380">
        <v>0</v>
      </c>
      <c r="K41" s="366">
        <v>0</v>
      </c>
      <c r="L41" s="380">
        <v>128.08999999999833</v>
      </c>
      <c r="M41">
        <v>0</v>
      </c>
      <c r="N41" s="377" t="str">
        <f>HYPERLINK("http://finance.yahoo.com/q?s=" &amp; E41, "Link")</f>
        <v>Link</v>
      </c>
      <c r="O41" s="376">
        <v>2.58E-2</v>
      </c>
      <c r="Q41" s="49"/>
      <c r="R41" s="49"/>
    </row>
    <row r="42" spans="1:21" ht="21.95" customHeight="1" x14ac:dyDescent="0.25">
      <c r="A42" s="52"/>
      <c r="B42" s="52"/>
      <c r="C42" s="52"/>
      <c r="E42" s="23" t="s">
        <v>54</v>
      </c>
      <c r="F42" s="249">
        <v>107.96</v>
      </c>
      <c r="G42" s="249">
        <v>107.96</v>
      </c>
      <c r="H42" s="337">
        <v>0</v>
      </c>
      <c r="I42" s="49">
        <v>0</v>
      </c>
      <c r="J42" s="380">
        <v>0</v>
      </c>
      <c r="K42" s="366">
        <v>0</v>
      </c>
      <c r="L42" s="380">
        <v>114.84999999999991</v>
      </c>
      <c r="M42">
        <v>0</v>
      </c>
      <c r="N42" s="377" t="str">
        <f>HYPERLINK("http://finance.yahoo.com/q?s=" &amp; E42, "Link")</f>
        <v>Link</v>
      </c>
      <c r="O42" s="376">
        <v>2.4199999999999999E-2</v>
      </c>
      <c r="Q42" s="49"/>
      <c r="T42" s="49"/>
    </row>
    <row r="43" spans="1:21" ht="21.95" customHeight="1" x14ac:dyDescent="0.25">
      <c r="A43" s="51"/>
      <c r="B43" s="52"/>
      <c r="C43" s="52"/>
      <c r="E43" s="23" t="s">
        <v>262</v>
      </c>
      <c r="F43" s="249">
        <v>49.08</v>
      </c>
      <c r="G43" s="249">
        <v>49.08</v>
      </c>
      <c r="H43" s="337">
        <v>0</v>
      </c>
      <c r="I43" s="49">
        <v>0</v>
      </c>
      <c r="J43" s="380">
        <v>0</v>
      </c>
      <c r="K43" s="366">
        <v>0</v>
      </c>
      <c r="L43" s="380">
        <v>257.64999999999964</v>
      </c>
      <c r="M43">
        <v>0</v>
      </c>
      <c r="N43" s="377" t="str">
        <f>HYPERLINK("http://finance.yahoo.com/q?s=" &amp; E43, "Link")</f>
        <v>Link</v>
      </c>
      <c r="O43" s="376">
        <v>0</v>
      </c>
      <c r="Q43" s="152"/>
    </row>
    <row r="44" spans="1:21" ht="21.95" customHeight="1" x14ac:dyDescent="0.25">
      <c r="A44" s="51"/>
      <c r="B44" s="51"/>
      <c r="C44" s="52"/>
      <c r="E44" s="23" t="s">
        <v>181</v>
      </c>
      <c r="F44" s="249">
        <v>48.63</v>
      </c>
      <c r="G44" s="50">
        <v>46.026249999999955</v>
      </c>
      <c r="H44" s="337">
        <v>80</v>
      </c>
      <c r="I44" s="49">
        <v>3682.0999999999963</v>
      </c>
      <c r="J44" s="380">
        <v>208.30000000000337</v>
      </c>
      <c r="K44" s="366">
        <v>5.6570978517694798E-2</v>
      </c>
      <c r="L44" s="380">
        <v>208.30000000000337</v>
      </c>
      <c r="M44">
        <v>80</v>
      </c>
      <c r="N44" s="377" t="str">
        <f>HYPERLINK("http://finance.yahoo.com/q?s=" &amp; E44, "Link")</f>
        <v>Link</v>
      </c>
      <c r="O44" s="376">
        <v>3.1199999999999999E-2</v>
      </c>
      <c r="Q44" s="152"/>
    </row>
    <row r="45" spans="1:21" ht="21.95" customHeight="1" x14ac:dyDescent="0.25">
      <c r="A45" s="51"/>
      <c r="B45" s="51"/>
      <c r="C45" s="52"/>
      <c r="E45" s="23" t="s">
        <v>53</v>
      </c>
      <c r="F45" s="249">
        <v>61.53</v>
      </c>
      <c r="G45" s="249">
        <v>61.53</v>
      </c>
      <c r="H45" s="337">
        <v>0</v>
      </c>
      <c r="I45" s="49">
        <v>0</v>
      </c>
      <c r="J45" s="380">
        <v>0</v>
      </c>
      <c r="K45" s="366">
        <v>0</v>
      </c>
      <c r="L45" s="380">
        <v>33.940000000000055</v>
      </c>
      <c r="M45">
        <v>0</v>
      </c>
      <c r="N45" s="377" t="str">
        <f>HYPERLINK("http://finance.yahoo.com/q?s=" &amp; E45, "Link")</f>
        <v>Link</v>
      </c>
      <c r="O45" s="376">
        <v>7.1000000000000004E-3</v>
      </c>
    </row>
    <row r="46" spans="1:21" ht="21.95" customHeight="1" x14ac:dyDescent="0.25">
      <c r="A46" s="51"/>
      <c r="B46" s="51"/>
      <c r="C46" s="52"/>
      <c r="E46" s="23"/>
      <c r="H46" s="337"/>
      <c r="J46" s="380"/>
      <c r="K46" s="366"/>
      <c r="L46" s="380"/>
      <c r="N46" s="377"/>
      <c r="O46" s="376"/>
    </row>
    <row r="47" spans="1:21" ht="21.95" customHeight="1" x14ac:dyDescent="0.25">
      <c r="A47" s="51"/>
      <c r="B47" s="51"/>
      <c r="C47" s="52"/>
      <c r="E47" s="23"/>
      <c r="H47" s="337"/>
      <c r="J47" s="380"/>
      <c r="K47" s="366"/>
      <c r="L47" s="380"/>
      <c r="N47" s="377"/>
      <c r="O47" s="376"/>
      <c r="Q47" s="49"/>
    </row>
  </sheetData>
  <sortState ref="A2:U47">
    <sortCondition ref="E1"/>
  </sortState>
  <dataConsolidate/>
  <conditionalFormatting sqref="J2:K45">
    <cfRule type="expression" dxfId="694" priority="48">
      <formula>$J2&lt;0</formula>
    </cfRule>
    <cfRule type="expression" dxfId="693" priority="49">
      <formula>$J2&gt;0</formula>
    </cfRule>
  </conditionalFormatting>
  <conditionalFormatting sqref="O1:O1048576">
    <cfRule type="expression" dxfId="692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91" priority="6">
      <formula>$H2=0</formula>
    </cfRule>
  </conditionalFormatting>
  <conditionalFormatting sqref="J2:K200">
    <cfRule type="expression" dxfId="690" priority="7">
      <formula>$J2=0</formula>
    </cfRule>
  </conditionalFormatting>
  <conditionalFormatting sqref="L1:L1048576">
    <cfRule type="expression" dxfId="689" priority="5">
      <formula>$L2=0</formula>
    </cfRule>
  </conditionalFormatting>
  <conditionalFormatting sqref="L2:L45">
    <cfRule type="expression" dxfId="688" priority="3">
      <formula>$L2&lt;0</formula>
    </cfRule>
    <cfRule type="expression" dxfId="687" priority="4">
      <formula>$L2&gt;0</formula>
    </cfRule>
  </conditionalFormatting>
  <conditionalFormatting sqref="M1">
    <cfRule type="expression" dxfId="686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42606</v>
      </c>
      <c r="X2" s="10">
        <v>318.18</v>
      </c>
      <c r="Y2" s="10">
        <v>321.74</v>
      </c>
      <c r="Z2" s="10">
        <v>306.73</v>
      </c>
      <c r="AA2" s="10">
        <v>309.33</v>
      </c>
      <c r="AB2" s="95">
        <v>1643000</v>
      </c>
      <c r="AC2" s="10">
        <v>309.33</v>
      </c>
      <c r="AD2" s="2">
        <f>Y2-Z2</f>
        <v>15.009999999999991</v>
      </c>
      <c r="AE2" s="138">
        <f>AC2/AC3-1</f>
        <v>-2.7783889115881588E-2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309.33</v>
      </c>
      <c r="W3" s="133">
        <v>42605</v>
      </c>
      <c r="X3" s="10">
        <v>316.81</v>
      </c>
      <c r="Y3" s="10">
        <v>322.99</v>
      </c>
      <c r="Z3" s="10">
        <v>315.27999999999997</v>
      </c>
      <c r="AA3" s="10">
        <v>318.17</v>
      </c>
      <c r="AB3" s="95">
        <v>1429000</v>
      </c>
      <c r="AC3" s="10">
        <v>318.17</v>
      </c>
      <c r="AD3" s="2">
        <f t="shared" ref="AD3:AD66" si="0">Y3-Z3</f>
        <v>7.7100000000000364</v>
      </c>
      <c r="AE3" s="138">
        <f t="shared" ref="AE3:AE66" si="1">AC3/AC4-1</f>
        <v>4.2927937880750111E-3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309.33</v>
      </c>
      <c r="T4" s="1"/>
      <c r="W4" s="133">
        <v>42604</v>
      </c>
      <c r="X4" s="10">
        <v>316.14999999999998</v>
      </c>
      <c r="Y4" s="10">
        <v>320.82</v>
      </c>
      <c r="Z4" s="10">
        <v>315.13</v>
      </c>
      <c r="AA4" s="10">
        <v>316.81</v>
      </c>
      <c r="AB4" s="95">
        <v>1317300</v>
      </c>
      <c r="AC4" s="10">
        <v>316.81</v>
      </c>
      <c r="AD4" s="2">
        <f t="shared" si="0"/>
        <v>5.6899999999999977</v>
      </c>
      <c r="AE4" s="138">
        <f t="shared" si="1"/>
        <v>0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42601</v>
      </c>
      <c r="X5" s="10">
        <v>313.69</v>
      </c>
      <c r="Y5" s="10">
        <v>319.89</v>
      </c>
      <c r="Z5" s="10">
        <v>312.39</v>
      </c>
      <c r="AA5" s="10">
        <v>316.81</v>
      </c>
      <c r="AB5" s="95">
        <v>1392600</v>
      </c>
      <c r="AC5" s="10">
        <v>316.81</v>
      </c>
      <c r="AD5" s="2">
        <f t="shared" si="0"/>
        <v>7.5</v>
      </c>
      <c r="AE5" s="138">
        <f t="shared" si="1"/>
        <v>1.094517837768838E-2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42600</v>
      </c>
      <c r="X6" s="10">
        <v>313.57</v>
      </c>
      <c r="Y6" s="10">
        <v>313.76</v>
      </c>
      <c r="Z6" s="10">
        <v>312</v>
      </c>
      <c r="AA6" s="10">
        <v>313.38</v>
      </c>
      <c r="AB6" s="95">
        <v>587300</v>
      </c>
      <c r="AC6" s="10">
        <v>313.38</v>
      </c>
      <c r="AD6" s="2">
        <f t="shared" si="0"/>
        <v>1.7599999999999909</v>
      </c>
      <c r="AE6" s="138">
        <f t="shared" si="1"/>
        <v>-1.4020776241157051E-3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42599</v>
      </c>
      <c r="X7" s="10">
        <v>314.17</v>
      </c>
      <c r="Y7" s="10">
        <v>314.70999999999998</v>
      </c>
      <c r="Z7" s="10">
        <v>311.29000000000002</v>
      </c>
      <c r="AA7" s="10">
        <v>313.82</v>
      </c>
      <c r="AB7" s="95">
        <v>852600</v>
      </c>
      <c r="AC7" s="10">
        <v>313.82</v>
      </c>
      <c r="AD7" s="2">
        <f t="shared" si="0"/>
        <v>3.4199999999999591</v>
      </c>
      <c r="AE7" s="138">
        <f t="shared" si="1"/>
        <v>1.2762427413692823E-3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42598</v>
      </c>
      <c r="X8" s="10">
        <v>313.27</v>
      </c>
      <c r="Y8" s="10">
        <v>316.67</v>
      </c>
      <c r="Z8" s="10">
        <v>312.64</v>
      </c>
      <c r="AA8" s="10">
        <v>313.42</v>
      </c>
      <c r="AB8" s="95">
        <v>938500</v>
      </c>
      <c r="AC8" s="10">
        <v>313.42</v>
      </c>
      <c r="AD8" s="2">
        <f t="shared" si="0"/>
        <v>4.0300000000000296</v>
      </c>
      <c r="AE8" s="138">
        <f t="shared" si="1"/>
        <v>9.5727368454756601E-5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42597</v>
      </c>
      <c r="X9" s="10">
        <v>313.39999999999998</v>
      </c>
      <c r="Y9" s="10">
        <v>315.08</v>
      </c>
      <c r="Z9" s="10">
        <v>310.01</v>
      </c>
      <c r="AA9" s="10">
        <v>313.39</v>
      </c>
      <c r="AB9" s="95">
        <v>923300</v>
      </c>
      <c r="AC9" s="10">
        <v>313.39</v>
      </c>
      <c r="AD9" s="2">
        <f t="shared" si="0"/>
        <v>5.0699999999999932</v>
      </c>
      <c r="AE9" s="138">
        <f t="shared" si="1"/>
        <v>-1.7519271198318531E-3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M39</f>
        <v>1659.3600000000079</v>
      </c>
      <c r="W10" s="133">
        <v>42594</v>
      </c>
      <c r="X10" s="10">
        <v>311.99</v>
      </c>
      <c r="Y10" s="10">
        <v>315.23</v>
      </c>
      <c r="Z10" s="10">
        <v>311.64999999999998</v>
      </c>
      <c r="AA10" s="10">
        <v>313.94</v>
      </c>
      <c r="AB10" s="95">
        <v>989200</v>
      </c>
      <c r="AC10" s="10">
        <v>313.94</v>
      </c>
      <c r="AD10" s="2">
        <f t="shared" si="0"/>
        <v>3.5800000000000409</v>
      </c>
      <c r="AE10" s="138">
        <f t="shared" si="1"/>
        <v>-1.7488632388947822E-3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42593</v>
      </c>
      <c r="X11" s="10">
        <v>309.47000000000003</v>
      </c>
      <c r="Y11" s="10">
        <v>316.25</v>
      </c>
      <c r="Z11" s="10">
        <v>309.42</v>
      </c>
      <c r="AA11" s="10">
        <v>314.49</v>
      </c>
      <c r="AB11" s="95">
        <v>1755400</v>
      </c>
      <c r="AC11" s="10">
        <v>314.49</v>
      </c>
      <c r="AD11" s="2">
        <f t="shared" si="0"/>
        <v>6.8299999999999841</v>
      </c>
      <c r="AE11" s="138">
        <f t="shared" si="1"/>
        <v>1.819535727004884E-2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42592</v>
      </c>
      <c r="X12" s="10">
        <v>315</v>
      </c>
      <c r="Y12" s="10">
        <v>315</v>
      </c>
      <c r="Z12" s="10">
        <v>307.14</v>
      </c>
      <c r="AA12" s="10">
        <v>308.87</v>
      </c>
      <c r="AB12" s="95">
        <v>1235300</v>
      </c>
      <c r="AC12" s="10">
        <v>308.87</v>
      </c>
      <c r="AD12" s="2">
        <f t="shared" si="0"/>
        <v>7.8600000000000136</v>
      </c>
      <c r="AE12" s="138">
        <f t="shared" si="1"/>
        <v>-1.765154888365883E-2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42591</v>
      </c>
      <c r="X13" s="10">
        <v>313.72000000000003</v>
      </c>
      <c r="Y13" s="10">
        <v>316.24</v>
      </c>
      <c r="Z13" s="10">
        <v>311.8</v>
      </c>
      <c r="AA13" s="10">
        <v>314.42</v>
      </c>
      <c r="AB13" s="95">
        <v>1130600</v>
      </c>
      <c r="AC13" s="10">
        <v>314.42</v>
      </c>
      <c r="AD13" s="2">
        <f t="shared" si="0"/>
        <v>4.4399999999999977</v>
      </c>
      <c r="AE13" s="138">
        <f t="shared" si="1"/>
        <v>2.4549657261279112E-3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42590</v>
      </c>
      <c r="X14" s="10">
        <v>316.02</v>
      </c>
      <c r="Y14" s="10">
        <v>316.35000000000002</v>
      </c>
      <c r="Z14" s="10">
        <v>309.16000000000003</v>
      </c>
      <c r="AA14" s="10">
        <v>313.64999999999998</v>
      </c>
      <c r="AB14" s="95">
        <v>2136800</v>
      </c>
      <c r="AC14" s="10">
        <v>313.64999999999998</v>
      </c>
      <c r="AD14" s="2">
        <f t="shared" si="0"/>
        <v>7.1899999999999977</v>
      </c>
      <c r="AE14" s="138">
        <f t="shared" si="1"/>
        <v>-7.3110520319027428E-3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42587</v>
      </c>
      <c r="X15" s="10">
        <v>316.16000000000003</v>
      </c>
      <c r="Y15" s="10">
        <v>318.91000000000003</v>
      </c>
      <c r="Z15" s="10">
        <v>313.69</v>
      </c>
      <c r="AA15" s="10">
        <v>315.95999999999998</v>
      </c>
      <c r="AB15" s="95">
        <v>1358300</v>
      </c>
      <c r="AC15" s="10">
        <v>315.95999999999998</v>
      </c>
      <c r="AD15" s="2">
        <f t="shared" si="0"/>
        <v>5.2200000000000273</v>
      </c>
      <c r="AE15" s="138">
        <f t="shared" si="1"/>
        <v>4.4506612410986079E-3</v>
      </c>
    </row>
    <row r="16" spans="1:40" x14ac:dyDescent="0.25">
      <c r="G16" s="1"/>
      <c r="W16" s="133">
        <v>42586</v>
      </c>
      <c r="X16" s="10">
        <v>320.14999999999998</v>
      </c>
      <c r="Y16" s="10">
        <v>320.45</v>
      </c>
      <c r="Z16" s="10">
        <v>314.01</v>
      </c>
      <c r="AA16" s="10">
        <v>314.56</v>
      </c>
      <c r="AB16" s="95">
        <v>2002300</v>
      </c>
      <c r="AC16" s="10">
        <v>314.56</v>
      </c>
      <c r="AD16" s="2">
        <f t="shared" si="0"/>
        <v>6.4399999999999977</v>
      </c>
      <c r="AE16" s="138">
        <f t="shared" si="1"/>
        <v>-2.1099147320594924E-2</v>
      </c>
    </row>
    <row r="17" spans="1:31" x14ac:dyDescent="0.25">
      <c r="G17" s="1"/>
      <c r="W17" s="133">
        <v>42585</v>
      </c>
      <c r="X17" s="10">
        <v>321.77</v>
      </c>
      <c r="Y17" s="10">
        <v>324.3</v>
      </c>
      <c r="Z17" s="10">
        <v>310.06</v>
      </c>
      <c r="AA17" s="10">
        <v>321.33999999999997</v>
      </c>
      <c r="AB17" s="95">
        <v>6040500</v>
      </c>
      <c r="AC17" s="10">
        <v>321.33999999999997</v>
      </c>
      <c r="AD17" s="2">
        <f t="shared" si="0"/>
        <v>14.240000000000009</v>
      </c>
      <c r="AE17" s="138">
        <f t="shared" si="1"/>
        <v>-2.6566901941777132E-2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42584</v>
      </c>
      <c r="X18" s="10">
        <v>302.88</v>
      </c>
      <c r="Y18" s="10">
        <v>333.65</v>
      </c>
      <c r="Z18" s="10">
        <v>297.66000000000003</v>
      </c>
      <c r="AA18" s="10">
        <v>330.11</v>
      </c>
      <c r="AB18" s="95">
        <v>7800000</v>
      </c>
      <c r="AC18" s="10">
        <v>330.11</v>
      </c>
      <c r="AD18" s="2">
        <f t="shared" si="0"/>
        <v>35.989999999999952</v>
      </c>
      <c r="AE18" s="138">
        <f t="shared" si="1"/>
        <v>9.3695126395653361E-2</v>
      </c>
    </row>
    <row r="19" spans="1:31" x14ac:dyDescent="0.25">
      <c r="N19" s="2"/>
      <c r="W19" s="133">
        <v>42583</v>
      </c>
      <c r="X19" s="10">
        <v>300</v>
      </c>
      <c r="Y19" s="10">
        <v>307.5</v>
      </c>
      <c r="Z19" s="10">
        <v>299.06</v>
      </c>
      <c r="AA19" s="10">
        <v>301.83</v>
      </c>
      <c r="AB19" s="95">
        <v>3565600</v>
      </c>
      <c r="AC19" s="10">
        <v>301.83</v>
      </c>
      <c r="AD19" s="2">
        <f t="shared" si="0"/>
        <v>8.4399999999999977</v>
      </c>
      <c r="AE19" s="138">
        <f t="shared" si="1"/>
        <v>4.1044390025178457E-2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42580</v>
      </c>
      <c r="X20" s="10">
        <v>288.85000000000002</v>
      </c>
      <c r="Y20" s="10">
        <v>290.45999999999998</v>
      </c>
      <c r="Z20" s="10">
        <v>286.8</v>
      </c>
      <c r="AA20" s="10">
        <v>289.93</v>
      </c>
      <c r="AB20" s="95">
        <v>1338500</v>
      </c>
      <c r="AC20" s="10">
        <v>289.93</v>
      </c>
      <c r="AD20" s="2">
        <f t="shared" si="0"/>
        <v>3.6599999999999682</v>
      </c>
      <c r="AE20" s="138">
        <f t="shared" si="1"/>
        <v>3.1138636127738817E-3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42579</v>
      </c>
      <c r="X21" s="10">
        <v>288.61</v>
      </c>
      <c r="Y21" s="10">
        <v>289.98</v>
      </c>
      <c r="Z21" s="10">
        <v>285.07</v>
      </c>
      <c r="AA21" s="10">
        <v>289.02999999999997</v>
      </c>
      <c r="AB21" s="95">
        <v>1454500</v>
      </c>
      <c r="AC21" s="10">
        <v>289.02999999999997</v>
      </c>
      <c r="AD21" s="2">
        <f t="shared" si="0"/>
        <v>4.910000000000025</v>
      </c>
      <c r="AE21" s="138">
        <f t="shared" si="1"/>
        <v>2.3582451881392075E-3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42578</v>
      </c>
      <c r="X22" s="10">
        <v>286.83</v>
      </c>
      <c r="Y22" s="10">
        <v>288.77</v>
      </c>
      <c r="Z22" s="10">
        <v>286.08</v>
      </c>
      <c r="AA22" s="10">
        <v>288.35000000000002</v>
      </c>
      <c r="AB22" s="95">
        <v>1458200</v>
      </c>
      <c r="AC22" s="10">
        <v>288.35000000000002</v>
      </c>
      <c r="AD22" s="2">
        <f t="shared" si="0"/>
        <v>2.6899999999999977</v>
      </c>
      <c r="AE22" s="138">
        <f t="shared" si="1"/>
        <v>4.5638238573020296E-3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42577</v>
      </c>
      <c r="X23" s="10">
        <v>286</v>
      </c>
      <c r="Y23" s="10">
        <v>289.95</v>
      </c>
      <c r="Z23" s="10">
        <v>285.47000000000003</v>
      </c>
      <c r="AA23" s="10">
        <v>287.04000000000002</v>
      </c>
      <c r="AB23" s="95">
        <v>1987100</v>
      </c>
      <c r="AC23" s="10">
        <v>287.04000000000002</v>
      </c>
      <c r="AD23" s="2">
        <f t="shared" si="0"/>
        <v>4.4799999999999613</v>
      </c>
      <c r="AE23" s="138">
        <f t="shared" si="1"/>
        <v>-1.0788237341221585E-3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42576</v>
      </c>
      <c r="X24" s="10">
        <v>287.83999999999997</v>
      </c>
      <c r="Y24" s="10">
        <v>290.58</v>
      </c>
      <c r="Z24" s="10">
        <v>285.02</v>
      </c>
      <c r="AA24" s="10">
        <v>287.35000000000002</v>
      </c>
      <c r="AB24" s="95">
        <v>1977700</v>
      </c>
      <c r="AC24" s="10">
        <v>287.35000000000002</v>
      </c>
      <c r="AD24" s="2">
        <f t="shared" si="0"/>
        <v>5.5600000000000023</v>
      </c>
      <c r="AE24" s="138">
        <f t="shared" si="1"/>
        <v>-1.4941969560079427E-3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42573</v>
      </c>
      <c r="X25" s="10">
        <v>282.08999999999997</v>
      </c>
      <c r="Y25" s="10">
        <v>290.92</v>
      </c>
      <c r="Z25" s="10">
        <v>281.38</v>
      </c>
      <c r="AA25" s="10">
        <v>287.77999999999997</v>
      </c>
      <c r="AB25" s="95">
        <v>3394600</v>
      </c>
      <c r="AC25" s="10">
        <v>287.77999999999997</v>
      </c>
      <c r="AD25" s="2">
        <f t="shared" si="0"/>
        <v>9.5400000000000205</v>
      </c>
      <c r="AE25" s="138">
        <f t="shared" si="1"/>
        <v>1.8870596565763842E-2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42572</v>
      </c>
      <c r="X26" s="10">
        <v>279.76</v>
      </c>
      <c r="Y26" s="10">
        <v>282.54000000000002</v>
      </c>
      <c r="Z26" s="10">
        <v>274.23</v>
      </c>
      <c r="AA26" s="10">
        <v>282.45</v>
      </c>
      <c r="AB26" s="95">
        <v>5548000</v>
      </c>
      <c r="AC26" s="10">
        <v>282.45</v>
      </c>
      <c r="AD26" s="2">
        <f t="shared" si="0"/>
        <v>8.3100000000000023</v>
      </c>
      <c r="AE26" s="138">
        <f t="shared" si="1"/>
        <v>7.6369040813993205E-2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42571</v>
      </c>
      <c r="X27" s="10">
        <v>259.87</v>
      </c>
      <c r="Y27" s="10">
        <v>263.16000000000003</v>
      </c>
      <c r="Z27" s="10">
        <v>257.57</v>
      </c>
      <c r="AA27" s="10">
        <v>262.41000000000003</v>
      </c>
      <c r="AB27" s="95">
        <v>1830200</v>
      </c>
      <c r="AC27" s="10">
        <v>262.41000000000003</v>
      </c>
      <c r="AD27" s="2">
        <f t="shared" si="0"/>
        <v>5.5900000000000318</v>
      </c>
      <c r="AE27" s="138">
        <f t="shared" si="1"/>
        <v>9.9684396890156179E-3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42570</v>
      </c>
      <c r="X28" s="10">
        <v>260.94</v>
      </c>
      <c r="Y28" s="10">
        <v>262.49</v>
      </c>
      <c r="Z28" s="10">
        <v>258.16000000000003</v>
      </c>
      <c r="AA28" s="10">
        <v>259.82</v>
      </c>
      <c r="AB28" s="95">
        <v>1094500</v>
      </c>
      <c r="AC28" s="10">
        <v>259.82</v>
      </c>
      <c r="AD28" s="2">
        <f t="shared" si="0"/>
        <v>4.3299999999999841</v>
      </c>
      <c r="AE28" s="138">
        <f t="shared" si="1"/>
        <v>-6.4244741873805689E-3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42569</v>
      </c>
      <c r="X29" s="10">
        <v>260.04000000000002</v>
      </c>
      <c r="Y29" s="10">
        <v>262.8</v>
      </c>
      <c r="Z29" s="10">
        <v>257.47000000000003</v>
      </c>
      <c r="AA29" s="10">
        <v>261.5</v>
      </c>
      <c r="AB29" s="95">
        <v>2133000</v>
      </c>
      <c r="AC29" s="10">
        <v>261.5</v>
      </c>
      <c r="AD29" s="2">
        <f t="shared" si="0"/>
        <v>5.3299999999999841</v>
      </c>
      <c r="AE29" s="138">
        <f t="shared" si="1"/>
        <v>4.6100653092584487E-3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42566</v>
      </c>
      <c r="X30" s="10">
        <v>254.12</v>
      </c>
      <c r="Y30" s="10">
        <v>260.45</v>
      </c>
      <c r="Z30" s="10">
        <v>253.81</v>
      </c>
      <c r="AA30" s="10">
        <v>260.3</v>
      </c>
      <c r="AB30" s="95">
        <v>2404900</v>
      </c>
      <c r="AC30" s="10">
        <v>260.3</v>
      </c>
      <c r="AD30" s="2">
        <f t="shared" si="0"/>
        <v>6.6399999999999864</v>
      </c>
      <c r="AE30" s="138">
        <f t="shared" si="1"/>
        <v>2.9382686756040721E-2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42565</v>
      </c>
      <c r="X31" s="10">
        <v>253.3</v>
      </c>
      <c r="Y31" s="10">
        <v>253.8</v>
      </c>
      <c r="Z31" s="10">
        <v>250.02</v>
      </c>
      <c r="AA31" s="10">
        <v>252.87</v>
      </c>
      <c r="AB31" s="95">
        <v>1295400</v>
      </c>
      <c r="AC31" s="10">
        <v>252.87</v>
      </c>
      <c r="AD31" s="2">
        <f t="shared" si="0"/>
        <v>3.7800000000000011</v>
      </c>
      <c r="AE31" s="138">
        <f t="shared" si="1"/>
        <v>6.6881643377523226E-3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42564</v>
      </c>
      <c r="X32" s="10">
        <v>254.24</v>
      </c>
      <c r="Y32" s="10">
        <v>254.27</v>
      </c>
      <c r="Z32" s="10">
        <v>250.82</v>
      </c>
      <c r="AA32" s="10">
        <v>251.19</v>
      </c>
      <c r="AB32" s="95">
        <v>1285400</v>
      </c>
      <c r="AC32" s="10">
        <v>251.19</v>
      </c>
      <c r="AD32" s="2">
        <f t="shared" si="0"/>
        <v>3.4500000000000171</v>
      </c>
      <c r="AE32" s="138">
        <f t="shared" si="1"/>
        <v>-8.5648879065362005E-3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42563</v>
      </c>
      <c r="X33" s="10">
        <v>253.78</v>
      </c>
      <c r="Y33" s="10">
        <v>254.85</v>
      </c>
      <c r="Z33" s="10">
        <v>251.29</v>
      </c>
      <c r="AA33" s="10">
        <v>253.36</v>
      </c>
      <c r="AB33" s="95">
        <v>1175100</v>
      </c>
      <c r="AC33" s="10">
        <v>253.36</v>
      </c>
      <c r="AD33" s="2">
        <f t="shared" si="0"/>
        <v>3.5600000000000023</v>
      </c>
      <c r="AE33" s="138">
        <f t="shared" si="1"/>
        <v>3.2470103745942946E-3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42562</v>
      </c>
      <c r="X34" s="10">
        <v>253.25</v>
      </c>
      <c r="Y34" s="10">
        <v>255.1</v>
      </c>
      <c r="Z34" s="10">
        <v>251.12</v>
      </c>
      <c r="AA34" s="10">
        <v>252.54</v>
      </c>
      <c r="AB34" s="95">
        <v>1746600</v>
      </c>
      <c r="AC34" s="10">
        <v>252.54</v>
      </c>
      <c r="AD34" s="2">
        <f t="shared" si="0"/>
        <v>3.9799999999999898</v>
      </c>
      <c r="AE34" s="138">
        <f t="shared" si="1"/>
        <v>4.934341424592148E-3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42559</v>
      </c>
      <c r="X35" s="10">
        <v>248.63</v>
      </c>
      <c r="Y35" s="10">
        <v>251.78</v>
      </c>
      <c r="Z35" s="10">
        <v>246.11</v>
      </c>
      <c r="AA35" s="10">
        <v>251.3</v>
      </c>
      <c r="AB35" s="95">
        <v>1295600</v>
      </c>
      <c r="AC35" s="10">
        <v>251.3</v>
      </c>
      <c r="AD35" s="2">
        <f t="shared" si="0"/>
        <v>5.6699999999999875</v>
      </c>
      <c r="AE35" s="138">
        <f t="shared" si="1"/>
        <v>1.6297973874711769E-2</v>
      </c>
    </row>
    <row r="36" spans="1:31" x14ac:dyDescent="0.25">
      <c r="W36" s="133">
        <v>42558</v>
      </c>
      <c r="X36" s="10">
        <v>247.24</v>
      </c>
      <c r="Y36" s="10">
        <v>249.66</v>
      </c>
      <c r="Z36" s="10">
        <v>245.22</v>
      </c>
      <c r="AA36" s="10">
        <v>247.27</v>
      </c>
      <c r="AB36" s="95">
        <v>1140400</v>
      </c>
      <c r="AC36" s="10">
        <v>247.27</v>
      </c>
      <c r="AD36" s="2">
        <f t="shared" si="0"/>
        <v>4.4399999999999977</v>
      </c>
      <c r="AE36" s="138">
        <f t="shared" si="1"/>
        <v>-8.4855341845802013E-4</v>
      </c>
    </row>
    <row r="37" spans="1:31" x14ac:dyDescent="0.25">
      <c r="W37" s="133">
        <v>42557</v>
      </c>
      <c r="X37" s="10">
        <v>241.64</v>
      </c>
      <c r="Y37" s="10">
        <v>247.89</v>
      </c>
      <c r="Z37" s="10">
        <v>240.71</v>
      </c>
      <c r="AA37" s="10">
        <v>247.48</v>
      </c>
      <c r="AB37" s="95">
        <v>1750900</v>
      </c>
      <c r="AC37" s="10">
        <v>247.48</v>
      </c>
      <c r="AD37" s="2">
        <f t="shared" si="0"/>
        <v>7.1799999999999784</v>
      </c>
      <c r="AE37" s="138">
        <f t="shared" si="1"/>
        <v>2.251786968557612E-2</v>
      </c>
    </row>
    <row r="38" spans="1:31" x14ac:dyDescent="0.25">
      <c r="W38" s="133">
        <v>42556</v>
      </c>
      <c r="X38" s="10">
        <v>244.62</v>
      </c>
      <c r="Y38" s="10">
        <v>244.8</v>
      </c>
      <c r="Z38" s="10">
        <v>240.07</v>
      </c>
      <c r="AA38" s="10">
        <v>242.03</v>
      </c>
      <c r="AB38" s="95">
        <v>1239300</v>
      </c>
      <c r="AC38" s="10">
        <v>242.03</v>
      </c>
      <c r="AD38" s="2">
        <f t="shared" si="0"/>
        <v>4.7300000000000182</v>
      </c>
      <c r="AE38" s="138">
        <f t="shared" si="1"/>
        <v>-1.2364318942299835E-2</v>
      </c>
    </row>
    <row r="39" spans="1:31" x14ac:dyDescent="0.25">
      <c r="A39" s="262"/>
      <c r="B39" s="262"/>
      <c r="C39" s="262"/>
      <c r="D39" s="263"/>
      <c r="E39" s="263"/>
      <c r="F39" s="263"/>
      <c r="G39" s="262"/>
      <c r="H39" s="262"/>
      <c r="I39" s="262"/>
      <c r="J39" s="262"/>
      <c r="K39" s="264" t="s">
        <v>133</v>
      </c>
      <c r="L39" s="262"/>
      <c r="M39" s="263">
        <f>K57+M57-F57</f>
        <v>1659.3600000000079</v>
      </c>
      <c r="W39" s="133">
        <v>42552</v>
      </c>
      <c r="X39" s="10">
        <v>242.57</v>
      </c>
      <c r="Y39" s="10">
        <v>246.55</v>
      </c>
      <c r="Z39" s="10">
        <v>241.59</v>
      </c>
      <c r="AA39" s="10">
        <v>245.06</v>
      </c>
      <c r="AB39" s="95">
        <v>1465500</v>
      </c>
      <c r="AC39" s="10">
        <v>245.06</v>
      </c>
      <c r="AD39" s="2">
        <f t="shared" si="0"/>
        <v>4.960000000000008</v>
      </c>
      <c r="AE39" s="138">
        <f t="shared" si="1"/>
        <v>1.3398395500785698E-2</v>
      </c>
    </row>
    <row r="40" spans="1:31" x14ac:dyDescent="0.25">
      <c r="A40" s="264" t="s">
        <v>1</v>
      </c>
      <c r="B40" s="264" t="s">
        <v>2</v>
      </c>
      <c r="C40" s="264" t="s">
        <v>4</v>
      </c>
      <c r="D40" s="265" t="s">
        <v>5</v>
      </c>
      <c r="E40" s="265" t="s">
        <v>94</v>
      </c>
      <c r="F40" s="265" t="s">
        <v>60</v>
      </c>
      <c r="G40" s="264" t="s">
        <v>3</v>
      </c>
      <c r="H40" s="264" t="s">
        <v>6</v>
      </c>
      <c r="I40" s="264" t="s">
        <v>7</v>
      </c>
      <c r="J40" s="264" t="s">
        <v>95</v>
      </c>
      <c r="K40" s="265" t="s">
        <v>61</v>
      </c>
      <c r="L40" s="264" t="s">
        <v>77</v>
      </c>
      <c r="M40" s="264" t="s">
        <v>38</v>
      </c>
      <c r="W40" s="133">
        <v>42551</v>
      </c>
      <c r="X40" s="10">
        <v>239.31</v>
      </c>
      <c r="Y40" s="10">
        <v>241.9</v>
      </c>
      <c r="Z40" s="10">
        <v>236.67</v>
      </c>
      <c r="AA40" s="10">
        <v>241.82</v>
      </c>
      <c r="AB40" s="95">
        <v>2093200</v>
      </c>
      <c r="AC40" s="10">
        <v>241.82</v>
      </c>
      <c r="AD40" s="2">
        <f t="shared" si="0"/>
        <v>5.2300000000000182</v>
      </c>
      <c r="AE40" s="138">
        <f t="shared" si="1"/>
        <v>1.2180318948558089E-2</v>
      </c>
    </row>
    <row r="41" spans="1:31" x14ac:dyDescent="0.25">
      <c r="A41" s="266" t="s">
        <v>62</v>
      </c>
      <c r="B41" s="267">
        <v>42222</v>
      </c>
      <c r="C41" s="262">
        <v>5</v>
      </c>
      <c r="D41" s="263">
        <v>320</v>
      </c>
      <c r="E41" s="263">
        <v>0</v>
      </c>
      <c r="F41" s="263">
        <f>C41*D41 + E41</f>
        <v>1600</v>
      </c>
      <c r="G41" s="267">
        <v>42257</v>
      </c>
      <c r="H41" s="268">
        <v>5</v>
      </c>
      <c r="I41" s="263">
        <v>303.60000000000002</v>
      </c>
      <c r="J41" s="263">
        <v>0.03</v>
      </c>
      <c r="K41" s="263">
        <f t="shared" ref="K41:K48" si="3">H41*I41-J41</f>
        <v>1517.97</v>
      </c>
      <c r="L41" s="262" t="s">
        <v>80</v>
      </c>
      <c r="M41" s="262"/>
      <c r="W41" s="133">
        <v>42550</v>
      </c>
      <c r="X41" s="10">
        <v>232.87</v>
      </c>
      <c r="Y41" s="10">
        <v>239.85</v>
      </c>
      <c r="Z41" s="10">
        <v>232</v>
      </c>
      <c r="AA41" s="10">
        <v>238.91</v>
      </c>
      <c r="AB41" s="95">
        <v>2881200</v>
      </c>
      <c r="AC41" s="10">
        <v>238.91</v>
      </c>
      <c r="AD41" s="2">
        <f t="shared" si="0"/>
        <v>7.8499999999999943</v>
      </c>
      <c r="AE41" s="138">
        <f t="shared" si="1"/>
        <v>4.5466479957990469E-2</v>
      </c>
    </row>
    <row r="42" spans="1:31" ht="20.25" thickBot="1" x14ac:dyDescent="0.35">
      <c r="A42" s="269"/>
      <c r="B42" s="267">
        <v>42247</v>
      </c>
      <c r="C42" s="262">
        <v>5</v>
      </c>
      <c r="D42" s="263">
        <v>298.7</v>
      </c>
      <c r="E42" s="263">
        <v>0</v>
      </c>
      <c r="F42" s="263">
        <f>C42*D42 + E42</f>
        <v>1493.5</v>
      </c>
      <c r="G42" s="267">
        <v>42290</v>
      </c>
      <c r="H42" s="268">
        <v>5</v>
      </c>
      <c r="I42" s="263">
        <v>280.2</v>
      </c>
      <c r="J42" s="263">
        <v>0.03</v>
      </c>
      <c r="K42" s="263">
        <f t="shared" si="3"/>
        <v>1400.97</v>
      </c>
      <c r="L42" s="262"/>
      <c r="M42" s="262"/>
      <c r="O42" s="535" t="s">
        <v>78</v>
      </c>
      <c r="P42" s="535"/>
      <c r="T42" s="112" t="s">
        <v>113</v>
      </c>
      <c r="U42" s="4"/>
      <c r="W42" s="133">
        <v>42549</v>
      </c>
      <c r="X42" s="10">
        <v>225.68</v>
      </c>
      <c r="Y42" s="10">
        <v>229.75</v>
      </c>
      <c r="Z42" s="10">
        <v>225.68</v>
      </c>
      <c r="AA42" s="10">
        <v>228.52</v>
      </c>
      <c r="AB42" s="95">
        <v>2115700</v>
      </c>
      <c r="AC42" s="10">
        <v>228.52</v>
      </c>
      <c r="AD42" s="2">
        <f t="shared" si="0"/>
        <v>4.0699999999999932</v>
      </c>
      <c r="AE42" s="138">
        <f t="shared" si="1"/>
        <v>1.7453250222618122E-2</v>
      </c>
    </row>
    <row r="43" spans="1:31" ht="15.75" thickTop="1" x14ac:dyDescent="0.25">
      <c r="A43" s="262"/>
      <c r="B43" s="267">
        <v>42271</v>
      </c>
      <c r="C43" s="262">
        <v>10</v>
      </c>
      <c r="D43" s="263">
        <v>297</v>
      </c>
      <c r="E43" s="263">
        <v>0</v>
      </c>
      <c r="F43" s="263">
        <f>C43*D43 + E43</f>
        <v>2970</v>
      </c>
      <c r="G43" s="267">
        <v>42303</v>
      </c>
      <c r="H43" s="268">
        <v>10</v>
      </c>
      <c r="I43" s="263">
        <v>290</v>
      </c>
      <c r="J43" s="263">
        <v>0.05</v>
      </c>
      <c r="K43" s="263">
        <f t="shared" si="3"/>
        <v>2899.95</v>
      </c>
      <c r="L43" s="262"/>
      <c r="M43" s="262"/>
      <c r="O43" s="83">
        <v>1.1000000000000001</v>
      </c>
      <c r="P43" s="83">
        <f>O43*$Q$4</f>
        <v>340.26300000000003</v>
      </c>
      <c r="Q43" s="2"/>
      <c r="T43" s="435" t="s">
        <v>98</v>
      </c>
      <c r="U43" s="527">
        <v>318.17</v>
      </c>
      <c r="W43" s="133">
        <v>42548</v>
      </c>
      <c r="X43" s="10">
        <v>227</v>
      </c>
      <c r="Y43" s="10">
        <v>229.54</v>
      </c>
      <c r="Z43" s="10">
        <v>223.02</v>
      </c>
      <c r="AA43" s="10">
        <v>224.6</v>
      </c>
      <c r="AB43" s="95">
        <v>2913900</v>
      </c>
      <c r="AC43" s="10">
        <v>224.6</v>
      </c>
      <c r="AD43" s="2">
        <f t="shared" si="0"/>
        <v>6.5199999999999818</v>
      </c>
      <c r="AE43" s="138">
        <f t="shared" si="1"/>
        <v>-1.9299624486944444E-2</v>
      </c>
    </row>
    <row r="44" spans="1:31" x14ac:dyDescent="0.25">
      <c r="A44" s="262"/>
      <c r="B44" s="267">
        <v>42285</v>
      </c>
      <c r="C44" s="262">
        <v>15</v>
      </c>
      <c r="D44" s="263">
        <v>283</v>
      </c>
      <c r="E44" s="263">
        <v>0</v>
      </c>
      <c r="F44" s="263">
        <f t="shared" ref="F44:F53" si="4">C44*D44 + E44</f>
        <v>4245</v>
      </c>
      <c r="G44" s="267">
        <v>42307</v>
      </c>
      <c r="H44" s="268">
        <v>10</v>
      </c>
      <c r="I44" s="263">
        <v>289.35000000000002</v>
      </c>
      <c r="J44" s="263">
        <v>7</v>
      </c>
      <c r="K44" s="263">
        <f t="shared" si="3"/>
        <v>2886.5</v>
      </c>
      <c r="L44" s="262"/>
      <c r="M44" s="262"/>
      <c r="O44" s="83">
        <v>1.0900000000000001</v>
      </c>
      <c r="P44" s="83">
        <f t="shared" ref="P44:P63" si="5">O44*$Q$4</f>
        <v>337.16970000000003</v>
      </c>
      <c r="Q44" s="2"/>
      <c r="T44" s="435" t="s">
        <v>99</v>
      </c>
      <c r="U44" s="527">
        <v>318.18</v>
      </c>
      <c r="W44" s="133">
        <v>42545</v>
      </c>
      <c r="X44" s="10">
        <v>232</v>
      </c>
      <c r="Y44" s="10">
        <v>235.3</v>
      </c>
      <c r="Z44" s="10">
        <v>229</v>
      </c>
      <c r="AA44" s="10">
        <v>229.02</v>
      </c>
      <c r="AB44" s="95">
        <v>2685000</v>
      </c>
      <c r="AC44" s="10">
        <v>229.02</v>
      </c>
      <c r="AD44" s="2">
        <f t="shared" si="0"/>
        <v>6.3000000000000114</v>
      </c>
      <c r="AE44" s="138">
        <f t="shared" si="1"/>
        <v>-4.0231330148353006E-2</v>
      </c>
    </row>
    <row r="45" spans="1:31" x14ac:dyDescent="0.25">
      <c r="A45" s="262"/>
      <c r="B45" s="359">
        <v>42286</v>
      </c>
      <c r="C45" s="262">
        <v>5</v>
      </c>
      <c r="D45" s="263">
        <v>278.5</v>
      </c>
      <c r="E45" s="263">
        <v>0</v>
      </c>
      <c r="F45" s="263">
        <f t="shared" si="4"/>
        <v>1392.5</v>
      </c>
      <c r="G45" s="267">
        <v>42313</v>
      </c>
      <c r="H45" s="268">
        <v>10</v>
      </c>
      <c r="I45" s="263">
        <v>300</v>
      </c>
      <c r="J45" s="263">
        <v>0.06</v>
      </c>
      <c r="K45" s="263">
        <f t="shared" si="3"/>
        <v>2999.94</v>
      </c>
      <c r="L45" s="262"/>
      <c r="M45" s="262"/>
      <c r="O45" s="83">
        <v>1.08</v>
      </c>
      <c r="P45" s="83">
        <f t="shared" si="5"/>
        <v>334.07639999999998</v>
      </c>
      <c r="Q45" s="2"/>
      <c r="T45" s="435" t="s">
        <v>100</v>
      </c>
      <c r="U45" s="527" t="s">
        <v>421</v>
      </c>
      <c r="W45" s="133">
        <v>42544</v>
      </c>
      <c r="X45" s="10">
        <v>237.18</v>
      </c>
      <c r="Y45" s="10">
        <v>238.79</v>
      </c>
      <c r="Z45" s="10">
        <v>235.76</v>
      </c>
      <c r="AA45" s="10">
        <v>238.62</v>
      </c>
      <c r="AB45" s="95">
        <v>1403000</v>
      </c>
      <c r="AC45" s="10">
        <v>238.62</v>
      </c>
      <c r="AD45" s="2">
        <f t="shared" si="0"/>
        <v>3.0300000000000011</v>
      </c>
      <c r="AE45" s="138">
        <f t="shared" si="1"/>
        <v>1.7135549872122846E-2</v>
      </c>
    </row>
    <row r="46" spans="1:31" x14ac:dyDescent="0.25">
      <c r="A46" s="262"/>
      <c r="B46" s="359"/>
      <c r="C46" s="262">
        <v>5</v>
      </c>
      <c r="D46" s="263">
        <v>278.5</v>
      </c>
      <c r="E46" s="263">
        <v>0</v>
      </c>
      <c r="F46" s="263">
        <f t="shared" si="4"/>
        <v>1392.5</v>
      </c>
      <c r="G46" s="267">
        <v>42331</v>
      </c>
      <c r="H46" s="268">
        <v>40</v>
      </c>
      <c r="I46" s="263">
        <v>287.99</v>
      </c>
      <c r="J46" s="263">
        <v>0.21</v>
      </c>
      <c r="K46" s="263">
        <f t="shared" si="3"/>
        <v>11519.390000000001</v>
      </c>
      <c r="L46" s="262"/>
      <c r="M46" s="262"/>
      <c r="O46" s="83">
        <v>1.07</v>
      </c>
      <c r="P46" s="83">
        <f t="shared" si="5"/>
        <v>330.98309999999998</v>
      </c>
      <c r="Q46" s="2"/>
      <c r="T46" s="435" t="s">
        <v>101</v>
      </c>
      <c r="U46" s="527" t="s">
        <v>422</v>
      </c>
      <c r="W46" s="133">
        <v>42543</v>
      </c>
      <c r="X46" s="10">
        <v>233.66</v>
      </c>
      <c r="Y46" s="10">
        <v>238.48</v>
      </c>
      <c r="Z46" s="10">
        <v>232.16</v>
      </c>
      <c r="AA46" s="10">
        <v>234.6</v>
      </c>
      <c r="AB46" s="95">
        <v>2622400</v>
      </c>
      <c r="AC46" s="10">
        <v>234.6</v>
      </c>
      <c r="AD46" s="2">
        <f t="shared" si="0"/>
        <v>6.3199999999999932</v>
      </c>
      <c r="AE46" s="138">
        <f t="shared" si="1"/>
        <v>6.8669527896996208E-3</v>
      </c>
    </row>
    <row r="47" spans="1:31" x14ac:dyDescent="0.25">
      <c r="A47" s="262"/>
      <c r="B47" s="267">
        <v>42286</v>
      </c>
      <c r="C47" s="262">
        <v>10</v>
      </c>
      <c r="D47" s="263">
        <v>274</v>
      </c>
      <c r="E47" s="263">
        <v>0</v>
      </c>
      <c r="F47" s="263">
        <f t="shared" si="4"/>
        <v>2740</v>
      </c>
      <c r="G47" s="267">
        <v>42347</v>
      </c>
      <c r="H47" s="268">
        <v>35</v>
      </c>
      <c r="I47" s="263">
        <v>282.99</v>
      </c>
      <c r="J47" s="263">
        <v>0.18</v>
      </c>
      <c r="K47" s="263">
        <f t="shared" si="3"/>
        <v>9904.4699999999993</v>
      </c>
      <c r="L47" s="262"/>
      <c r="M47" s="262"/>
      <c r="O47" s="83">
        <v>1.06</v>
      </c>
      <c r="P47" s="83">
        <f t="shared" si="5"/>
        <v>327.88979999999998</v>
      </c>
      <c r="Q47" s="2"/>
      <c r="T47" s="435" t="s">
        <v>102</v>
      </c>
      <c r="U47" s="527">
        <v>340.33</v>
      </c>
      <c r="W47" s="133">
        <v>42542</v>
      </c>
      <c r="X47" s="10">
        <v>238</v>
      </c>
      <c r="Y47" s="10">
        <v>238.99</v>
      </c>
      <c r="Z47" s="10">
        <v>232.99</v>
      </c>
      <c r="AA47" s="10">
        <v>233</v>
      </c>
      <c r="AB47" s="95">
        <v>1955900</v>
      </c>
      <c r="AC47" s="10">
        <v>233</v>
      </c>
      <c r="AD47" s="2">
        <f t="shared" si="0"/>
        <v>6</v>
      </c>
      <c r="AE47" s="138">
        <f t="shared" si="1"/>
        <v>-1.8492775601331113E-2</v>
      </c>
    </row>
    <row r="48" spans="1:31" x14ac:dyDescent="0.25">
      <c r="A48" s="262"/>
      <c r="B48" s="267">
        <v>42286</v>
      </c>
      <c r="C48" s="262">
        <v>10</v>
      </c>
      <c r="D48" s="263">
        <v>269.8</v>
      </c>
      <c r="E48" s="263">
        <v>0</v>
      </c>
      <c r="F48" s="263">
        <f t="shared" si="4"/>
        <v>2698</v>
      </c>
      <c r="G48" s="267">
        <v>42359</v>
      </c>
      <c r="H48" s="268">
        <v>25</v>
      </c>
      <c r="I48" s="263">
        <v>295</v>
      </c>
      <c r="J48" s="263">
        <v>0.14000000000000001</v>
      </c>
      <c r="K48" s="263">
        <f t="shared" si="3"/>
        <v>7374.86</v>
      </c>
      <c r="L48" s="262"/>
      <c r="M48" s="262"/>
      <c r="O48" s="83">
        <v>1.05</v>
      </c>
      <c r="P48" s="83">
        <f t="shared" si="5"/>
        <v>324.79649999999998</v>
      </c>
      <c r="Q48" s="2"/>
      <c r="T48" s="435" t="s">
        <v>103</v>
      </c>
      <c r="U48" s="527">
        <v>0.43302800000000002</v>
      </c>
      <c r="W48" s="133">
        <v>42541</v>
      </c>
      <c r="X48" s="10">
        <v>241</v>
      </c>
      <c r="Y48" s="10">
        <v>242.5</v>
      </c>
      <c r="Z48" s="10">
        <v>237.17</v>
      </c>
      <c r="AA48" s="10">
        <v>237.39</v>
      </c>
      <c r="AB48" s="95">
        <v>1401100</v>
      </c>
      <c r="AC48" s="10">
        <v>237.39</v>
      </c>
      <c r="AD48" s="2">
        <f t="shared" si="0"/>
        <v>5.3300000000000125</v>
      </c>
      <c r="AE48" s="138">
        <f t="shared" si="1"/>
        <v>-3.4423407917384408E-3</v>
      </c>
    </row>
    <row r="49" spans="1:31" x14ac:dyDescent="0.25">
      <c r="A49" s="262"/>
      <c r="B49" s="267">
        <v>42292</v>
      </c>
      <c r="C49" s="262">
        <v>25</v>
      </c>
      <c r="D49" s="263">
        <v>268.5</v>
      </c>
      <c r="E49" s="263">
        <v>0</v>
      </c>
      <c r="F49" s="263">
        <f t="shared" si="4"/>
        <v>6712.5</v>
      </c>
      <c r="G49" s="267">
        <v>42447</v>
      </c>
      <c r="H49" s="268">
        <v>5</v>
      </c>
      <c r="I49" s="263">
        <v>249.59</v>
      </c>
      <c r="J49" s="263">
        <v>0.03</v>
      </c>
      <c r="K49" s="263">
        <v>1247.92</v>
      </c>
      <c r="L49" s="262"/>
      <c r="M49" s="262"/>
      <c r="O49" s="83">
        <v>1.04</v>
      </c>
      <c r="P49" s="83">
        <f t="shared" si="5"/>
        <v>321.70319999999998</v>
      </c>
      <c r="Q49" s="2"/>
      <c r="T49" s="435" t="s">
        <v>123</v>
      </c>
      <c r="U49" s="527" t="s">
        <v>314</v>
      </c>
      <c r="W49" s="133">
        <v>42538</v>
      </c>
      <c r="X49" s="10">
        <v>242.27</v>
      </c>
      <c r="Y49" s="10">
        <v>242.27</v>
      </c>
      <c r="Z49" s="10">
        <v>238.2</v>
      </c>
      <c r="AA49" s="10">
        <v>238.21</v>
      </c>
      <c r="AB49" s="95">
        <v>2219500</v>
      </c>
      <c r="AC49" s="10">
        <v>238.21</v>
      </c>
      <c r="AD49" s="2">
        <f t="shared" si="0"/>
        <v>4.0700000000000216</v>
      </c>
      <c r="AE49" s="138">
        <f t="shared" si="1"/>
        <v>-1.6433378752219285E-2</v>
      </c>
    </row>
    <row r="50" spans="1:31" x14ac:dyDescent="0.25">
      <c r="A50" s="262"/>
      <c r="B50" s="267">
        <v>42293</v>
      </c>
      <c r="C50" s="262">
        <v>10</v>
      </c>
      <c r="D50" s="263">
        <v>262.25</v>
      </c>
      <c r="E50" s="263">
        <v>0</v>
      </c>
      <c r="F50" s="263">
        <f t="shared" si="4"/>
        <v>2622.5</v>
      </c>
      <c r="G50" s="267">
        <v>42460</v>
      </c>
      <c r="H50" s="268">
        <v>5</v>
      </c>
      <c r="I50" s="263">
        <v>261.22000000000003</v>
      </c>
      <c r="J50" s="263">
        <v>0.03</v>
      </c>
      <c r="K50" s="263">
        <v>1306.0700000000002</v>
      </c>
      <c r="L50" s="262"/>
      <c r="M50" s="262"/>
      <c r="O50" s="83">
        <v>1.03</v>
      </c>
      <c r="P50" s="83">
        <f t="shared" si="5"/>
        <v>318.60989999999998</v>
      </c>
      <c r="Q50" s="2"/>
      <c r="T50" s="435"/>
      <c r="U50" s="527"/>
      <c r="W50" s="133">
        <v>42537</v>
      </c>
      <c r="X50" s="10">
        <v>236.91</v>
      </c>
      <c r="Y50" s="10">
        <v>243.34</v>
      </c>
      <c r="Z50" s="10">
        <v>236.54</v>
      </c>
      <c r="AA50" s="10">
        <v>242.19</v>
      </c>
      <c r="AB50" s="95">
        <v>1995500</v>
      </c>
      <c r="AC50" s="10">
        <v>242.19</v>
      </c>
      <c r="AD50" s="2">
        <f t="shared" si="0"/>
        <v>6.8000000000000114</v>
      </c>
      <c r="AE50" s="138">
        <f t="shared" si="1"/>
        <v>1.3729019295969147E-2</v>
      </c>
    </row>
    <row r="51" spans="1:31" x14ac:dyDescent="0.25">
      <c r="A51" s="262"/>
      <c r="B51" s="267">
        <v>42293</v>
      </c>
      <c r="C51" s="262">
        <v>10</v>
      </c>
      <c r="D51" s="263">
        <v>255.4</v>
      </c>
      <c r="E51" s="263">
        <v>0</v>
      </c>
      <c r="F51" s="263">
        <f t="shared" si="4"/>
        <v>2554</v>
      </c>
      <c r="G51" s="267">
        <v>42482</v>
      </c>
      <c r="H51" s="268">
        <v>5</v>
      </c>
      <c r="I51" s="263">
        <v>282.95</v>
      </c>
      <c r="J51" s="263">
        <v>0.03</v>
      </c>
      <c r="K51" s="263">
        <v>1414.72</v>
      </c>
      <c r="L51" s="262"/>
      <c r="M51" s="262"/>
      <c r="O51" s="83">
        <v>1.02</v>
      </c>
      <c r="P51" s="83">
        <f t="shared" si="5"/>
        <v>315.51659999999998</v>
      </c>
      <c r="Q51" s="2"/>
      <c r="T51" s="435" t="s">
        <v>105</v>
      </c>
      <c r="U51" s="527" t="s">
        <v>423</v>
      </c>
      <c r="W51" s="133">
        <v>42536</v>
      </c>
      <c r="X51" s="10">
        <v>242.38</v>
      </c>
      <c r="Y51" s="10">
        <v>242.99</v>
      </c>
      <c r="Z51" s="10">
        <v>238.59</v>
      </c>
      <c r="AA51" s="10">
        <v>238.91</v>
      </c>
      <c r="AB51" s="95">
        <v>2101600</v>
      </c>
      <c r="AC51" s="10">
        <v>238.91</v>
      </c>
      <c r="AD51" s="2">
        <f t="shared" si="0"/>
        <v>4.4000000000000057</v>
      </c>
      <c r="AE51" s="138">
        <f t="shared" si="1"/>
        <v>-1.1543235415804709E-2</v>
      </c>
    </row>
    <row r="52" spans="1:31" x14ac:dyDescent="0.25">
      <c r="A52" s="262"/>
      <c r="B52" s="267">
        <v>42314</v>
      </c>
      <c r="C52" s="262">
        <v>10</v>
      </c>
      <c r="D52" s="263">
        <v>298.81</v>
      </c>
      <c r="E52" s="263">
        <v>0</v>
      </c>
      <c r="F52" s="263">
        <f t="shared" si="4"/>
        <v>2988.1</v>
      </c>
      <c r="G52" s="267"/>
      <c r="H52" s="262"/>
      <c r="I52" s="263"/>
      <c r="J52" s="262"/>
      <c r="K52" s="263"/>
      <c r="L52" s="262"/>
      <c r="M52" s="262"/>
      <c r="O52" s="83">
        <v>1.01</v>
      </c>
      <c r="P52" s="83">
        <f t="shared" si="5"/>
        <v>312.42329999999998</v>
      </c>
      <c r="Q52" s="2"/>
      <c r="T52" s="435" t="s">
        <v>106</v>
      </c>
      <c r="U52" s="527" t="s">
        <v>340</v>
      </c>
      <c r="W52" s="133">
        <v>42535</v>
      </c>
      <c r="X52" s="10">
        <v>243.35</v>
      </c>
      <c r="Y52" s="10">
        <v>245.01</v>
      </c>
      <c r="Z52" s="10">
        <v>240.16</v>
      </c>
      <c r="AA52" s="10">
        <v>241.7</v>
      </c>
      <c r="AB52" s="95">
        <v>1696700</v>
      </c>
      <c r="AC52" s="10">
        <v>241.7</v>
      </c>
      <c r="AD52" s="2">
        <f t="shared" si="0"/>
        <v>4.8499999999999943</v>
      </c>
      <c r="AE52" s="138">
        <f t="shared" si="1"/>
        <v>-1.0845099242889344E-2</v>
      </c>
    </row>
    <row r="53" spans="1:31" x14ac:dyDescent="0.25">
      <c r="A53" s="262"/>
      <c r="B53" s="267">
        <v>42341</v>
      </c>
      <c r="C53" s="262">
        <v>20</v>
      </c>
      <c r="D53" s="263">
        <v>286.08999999999997</v>
      </c>
      <c r="E53" s="263">
        <v>0</v>
      </c>
      <c r="F53" s="263">
        <f t="shared" si="4"/>
        <v>5721.7999999999993</v>
      </c>
      <c r="G53" s="267"/>
      <c r="H53" s="262"/>
      <c r="I53" s="262"/>
      <c r="J53" s="262"/>
      <c r="K53" s="263"/>
      <c r="L53" s="262"/>
      <c r="M53" s="262"/>
      <c r="O53" s="83">
        <v>1</v>
      </c>
      <c r="P53" s="83">
        <f t="shared" si="5"/>
        <v>309.33</v>
      </c>
      <c r="Q53" s="2"/>
      <c r="T53" s="435" t="s">
        <v>107</v>
      </c>
      <c r="U53" s="528">
        <v>1646520</v>
      </c>
      <c r="W53" s="133">
        <v>42534</v>
      </c>
      <c r="X53" s="10">
        <v>245.76</v>
      </c>
      <c r="Y53" s="10">
        <v>248.4</v>
      </c>
      <c r="Z53" s="10">
        <v>244.04</v>
      </c>
      <c r="AA53" s="10">
        <v>244.35</v>
      </c>
      <c r="AB53" s="95">
        <v>1628200</v>
      </c>
      <c r="AC53" s="10">
        <v>244.35</v>
      </c>
      <c r="AD53" s="2">
        <f t="shared" si="0"/>
        <v>4.3600000000000136</v>
      </c>
      <c r="AE53" s="138">
        <f t="shared" si="1"/>
        <v>-7.2319505952138652E-3</v>
      </c>
    </row>
    <row r="54" spans="1:31" x14ac:dyDescent="0.25">
      <c r="A54" s="262"/>
      <c r="B54" s="267">
        <v>42408</v>
      </c>
      <c r="C54" s="262">
        <v>5</v>
      </c>
      <c r="D54" s="263">
        <v>251.5</v>
      </c>
      <c r="E54" s="263">
        <v>0</v>
      </c>
      <c r="F54" s="263">
        <f>C54*D54 + E54</f>
        <v>1257.5</v>
      </c>
      <c r="G54" s="267"/>
      <c r="H54" s="262"/>
      <c r="I54" s="262"/>
      <c r="J54" s="262"/>
      <c r="K54" s="263"/>
      <c r="L54" s="262"/>
      <c r="M54" s="262"/>
      <c r="O54" s="83">
        <v>0.99</v>
      </c>
      <c r="P54" s="83">
        <f t="shared" si="5"/>
        <v>306.23669999999998</v>
      </c>
      <c r="Q54" s="2"/>
      <c r="T54" s="435" t="s">
        <v>110</v>
      </c>
      <c r="U54" s="528">
        <v>2103600</v>
      </c>
      <c r="W54" s="133">
        <v>42531</v>
      </c>
      <c r="X54" s="10">
        <v>248.15</v>
      </c>
      <c r="Y54" s="10">
        <v>249.04</v>
      </c>
      <c r="Z54" s="10">
        <v>244.02</v>
      </c>
      <c r="AA54" s="10">
        <v>246.13</v>
      </c>
      <c r="AB54" s="95">
        <v>2455300</v>
      </c>
      <c r="AC54" s="10">
        <v>246.13</v>
      </c>
      <c r="AD54" s="2">
        <f t="shared" si="0"/>
        <v>5.0199999999999818</v>
      </c>
      <c r="AE54" s="138">
        <f t="shared" si="1"/>
        <v>-1.7288189730895187E-2</v>
      </c>
    </row>
    <row r="55" spans="1:31" x14ac:dyDescent="0.25">
      <c r="A55" s="262"/>
      <c r="B55" s="267">
        <v>42446</v>
      </c>
      <c r="C55" s="262">
        <v>5</v>
      </c>
      <c r="D55" s="263">
        <v>242.55</v>
      </c>
      <c r="E55" s="263">
        <v>0</v>
      </c>
      <c r="F55" s="263">
        <f>C55*D55 + E55</f>
        <v>1212.75</v>
      </c>
      <c r="G55" s="267"/>
      <c r="H55" s="262"/>
      <c r="I55" s="262"/>
      <c r="J55" s="262"/>
      <c r="K55" s="263"/>
      <c r="L55" s="262"/>
      <c r="M55" s="262"/>
      <c r="O55" s="83">
        <v>0.98</v>
      </c>
      <c r="P55" s="83">
        <f t="shared" si="5"/>
        <v>303.14339999999999</v>
      </c>
      <c r="Q55" s="2"/>
      <c r="T55" s="435" t="s">
        <v>108</v>
      </c>
      <c r="U55" s="527" t="s">
        <v>424</v>
      </c>
      <c r="W55" s="133">
        <v>42530</v>
      </c>
      <c r="X55" s="10">
        <v>253.14</v>
      </c>
      <c r="Y55" s="10">
        <v>256.19</v>
      </c>
      <c r="Z55" s="10">
        <v>249.57</v>
      </c>
      <c r="AA55" s="10">
        <v>250.46</v>
      </c>
      <c r="AB55" s="95">
        <v>2860200</v>
      </c>
      <c r="AC55" s="10">
        <v>250.46</v>
      </c>
      <c r="AD55" s="2">
        <f t="shared" si="0"/>
        <v>6.6200000000000045</v>
      </c>
      <c r="AE55" s="138">
        <f t="shared" si="1"/>
        <v>-1.4596529881575226E-2</v>
      </c>
    </row>
    <row r="56" spans="1:31" x14ac:dyDescent="0.25">
      <c r="A56" s="262"/>
      <c r="B56" s="267"/>
      <c r="C56" s="262">
        <v>5</v>
      </c>
      <c r="D56" s="263">
        <v>242.55</v>
      </c>
      <c r="E56" s="263">
        <v>0</v>
      </c>
      <c r="F56" s="263">
        <f>C56*D56 + E56</f>
        <v>1212.75</v>
      </c>
      <c r="G56" s="267"/>
      <c r="H56" s="262"/>
      <c r="I56" s="262"/>
      <c r="J56" s="262"/>
      <c r="K56" s="263"/>
      <c r="L56" s="262"/>
      <c r="M56" s="262"/>
      <c r="O56" s="83">
        <v>0.97</v>
      </c>
      <c r="P56" s="83">
        <f t="shared" si="5"/>
        <v>300.05009999999999</v>
      </c>
      <c r="T56" s="435" t="s">
        <v>111</v>
      </c>
      <c r="U56" s="527">
        <v>18.07</v>
      </c>
      <c r="W56" s="133">
        <v>42529</v>
      </c>
      <c r="X56" s="10">
        <v>255.03</v>
      </c>
      <c r="Y56" s="10">
        <v>256.79000000000002</v>
      </c>
      <c r="Z56" s="10">
        <v>251.41</v>
      </c>
      <c r="AA56" s="10">
        <v>254.17</v>
      </c>
      <c r="AB56" s="95">
        <v>3610400</v>
      </c>
      <c r="AC56" s="10">
        <v>254.17</v>
      </c>
      <c r="AD56" s="2">
        <f t="shared" si="0"/>
        <v>5.3800000000000239</v>
      </c>
      <c r="AE56" s="138">
        <f t="shared" si="1"/>
        <v>5.1807324211023964E-3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296.95679999999999</v>
      </c>
      <c r="T57" s="435" t="s">
        <v>112</v>
      </c>
      <c r="U57" s="527">
        <v>17.12</v>
      </c>
      <c r="W57" s="133">
        <v>42528</v>
      </c>
      <c r="X57" s="10">
        <v>264.45</v>
      </c>
      <c r="Y57" s="10">
        <v>264.73</v>
      </c>
      <c r="Z57" s="10">
        <v>250.87</v>
      </c>
      <c r="AA57" s="10">
        <v>252.86</v>
      </c>
      <c r="AB57" s="95">
        <v>8876400</v>
      </c>
      <c r="AC57" s="10">
        <v>252.86</v>
      </c>
      <c r="AD57" s="2">
        <f t="shared" si="0"/>
        <v>13.860000000000014</v>
      </c>
      <c r="AE57" s="138">
        <f t="shared" si="1"/>
        <v>-0.12758763455699684</v>
      </c>
    </row>
    <row r="58" spans="1:31" x14ac:dyDescent="0.25">
      <c r="O58" s="83">
        <v>0.95</v>
      </c>
      <c r="P58" s="83">
        <f t="shared" si="5"/>
        <v>293.86349999999999</v>
      </c>
      <c r="T58" s="435" t="s">
        <v>109</v>
      </c>
      <c r="U58" s="527" t="s">
        <v>124</v>
      </c>
      <c r="W58" s="133">
        <v>42527</v>
      </c>
      <c r="X58" s="10">
        <v>290</v>
      </c>
      <c r="Y58" s="10">
        <v>290.74</v>
      </c>
      <c r="Z58" s="10">
        <v>285.20999999999998</v>
      </c>
      <c r="AA58" s="10">
        <v>289.83999999999997</v>
      </c>
      <c r="AB58" s="95">
        <v>1618700</v>
      </c>
      <c r="AC58" s="10">
        <v>289.83999999999997</v>
      </c>
      <c r="AD58" s="2">
        <f t="shared" si="0"/>
        <v>5.5300000000000296</v>
      </c>
      <c r="AE58" s="138">
        <f t="shared" si="1"/>
        <v>-1.3437618440548249E-3</v>
      </c>
    </row>
    <row r="59" spans="1:31" x14ac:dyDescent="0.25">
      <c r="O59" s="83">
        <v>0.94</v>
      </c>
      <c r="P59" s="83">
        <f t="shared" si="5"/>
        <v>290.77019999999999</v>
      </c>
      <c r="W59" s="133">
        <v>42524</v>
      </c>
      <c r="X59" s="10">
        <v>289.51</v>
      </c>
      <c r="Y59" s="10">
        <v>292.69</v>
      </c>
      <c r="Z59" s="10">
        <v>283.79000000000002</v>
      </c>
      <c r="AA59" s="10">
        <v>290.23</v>
      </c>
      <c r="AB59" s="95">
        <v>1473000</v>
      </c>
      <c r="AC59" s="10">
        <v>290.23</v>
      </c>
      <c r="AD59" s="2">
        <f t="shared" si="0"/>
        <v>8.8999999999999773</v>
      </c>
      <c r="AE59" s="138">
        <f t="shared" si="1"/>
        <v>1.7257446588203607E-3</v>
      </c>
    </row>
    <row r="60" spans="1:31" x14ac:dyDescent="0.25">
      <c r="B60" s="270" t="s">
        <v>114</v>
      </c>
      <c r="C60" s="270" t="s">
        <v>150</v>
      </c>
      <c r="D60" s="271" t="s">
        <v>149</v>
      </c>
      <c r="E60" s="272" t="s">
        <v>151</v>
      </c>
      <c r="F60" s="273" t="s">
        <v>65</v>
      </c>
      <c r="G60" s="274" t="s">
        <v>155</v>
      </c>
      <c r="H60" s="273" t="s">
        <v>88</v>
      </c>
      <c r="O60" s="83">
        <v>0.93</v>
      </c>
      <c r="P60" s="83">
        <f t="shared" si="5"/>
        <v>287.67689999999999</v>
      </c>
      <c r="W60" s="133">
        <v>42523</v>
      </c>
      <c r="X60" s="10">
        <v>286.88</v>
      </c>
      <c r="Y60" s="10">
        <v>289.91000000000003</v>
      </c>
      <c r="Z60" s="10">
        <v>286.56</v>
      </c>
      <c r="AA60" s="10">
        <v>289.73</v>
      </c>
      <c r="AB60" s="95">
        <v>1128200</v>
      </c>
      <c r="AC60" s="10">
        <v>289.73</v>
      </c>
      <c r="AD60" s="2">
        <f t="shared" si="0"/>
        <v>3.3500000000000227</v>
      </c>
      <c r="AE60" s="138">
        <f t="shared" si="1"/>
        <v>1.0145736001673678E-2</v>
      </c>
    </row>
    <row r="61" spans="1:31" x14ac:dyDescent="0.25">
      <c r="B61" s="267">
        <v>42304</v>
      </c>
      <c r="C61" s="262">
        <v>80</v>
      </c>
      <c r="D61" s="263">
        <v>271.44</v>
      </c>
      <c r="E61" s="263">
        <v>293.69</v>
      </c>
      <c r="F61" s="263">
        <v>1780.09</v>
      </c>
      <c r="G61" s="263">
        <f t="shared" ref="G61:G66" si="6">IF(C61=0, 0,D61*C61)</f>
        <v>21715.200000000001</v>
      </c>
      <c r="H61" s="275">
        <f t="shared" ref="H61:H66" si="7">IF(C61=0, D61, (E61-D61)/D61)</f>
        <v>8.1970232832301801E-2</v>
      </c>
      <c r="O61" s="83">
        <v>0.92</v>
      </c>
      <c r="P61" s="83">
        <f t="shared" si="5"/>
        <v>284.58359999999999</v>
      </c>
      <c r="W61" s="133">
        <v>42522</v>
      </c>
      <c r="X61" s="10">
        <v>287.97000000000003</v>
      </c>
      <c r="Y61" s="10">
        <v>289.95</v>
      </c>
      <c r="Z61" s="10">
        <v>286.14</v>
      </c>
      <c r="AA61" s="10">
        <v>286.82</v>
      </c>
      <c r="AB61" s="95">
        <v>1418400</v>
      </c>
      <c r="AC61" s="10">
        <v>286.82</v>
      </c>
      <c r="AD61" s="2">
        <f t="shared" si="0"/>
        <v>3.8100000000000023</v>
      </c>
      <c r="AE61" s="138">
        <f t="shared" si="1"/>
        <v>-1.0043833914334166E-2</v>
      </c>
    </row>
    <row r="62" spans="1:31" x14ac:dyDescent="0.25">
      <c r="B62" s="267">
        <v>42310</v>
      </c>
      <c r="C62" s="262">
        <v>70</v>
      </c>
      <c r="D62" s="263">
        <v>267.36</v>
      </c>
      <c r="E62" s="263">
        <v>303.08</v>
      </c>
      <c r="F62" s="263">
        <v>2500.4299999999998</v>
      </c>
      <c r="G62" s="263">
        <f t="shared" si="6"/>
        <v>18715.2</v>
      </c>
      <c r="H62" s="275">
        <f t="shared" si="7"/>
        <v>0.1336026331538</v>
      </c>
      <c r="O62" s="83">
        <v>0.91</v>
      </c>
      <c r="P62" s="83">
        <f t="shared" si="5"/>
        <v>281.49029999999999</v>
      </c>
      <c r="W62" s="133">
        <v>42521</v>
      </c>
      <c r="X62" s="10">
        <v>285</v>
      </c>
      <c r="Y62" s="10">
        <v>291.63</v>
      </c>
      <c r="Z62" s="10">
        <v>284.66000000000003</v>
      </c>
      <c r="AA62" s="10">
        <v>289.73</v>
      </c>
      <c r="AB62" s="95">
        <v>2146500</v>
      </c>
      <c r="AC62" s="10">
        <v>289.73</v>
      </c>
      <c r="AD62" s="2">
        <f t="shared" si="0"/>
        <v>6.9699999999999704</v>
      </c>
      <c r="AE62" s="138">
        <f t="shared" si="1"/>
        <v>2.4541178966724475E-2</v>
      </c>
    </row>
    <row r="63" spans="1:31" x14ac:dyDescent="0.25">
      <c r="B63" s="267">
        <v>42314</v>
      </c>
      <c r="C63" s="262">
        <v>80</v>
      </c>
      <c r="D63" s="263">
        <v>271.29000000000002</v>
      </c>
      <c r="E63" s="263">
        <v>299.14</v>
      </c>
      <c r="F63" s="263">
        <v>2227.9299999999998</v>
      </c>
      <c r="G63" s="263">
        <f t="shared" si="6"/>
        <v>21703.200000000001</v>
      </c>
      <c r="H63" s="275">
        <f t="shared" si="7"/>
        <v>0.10265767260127526</v>
      </c>
      <c r="O63" s="83">
        <v>0.9</v>
      </c>
      <c r="P63" s="83">
        <f t="shared" si="5"/>
        <v>278.39699999999999</v>
      </c>
      <c r="W63" s="133">
        <v>42517</v>
      </c>
      <c r="X63" s="10">
        <v>282</v>
      </c>
      <c r="Y63" s="10">
        <v>284.25</v>
      </c>
      <c r="Z63" s="10">
        <v>280.61</v>
      </c>
      <c r="AA63" s="10">
        <v>282.79000000000002</v>
      </c>
      <c r="AB63" s="95">
        <v>1262400</v>
      </c>
      <c r="AC63" s="10">
        <v>282.79000000000002</v>
      </c>
      <c r="AD63" s="2">
        <f t="shared" si="0"/>
        <v>3.6399999999999864</v>
      </c>
      <c r="AE63" s="138">
        <f t="shared" si="1"/>
        <v>2.8014184397164854E-3</v>
      </c>
    </row>
    <row r="64" spans="1:31" x14ac:dyDescent="0.25">
      <c r="B64" s="267">
        <v>42326</v>
      </c>
      <c r="C64" s="262">
        <v>40</v>
      </c>
      <c r="D64" s="263">
        <v>254.6</v>
      </c>
      <c r="E64" s="263">
        <v>291.98</v>
      </c>
      <c r="F64" s="263">
        <v>1495.32</v>
      </c>
      <c r="G64" s="263">
        <f t="shared" si="6"/>
        <v>10184</v>
      </c>
      <c r="H64" s="275">
        <f t="shared" si="7"/>
        <v>0.14681853888452484</v>
      </c>
      <c r="W64" s="133">
        <v>42516</v>
      </c>
      <c r="X64" s="10">
        <v>279.52999999999997</v>
      </c>
      <c r="Y64" s="10">
        <v>284.27999999999997</v>
      </c>
      <c r="Z64" s="10">
        <v>279.08999999999997</v>
      </c>
      <c r="AA64" s="10">
        <v>282</v>
      </c>
      <c r="AB64" s="95">
        <v>1829400</v>
      </c>
      <c r="AC64" s="10">
        <v>282</v>
      </c>
      <c r="AD64" s="2">
        <f t="shared" si="0"/>
        <v>5.1899999999999977</v>
      </c>
      <c r="AE64" s="138">
        <f t="shared" si="1"/>
        <v>8.2230961744726994E-3</v>
      </c>
    </row>
    <row r="65" spans="2:31" x14ac:dyDescent="0.25">
      <c r="B65" s="267">
        <v>42338</v>
      </c>
      <c r="C65" s="262">
        <v>60</v>
      </c>
      <c r="D65" s="263">
        <v>265.08999999999997</v>
      </c>
      <c r="E65" s="263">
        <v>286.86</v>
      </c>
      <c r="F65" s="263">
        <v>1305.92</v>
      </c>
      <c r="G65" s="263">
        <f t="shared" si="6"/>
        <v>15905.399999999998</v>
      </c>
      <c r="H65" s="275">
        <f t="shared" si="7"/>
        <v>8.2123052548191328E-2</v>
      </c>
      <c r="W65" s="133">
        <v>42515</v>
      </c>
      <c r="X65" s="10">
        <v>273.73</v>
      </c>
      <c r="Y65" s="10">
        <v>280.07</v>
      </c>
      <c r="Z65" s="10">
        <v>273.51</v>
      </c>
      <c r="AA65" s="10">
        <v>279.7</v>
      </c>
      <c r="AB65" s="95">
        <v>1796300</v>
      </c>
      <c r="AC65" s="10">
        <v>279.7</v>
      </c>
      <c r="AD65" s="2">
        <f t="shared" si="0"/>
        <v>6.5600000000000023</v>
      </c>
      <c r="AE65" s="138">
        <f t="shared" si="1"/>
        <v>2.4767348135121159E-2</v>
      </c>
    </row>
    <row r="66" spans="2:31" x14ac:dyDescent="0.25">
      <c r="B66" s="267">
        <v>42342</v>
      </c>
      <c r="C66" s="262">
        <v>25</v>
      </c>
      <c r="D66" s="263">
        <v>240.05</v>
      </c>
      <c r="E66" s="263">
        <v>284.45</v>
      </c>
      <c r="F66" s="263">
        <v>1110</v>
      </c>
      <c r="G66" s="263">
        <f t="shared" si="6"/>
        <v>6001.25</v>
      </c>
      <c r="H66" s="275">
        <f t="shared" si="7"/>
        <v>0.18496146636117466</v>
      </c>
      <c r="W66" s="133">
        <v>42514</v>
      </c>
      <c r="X66" s="10">
        <v>266.33</v>
      </c>
      <c r="Y66" s="10">
        <v>273.42</v>
      </c>
      <c r="Z66" s="10">
        <v>263.94</v>
      </c>
      <c r="AA66" s="10">
        <v>272.94</v>
      </c>
      <c r="AB66" s="95">
        <v>1560900</v>
      </c>
      <c r="AC66" s="10">
        <v>272.94</v>
      </c>
      <c r="AD66" s="2">
        <f t="shared" si="0"/>
        <v>9.4800000000000182</v>
      </c>
      <c r="AE66" s="138">
        <f t="shared" si="1"/>
        <v>3.0545591844440168E-2</v>
      </c>
    </row>
    <row r="67" spans="2:31" x14ac:dyDescent="0.25">
      <c r="B67" s="267">
        <v>42355</v>
      </c>
      <c r="C67" s="262">
        <v>0</v>
      </c>
      <c r="D67" s="263">
        <v>0</v>
      </c>
      <c r="E67" s="263">
        <v>297.17</v>
      </c>
      <c r="F67" s="263">
        <v>1373.65</v>
      </c>
      <c r="G67" s="263"/>
      <c r="H67" s="275"/>
      <c r="W67" s="133">
        <v>42513</v>
      </c>
      <c r="X67" s="10">
        <v>263.77</v>
      </c>
      <c r="Y67" s="10">
        <v>267.18</v>
      </c>
      <c r="Z67" s="10">
        <v>263.14999999999998</v>
      </c>
      <c r="AA67" s="10">
        <v>264.85000000000002</v>
      </c>
      <c r="AB67" s="95">
        <v>848500</v>
      </c>
      <c r="AC67" s="10">
        <v>264.85000000000002</v>
      </c>
      <c r="AD67" s="2">
        <f>Y67-Z67</f>
        <v>4.0300000000000296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4">
        <v>42408</v>
      </c>
      <c r="C69" s="385">
        <v>5</v>
      </c>
      <c r="D69" s="386">
        <v>251.5</v>
      </c>
      <c r="E69" s="386">
        <v>256.52</v>
      </c>
      <c r="F69" s="386">
        <f>C69*(E69-D69)</f>
        <v>25.099999999999909</v>
      </c>
      <c r="G69" s="386">
        <f>D69*C69</f>
        <v>1257.5</v>
      </c>
      <c r="H69" s="387">
        <f>(E69-D69)/D69</f>
        <v>1.9960238568588397E-2</v>
      </c>
      <c r="I69" s="387"/>
    </row>
    <row r="70" spans="2:31" x14ac:dyDescent="0.25">
      <c r="B70" s="384">
        <v>42422</v>
      </c>
      <c r="C70" s="385">
        <v>5</v>
      </c>
      <c r="D70" s="386">
        <v>251.5</v>
      </c>
      <c r="E70" s="386">
        <v>265.83</v>
      </c>
      <c r="F70" s="386">
        <f t="shared" ref="F70:F79" si="8">C70*(E70-D70)</f>
        <v>71.64999999999992</v>
      </c>
      <c r="G70" s="386">
        <f t="shared" ref="G70:G80" si="9">D70*C70</f>
        <v>1257.5</v>
      </c>
      <c r="H70" s="387">
        <f t="shared" ref="H70:H79" si="10">(E70-D70)/D70</f>
        <v>5.6978131212723597E-2</v>
      </c>
      <c r="I70" s="387"/>
    </row>
    <row r="71" spans="2:31" x14ac:dyDescent="0.25">
      <c r="B71" s="384">
        <v>42431</v>
      </c>
      <c r="C71" s="385">
        <v>5</v>
      </c>
      <c r="D71" s="386">
        <v>251.5</v>
      </c>
      <c r="E71" s="386">
        <v>273.66000000000003</v>
      </c>
      <c r="F71" s="386">
        <f t="shared" si="8"/>
        <v>110.80000000000013</v>
      </c>
      <c r="G71" s="386">
        <f t="shared" si="9"/>
        <v>1257.5</v>
      </c>
      <c r="H71" s="387">
        <f t="shared" si="10"/>
        <v>8.8111332007952389E-2</v>
      </c>
      <c r="I71" s="387"/>
    </row>
    <row r="72" spans="2:31" x14ac:dyDescent="0.25">
      <c r="B72" s="384">
        <v>42433</v>
      </c>
      <c r="C72" s="385">
        <v>5</v>
      </c>
      <c r="D72" s="386">
        <v>251.5</v>
      </c>
      <c r="E72" s="386">
        <v>263.94</v>
      </c>
      <c r="F72" s="386">
        <f t="shared" si="8"/>
        <v>62.199999999999989</v>
      </c>
      <c r="G72" s="386">
        <f t="shared" si="9"/>
        <v>1257.5</v>
      </c>
      <c r="H72" s="387">
        <f t="shared" si="10"/>
        <v>4.9463220675944324E-2</v>
      </c>
      <c r="I72" s="387"/>
    </row>
    <row r="73" spans="2:31" x14ac:dyDescent="0.25">
      <c r="B73" s="384">
        <v>42439</v>
      </c>
      <c r="C73" s="385">
        <v>5</v>
      </c>
      <c r="D73" s="386">
        <v>251.5</v>
      </c>
      <c r="E73" s="386">
        <v>251.97</v>
      </c>
      <c r="F73" s="386">
        <f t="shared" si="8"/>
        <v>2.3499999999999943</v>
      </c>
      <c r="G73" s="386">
        <f t="shared" si="9"/>
        <v>1257.5</v>
      </c>
      <c r="H73" s="388">
        <f t="shared" si="10"/>
        <v>1.8687872763419437E-3</v>
      </c>
      <c r="I73" s="388"/>
    </row>
    <row r="74" spans="2:31" x14ac:dyDescent="0.25">
      <c r="B74" s="384">
        <v>42444</v>
      </c>
      <c r="C74" s="385">
        <v>5</v>
      </c>
      <c r="D74" s="386">
        <v>251.5</v>
      </c>
      <c r="E74" s="386">
        <v>250.33</v>
      </c>
      <c r="F74" s="386">
        <f t="shared" si="8"/>
        <v>-5.8499999999999375</v>
      </c>
      <c r="G74" s="386">
        <f t="shared" si="9"/>
        <v>1257.5</v>
      </c>
      <c r="H74" s="388">
        <f t="shared" si="10"/>
        <v>-4.6520874751490556E-3</v>
      </c>
      <c r="I74" s="388"/>
    </row>
    <row r="75" spans="2:31" x14ac:dyDescent="0.25">
      <c r="B75" s="384">
        <v>42446</v>
      </c>
      <c r="C75" s="385">
        <v>15</v>
      </c>
      <c r="D75" s="386">
        <v>245.5333</v>
      </c>
      <c r="E75" s="386">
        <v>246.31</v>
      </c>
      <c r="F75" s="386">
        <f t="shared" si="8"/>
        <v>11.650500000000079</v>
      </c>
      <c r="G75" s="386">
        <f t="shared" si="9"/>
        <v>3682.9994999999999</v>
      </c>
      <c r="H75" s="388">
        <f t="shared" si="10"/>
        <v>3.1633183767741701E-3</v>
      </c>
      <c r="I75" s="388"/>
    </row>
    <row r="76" spans="2:31" x14ac:dyDescent="0.25">
      <c r="B76" s="384">
        <v>42447</v>
      </c>
      <c r="C76" s="385">
        <v>10</v>
      </c>
      <c r="D76" s="386">
        <v>243.50800000000001</v>
      </c>
      <c r="E76" s="386">
        <v>250.78</v>
      </c>
      <c r="F76" s="386">
        <f t="shared" si="8"/>
        <v>72.719999999999914</v>
      </c>
      <c r="G76" s="386">
        <f t="shared" si="9"/>
        <v>2435.08</v>
      </c>
      <c r="H76" s="388">
        <f t="shared" si="10"/>
        <v>2.9863495244509385E-2</v>
      </c>
      <c r="I76" s="388" t="s">
        <v>200</v>
      </c>
    </row>
    <row r="77" spans="2:31" x14ac:dyDescent="0.25">
      <c r="B77" s="384">
        <v>42458</v>
      </c>
      <c r="C77" s="385">
        <v>10</v>
      </c>
      <c r="D77" s="386">
        <v>243.50800000000001</v>
      </c>
      <c r="E77" s="386">
        <v>254.68</v>
      </c>
      <c r="F77" s="386">
        <f t="shared" si="8"/>
        <v>111.71999999999997</v>
      </c>
      <c r="G77" s="386">
        <f t="shared" si="9"/>
        <v>2435.08</v>
      </c>
      <c r="H77" s="388">
        <f t="shared" si="10"/>
        <v>4.587939615946908E-2</v>
      </c>
      <c r="I77" s="388"/>
    </row>
    <row r="78" spans="2:31" x14ac:dyDescent="0.25">
      <c r="B78" s="384">
        <v>42460</v>
      </c>
      <c r="C78" s="385">
        <v>5</v>
      </c>
      <c r="D78" s="386">
        <v>225.80199999999999</v>
      </c>
      <c r="E78" s="386">
        <v>260.32</v>
      </c>
      <c r="F78" s="386">
        <f t="shared" si="8"/>
        <v>172.59</v>
      </c>
      <c r="G78" s="386">
        <f t="shared" si="9"/>
        <v>1129.01</v>
      </c>
      <c r="H78" s="388">
        <f t="shared" si="10"/>
        <v>0.15286844226357607</v>
      </c>
      <c r="I78" s="388"/>
    </row>
    <row r="79" spans="2:31" x14ac:dyDescent="0.25">
      <c r="B79" s="384">
        <v>42469</v>
      </c>
      <c r="C79" s="385">
        <v>5</v>
      </c>
      <c r="D79" s="386">
        <v>225.80199999999999</v>
      </c>
      <c r="E79" s="386">
        <v>270.83</v>
      </c>
      <c r="F79" s="386">
        <f t="shared" si="8"/>
        <v>225.13999999999996</v>
      </c>
      <c r="G79" s="386">
        <f t="shared" si="9"/>
        <v>1129.01</v>
      </c>
      <c r="H79" s="388">
        <f t="shared" si="10"/>
        <v>0.1994136455832986</v>
      </c>
      <c r="I79" s="388"/>
    </row>
    <row r="80" spans="2:31" x14ac:dyDescent="0.25">
      <c r="B80" s="384">
        <v>42482</v>
      </c>
      <c r="C80" s="385">
        <v>0</v>
      </c>
      <c r="D80" s="386">
        <v>0</v>
      </c>
      <c r="E80" s="386">
        <v>0</v>
      </c>
      <c r="F80" s="386">
        <v>285.70999999999998</v>
      </c>
      <c r="G80" s="386">
        <f t="shared" si="9"/>
        <v>0</v>
      </c>
      <c r="H80" s="388"/>
      <c r="I80" s="388"/>
    </row>
    <row r="81" spans="2:9" x14ac:dyDescent="0.25">
      <c r="B81" s="385"/>
      <c r="C81" s="385"/>
      <c r="D81" s="386"/>
      <c r="E81" s="386"/>
      <c r="F81" s="386"/>
      <c r="G81" s="386"/>
      <c r="H81" s="388"/>
      <c r="I81" s="388"/>
    </row>
    <row r="82" spans="2:9" x14ac:dyDescent="0.25">
      <c r="B82" s="385"/>
      <c r="C82" s="385"/>
      <c r="D82" s="386"/>
      <c r="E82" s="386"/>
      <c r="F82" s="386"/>
      <c r="G82" s="386"/>
      <c r="H82" s="388"/>
      <c r="I82" s="388"/>
    </row>
  </sheetData>
  <mergeCells count="1">
    <mergeCell ref="O42:P42"/>
  </mergeCells>
  <conditionalFormatting sqref="N19 F25:F35">
    <cfRule type="expression" dxfId="685" priority="58">
      <formula>F19&gt;0</formula>
    </cfRule>
    <cfRule type="expression" dxfId="6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83" priority="47">
      <formula>H25&gt;0</formula>
    </cfRule>
    <cfRule type="expression" dxfId="682" priority="48">
      <formula>H25&lt;0</formula>
    </cfRule>
  </conditionalFormatting>
  <conditionalFormatting sqref="M39">
    <cfRule type="expression" dxfId="681" priority="45">
      <formula>M39&gt;0</formula>
    </cfRule>
    <cfRule type="expression" dxfId="680" priority="46">
      <formula>M39&lt;0</formula>
    </cfRule>
  </conditionalFormatting>
  <conditionalFormatting sqref="F61:F67">
    <cfRule type="expression" dxfId="679" priority="43">
      <formula>F61&gt;0</formula>
    </cfRule>
    <cfRule type="expression" dxfId="678" priority="44">
      <formula>F61&lt;0</formula>
    </cfRule>
  </conditionalFormatting>
  <conditionalFormatting sqref="H61:H67">
    <cfRule type="expression" dxfId="677" priority="41">
      <formula>H61&gt;0</formula>
    </cfRule>
    <cfRule type="expression" dxfId="676" priority="42">
      <formula>H61&lt;0</formula>
    </cfRule>
  </conditionalFormatting>
  <conditionalFormatting sqref="F21:F24">
    <cfRule type="expression" dxfId="675" priority="39">
      <formula>F21&gt;0</formula>
    </cfRule>
    <cfRule type="expression" dxfId="674" priority="40">
      <formula>F21&lt;0</formula>
    </cfRule>
  </conditionalFormatting>
  <conditionalFormatting sqref="H21:H24">
    <cfRule type="expression" dxfId="673" priority="37">
      <formula>H21&gt;0</formula>
    </cfRule>
    <cfRule type="expression" dxfId="672" priority="38">
      <formula>H21&lt;0</formula>
    </cfRule>
  </conditionalFormatting>
  <conditionalFormatting sqref="I25:I28">
    <cfRule type="expression" dxfId="671" priority="31">
      <formula>I25&gt;0</formula>
    </cfRule>
    <cfRule type="expression" dxfId="670" priority="32">
      <formula>I25&lt;0</formula>
    </cfRule>
  </conditionalFormatting>
  <conditionalFormatting sqref="I21:I24">
    <cfRule type="expression" dxfId="669" priority="29">
      <formula>I21&gt;0</formula>
    </cfRule>
    <cfRule type="expression" dxfId="668" priority="30">
      <formula>I21&lt;0</formula>
    </cfRule>
  </conditionalFormatting>
  <conditionalFormatting sqref="H29">
    <cfRule type="expression" dxfId="667" priority="27">
      <formula>H29&gt;0</formula>
    </cfRule>
    <cfRule type="expression" dxfId="666" priority="28">
      <formula>H29&lt;0</formula>
    </cfRule>
  </conditionalFormatting>
  <conditionalFormatting sqref="H30">
    <cfRule type="expression" dxfId="665" priority="25">
      <formula>H30&gt;0</formula>
    </cfRule>
    <cfRule type="expression" dxfId="664" priority="26">
      <formula>H30&lt;0</formula>
    </cfRule>
  </conditionalFormatting>
  <conditionalFormatting sqref="H31">
    <cfRule type="expression" dxfId="663" priority="23">
      <formula>H31&gt;0</formula>
    </cfRule>
    <cfRule type="expression" dxfId="662" priority="24">
      <formula>H31&lt;0</formula>
    </cfRule>
  </conditionalFormatting>
  <conditionalFormatting sqref="Q7">
    <cfRule type="expression" dxfId="661" priority="21">
      <formula>Q7&gt;0</formula>
    </cfRule>
    <cfRule type="expression" dxfId="660" priority="22">
      <formula>Q7&lt;0</formula>
    </cfRule>
  </conditionalFormatting>
  <conditionalFormatting sqref="Q8">
    <cfRule type="expression" dxfId="659" priority="19">
      <formula>Q8&gt;0</formula>
    </cfRule>
    <cfRule type="expression" dxfId="658" priority="20">
      <formula>Q8&lt;0</formula>
    </cfRule>
  </conditionalFormatting>
  <conditionalFormatting sqref="F73:F82">
    <cfRule type="expression" dxfId="657" priority="17">
      <formula>F73&gt;0</formula>
    </cfRule>
    <cfRule type="expression" dxfId="656" priority="18">
      <formula>F73&lt;0</formula>
    </cfRule>
  </conditionalFormatting>
  <conditionalFormatting sqref="H73:H76">
    <cfRule type="expression" dxfId="655" priority="15">
      <formula>H73&gt;0</formula>
    </cfRule>
    <cfRule type="expression" dxfId="654" priority="16">
      <formula>H73&lt;0</formula>
    </cfRule>
  </conditionalFormatting>
  <conditionalFormatting sqref="F69:F72">
    <cfRule type="expression" dxfId="653" priority="13">
      <formula>F69&gt;0</formula>
    </cfRule>
    <cfRule type="expression" dxfId="652" priority="14">
      <formula>F69&lt;0</formula>
    </cfRule>
  </conditionalFormatting>
  <conditionalFormatting sqref="H69:H72">
    <cfRule type="expression" dxfId="651" priority="11">
      <formula>H69&gt;0</formula>
    </cfRule>
    <cfRule type="expression" dxfId="650" priority="12">
      <formula>H69&lt;0</formula>
    </cfRule>
  </conditionalFormatting>
  <conditionalFormatting sqref="I73:I76">
    <cfRule type="expression" dxfId="649" priority="9">
      <formula>I73&gt;0</formula>
    </cfRule>
    <cfRule type="expression" dxfId="648" priority="10">
      <formula>I73&lt;0</formula>
    </cfRule>
  </conditionalFormatting>
  <conditionalFormatting sqref="I69:I72">
    <cfRule type="expression" dxfId="647" priority="7">
      <formula>I69&gt;0</formula>
    </cfRule>
    <cfRule type="expression" dxfId="646" priority="8">
      <formula>I69&lt;0</formula>
    </cfRule>
  </conditionalFormatting>
  <conditionalFormatting sqref="H77">
    <cfRule type="expression" dxfId="645" priority="5">
      <formula>H77&gt;0</formula>
    </cfRule>
    <cfRule type="expression" dxfId="644" priority="6">
      <formula>H77&lt;0</formula>
    </cfRule>
  </conditionalFormatting>
  <conditionalFormatting sqref="H78">
    <cfRule type="expression" dxfId="643" priority="3">
      <formula>H78&gt;0</formula>
    </cfRule>
    <cfRule type="expression" dxfId="642" priority="4">
      <formula>H78&lt;0</formula>
    </cfRule>
  </conditionalFormatting>
  <conditionalFormatting sqref="H79">
    <cfRule type="expression" dxfId="641" priority="1">
      <formula>H79&gt;0</formula>
    </cfRule>
    <cfRule type="expression" dxfId="6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42606</v>
      </c>
      <c r="X2" s="10">
        <v>45.5</v>
      </c>
      <c r="Y2" s="10">
        <v>45.99</v>
      </c>
      <c r="Z2" s="10">
        <v>42.78</v>
      </c>
      <c r="AA2" s="10">
        <v>43.15</v>
      </c>
      <c r="AB2" s="95">
        <v>17897400</v>
      </c>
      <c r="AC2" s="10">
        <v>43.15</v>
      </c>
      <c r="AD2" s="2">
        <f>Y2-Z2</f>
        <v>3.2100000000000009</v>
      </c>
      <c r="AE2" s="138">
        <f>AC2/AC3-1</f>
        <v>-5.4142919772029785E-2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43.15</v>
      </c>
      <c r="W3" s="133">
        <v>42605</v>
      </c>
      <c r="X3" s="10">
        <v>47.45</v>
      </c>
      <c r="Y3" s="10">
        <v>47.59</v>
      </c>
      <c r="Z3" s="10">
        <v>45.53</v>
      </c>
      <c r="AA3" s="10">
        <v>45.62</v>
      </c>
      <c r="AB3" s="95">
        <v>13058000</v>
      </c>
      <c r="AC3" s="10">
        <v>45.62</v>
      </c>
      <c r="AD3" s="2">
        <f t="shared" ref="AD3:AD66" si="0">Y3-Z3</f>
        <v>2.0600000000000023</v>
      </c>
      <c r="AE3" s="138">
        <f t="shared" ref="AE3:AE66" si="1">AC3/AC4-1</f>
        <v>-4.759916492693117E-2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43.15</v>
      </c>
      <c r="T4" s="1"/>
      <c r="W4" s="133">
        <v>42604</v>
      </c>
      <c r="X4" s="10">
        <v>48.54</v>
      </c>
      <c r="Y4" s="10">
        <v>49.09</v>
      </c>
      <c r="Z4" s="10">
        <v>47.57</v>
      </c>
      <c r="AA4" s="10">
        <v>47.9</v>
      </c>
      <c r="AB4" s="95">
        <v>7245700</v>
      </c>
      <c r="AC4" s="10">
        <v>47.9</v>
      </c>
      <c r="AD4" s="2">
        <f t="shared" si="0"/>
        <v>1.5200000000000031</v>
      </c>
      <c r="AE4" s="138">
        <f t="shared" si="1"/>
        <v>-1.5618577887381746E-2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42601</v>
      </c>
      <c r="X5" s="10">
        <v>48.99</v>
      </c>
      <c r="Y5" s="10">
        <v>49.2</v>
      </c>
      <c r="Z5" s="10">
        <v>48.1</v>
      </c>
      <c r="AA5" s="10">
        <v>48.66</v>
      </c>
      <c r="AB5" s="95">
        <v>5146500</v>
      </c>
      <c r="AC5" s="10">
        <v>48.66</v>
      </c>
      <c r="AD5" s="2">
        <f t="shared" si="0"/>
        <v>1.1000000000000014</v>
      </c>
      <c r="AE5" s="138">
        <f t="shared" si="1"/>
        <v>-1.3381995133819991E-2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42600</v>
      </c>
      <c r="X6" s="10">
        <v>49</v>
      </c>
      <c r="Y6" s="10">
        <v>49.42</v>
      </c>
      <c r="Z6" s="10">
        <v>48.86</v>
      </c>
      <c r="AA6" s="10">
        <v>49.32</v>
      </c>
      <c r="AB6" s="95">
        <v>2983900</v>
      </c>
      <c r="AC6" s="10">
        <v>49.32</v>
      </c>
      <c r="AD6" s="2">
        <f t="shared" si="0"/>
        <v>0.56000000000000227</v>
      </c>
      <c r="AE6" s="138">
        <f t="shared" si="1"/>
        <v>8.5889570552146743E-3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42599</v>
      </c>
      <c r="X7" s="10">
        <v>48.76</v>
      </c>
      <c r="Y7" s="10">
        <v>49.16</v>
      </c>
      <c r="Z7" s="10">
        <v>48.32</v>
      </c>
      <c r="AA7" s="10">
        <v>48.9</v>
      </c>
      <c r="AB7" s="95">
        <v>2566900</v>
      </c>
      <c r="AC7" s="10">
        <v>48.9</v>
      </c>
      <c r="AD7" s="2">
        <f t="shared" si="0"/>
        <v>0.83999999999999631</v>
      </c>
      <c r="AE7" s="138">
        <f t="shared" si="1"/>
        <v>7.6241500103029214E-3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42598</v>
      </c>
      <c r="X8" s="10">
        <v>48.71</v>
      </c>
      <c r="Y8" s="10">
        <v>49.02</v>
      </c>
      <c r="Z8" s="10">
        <v>48.49</v>
      </c>
      <c r="AA8" s="10">
        <v>48.53</v>
      </c>
      <c r="AB8" s="95">
        <v>2217800</v>
      </c>
      <c r="AC8" s="10">
        <v>48.53</v>
      </c>
      <c r="AD8" s="2">
        <f t="shared" si="0"/>
        <v>0.53000000000000114</v>
      </c>
      <c r="AE8" s="138">
        <f t="shared" si="1"/>
        <v>-4.5128205128205368E-3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42597</v>
      </c>
      <c r="X9" s="10">
        <v>48.72</v>
      </c>
      <c r="Y9" s="10">
        <v>48.9</v>
      </c>
      <c r="Z9" s="10">
        <v>48.5</v>
      </c>
      <c r="AA9" s="10">
        <v>48.75</v>
      </c>
      <c r="AB9" s="95">
        <v>3309600</v>
      </c>
      <c r="AC9" s="10">
        <v>48.75</v>
      </c>
      <c r="AD9" s="2">
        <f t="shared" si="0"/>
        <v>0.39999999999999858</v>
      </c>
      <c r="AE9" s="138">
        <f t="shared" si="1"/>
        <v>5.9843169624431702E-3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224</v>
      </c>
      <c r="P10" s="34"/>
      <c r="Q10" s="2">
        <f>M35</f>
        <v>439.77999999999975</v>
      </c>
      <c r="W10" s="133">
        <v>42594</v>
      </c>
      <c r="X10" s="10">
        <v>48.4</v>
      </c>
      <c r="Y10" s="10">
        <v>48.52</v>
      </c>
      <c r="Z10" s="10">
        <v>47.73</v>
      </c>
      <c r="AA10" s="10">
        <v>48.46</v>
      </c>
      <c r="AB10" s="95">
        <v>3618700</v>
      </c>
      <c r="AC10" s="10">
        <v>48.46</v>
      </c>
      <c r="AD10" s="2">
        <f t="shared" si="0"/>
        <v>0.79000000000000625</v>
      </c>
      <c r="AE10" s="138">
        <f t="shared" si="1"/>
        <v>-5.1324163416136548E-3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42593</v>
      </c>
      <c r="X11" s="10">
        <v>49.09</v>
      </c>
      <c r="Y11" s="10">
        <v>49.4</v>
      </c>
      <c r="Z11" s="10">
        <v>48.56</v>
      </c>
      <c r="AA11" s="10">
        <v>48.71</v>
      </c>
      <c r="AB11" s="95">
        <v>3444900</v>
      </c>
      <c r="AC11" s="10">
        <v>48.71</v>
      </c>
      <c r="AD11" s="2">
        <f t="shared" si="0"/>
        <v>0.83999999999999631</v>
      </c>
      <c r="AE11" s="138">
        <f t="shared" si="1"/>
        <v>-1.6396802623488416E-3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42592</v>
      </c>
      <c r="X12" s="10">
        <v>49.3</v>
      </c>
      <c r="Y12" s="10">
        <v>49.91</v>
      </c>
      <c r="Z12" s="10">
        <v>48.01</v>
      </c>
      <c r="AA12" s="10">
        <v>48.79</v>
      </c>
      <c r="AB12" s="95">
        <v>7496200</v>
      </c>
      <c r="AC12" s="10">
        <v>48.79</v>
      </c>
      <c r="AD12" s="2">
        <f t="shared" si="0"/>
        <v>1.8999999999999986</v>
      </c>
      <c r="AE12" s="138">
        <f t="shared" si="1"/>
        <v>-2.2636217948717952E-2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42591</v>
      </c>
      <c r="X13" s="10">
        <v>48.6</v>
      </c>
      <c r="Y13" s="10">
        <v>50.4</v>
      </c>
      <c r="Z13" s="10">
        <v>48.6</v>
      </c>
      <c r="AA13" s="10">
        <v>49.92</v>
      </c>
      <c r="AB13" s="95">
        <v>7636700</v>
      </c>
      <c r="AC13" s="10">
        <v>49.92</v>
      </c>
      <c r="AD13" s="2">
        <f t="shared" si="0"/>
        <v>1.7999999999999972</v>
      </c>
      <c r="AE13" s="138">
        <f t="shared" si="1"/>
        <v>2.8642077065732519E-2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42590</v>
      </c>
      <c r="X14" s="10">
        <v>48.42</v>
      </c>
      <c r="Y14" s="10">
        <v>49.32</v>
      </c>
      <c r="Z14" s="10">
        <v>48.24</v>
      </c>
      <c r="AA14" s="10">
        <v>48.53</v>
      </c>
      <c r="AB14" s="95">
        <v>6708700</v>
      </c>
      <c r="AC14" s="10">
        <v>48.53</v>
      </c>
      <c r="AD14" s="2">
        <f t="shared" si="0"/>
        <v>1.0799999999999983</v>
      </c>
      <c r="AE14" s="138">
        <f t="shared" si="1"/>
        <v>1.4444903012793553E-3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42587</v>
      </c>
      <c r="X15" s="10">
        <v>48.98</v>
      </c>
      <c r="Y15" s="10">
        <v>49.11</v>
      </c>
      <c r="Z15" s="10">
        <v>48.3</v>
      </c>
      <c r="AA15" s="10">
        <v>48.46</v>
      </c>
      <c r="AB15" s="95">
        <v>4747200</v>
      </c>
      <c r="AC15" s="10">
        <v>48.46</v>
      </c>
      <c r="AD15" s="2">
        <f t="shared" si="0"/>
        <v>0.81000000000000227</v>
      </c>
      <c r="AE15" s="138">
        <f t="shared" si="1"/>
        <v>-1.8537590113284486E-3</v>
      </c>
    </row>
    <row r="16" spans="1:40" x14ac:dyDescent="0.25">
      <c r="G16" s="1"/>
      <c r="W16" s="133">
        <v>42586</v>
      </c>
      <c r="X16" s="10">
        <v>48.31</v>
      </c>
      <c r="Y16" s="10">
        <v>49.19</v>
      </c>
      <c r="Z16" s="10">
        <v>48.25</v>
      </c>
      <c r="AA16" s="10">
        <v>48.55</v>
      </c>
      <c r="AB16" s="95">
        <v>11709900</v>
      </c>
      <c r="AC16" s="10">
        <v>48.55</v>
      </c>
      <c r="AD16" s="2">
        <f t="shared" si="0"/>
        <v>0.93999999999999773</v>
      </c>
      <c r="AE16" s="138">
        <f t="shared" si="1"/>
        <v>2.8919644701508318E-3</v>
      </c>
    </row>
    <row r="17" spans="1:31" x14ac:dyDescent="0.25">
      <c r="G17" s="1"/>
      <c r="W17" s="133">
        <v>42585</v>
      </c>
      <c r="X17" s="10">
        <v>46.33</v>
      </c>
      <c r="Y17" s="10">
        <v>48.54</v>
      </c>
      <c r="Z17" s="10">
        <v>46.3</v>
      </c>
      <c r="AA17" s="10">
        <v>48.41</v>
      </c>
      <c r="AB17" s="95">
        <v>7782500</v>
      </c>
      <c r="AC17" s="10">
        <v>48.41</v>
      </c>
      <c r="AD17" s="2">
        <f t="shared" si="0"/>
        <v>2.240000000000002</v>
      </c>
      <c r="AE17" s="138">
        <f t="shared" si="1"/>
        <v>4.040404040404022E-2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42584</v>
      </c>
      <c r="X18" s="10">
        <v>46.4</v>
      </c>
      <c r="Y18" s="10">
        <v>46.74</v>
      </c>
      <c r="Z18" s="10">
        <v>45.68</v>
      </c>
      <c r="AA18" s="10">
        <v>46.53</v>
      </c>
      <c r="AB18" s="95">
        <v>4814300</v>
      </c>
      <c r="AC18" s="10">
        <v>46.53</v>
      </c>
      <c r="AD18" s="2">
        <f t="shared" si="0"/>
        <v>1.0600000000000023</v>
      </c>
      <c r="AE18" s="138">
        <f t="shared" si="1"/>
        <v>-4.49293966623876E-3</v>
      </c>
    </row>
    <row r="19" spans="1:31" x14ac:dyDescent="0.25">
      <c r="N19" s="2"/>
      <c r="W19" s="133">
        <v>42583</v>
      </c>
      <c r="X19" s="10">
        <v>46.79</v>
      </c>
      <c r="Y19" s="10">
        <v>47.12</v>
      </c>
      <c r="Z19" s="10">
        <v>46.36</v>
      </c>
      <c r="AA19" s="10">
        <v>46.74</v>
      </c>
      <c r="AB19" s="95">
        <v>3122700</v>
      </c>
      <c r="AC19" s="10">
        <v>46.74</v>
      </c>
      <c r="AD19" s="2">
        <f t="shared" si="0"/>
        <v>0.75999999999999801</v>
      </c>
      <c r="AE19" s="138">
        <f t="shared" si="1"/>
        <v>-1.0686044026501085E-3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42580</v>
      </c>
      <c r="X20" s="10">
        <v>46.7</v>
      </c>
      <c r="Y20" s="10">
        <v>46.94</v>
      </c>
      <c r="Z20" s="10">
        <v>46.11</v>
      </c>
      <c r="AA20" s="10">
        <v>46.79</v>
      </c>
      <c r="AB20" s="95">
        <v>2658900</v>
      </c>
      <c r="AC20" s="10">
        <v>46.79</v>
      </c>
      <c r="AD20" s="2">
        <f t="shared" si="0"/>
        <v>0.82999999999999829</v>
      </c>
      <c r="AE20" s="138">
        <f t="shared" si="1"/>
        <v>1.4982876712328341E-3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42579</v>
      </c>
      <c r="X21" s="10">
        <v>46.82</v>
      </c>
      <c r="Y21" s="10">
        <v>46.92</v>
      </c>
      <c r="Z21" s="10">
        <v>45.82</v>
      </c>
      <c r="AA21" s="10">
        <v>46.72</v>
      </c>
      <c r="AB21" s="95">
        <v>3866700</v>
      </c>
      <c r="AC21" s="10">
        <v>46.72</v>
      </c>
      <c r="AD21" s="2">
        <f t="shared" si="0"/>
        <v>1.1000000000000014</v>
      </c>
      <c r="AE21" s="138">
        <f t="shared" si="1"/>
        <v>-4.4747496271042575E-3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42578</v>
      </c>
      <c r="X22" s="10">
        <v>46.53</v>
      </c>
      <c r="Y22" s="10">
        <v>47.01</v>
      </c>
      <c r="Z22" s="10">
        <v>46.38</v>
      </c>
      <c r="AA22" s="10">
        <v>46.93</v>
      </c>
      <c r="AB22" s="95">
        <v>2952100</v>
      </c>
      <c r="AC22" s="10">
        <v>46.93</v>
      </c>
      <c r="AD22" s="2">
        <f t="shared" si="0"/>
        <v>0.62999999999999545</v>
      </c>
      <c r="AE22" s="138">
        <f t="shared" si="1"/>
        <v>9.6815834767642883E-3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42577</v>
      </c>
      <c r="X23" s="10">
        <v>47.13</v>
      </c>
      <c r="Y23" s="10">
        <v>48.34</v>
      </c>
      <c r="Z23" s="10">
        <v>46.42</v>
      </c>
      <c r="AA23" s="10">
        <v>46.48</v>
      </c>
      <c r="AB23" s="95">
        <v>3797000</v>
      </c>
      <c r="AC23" s="10">
        <v>46.48</v>
      </c>
      <c r="AD23" s="2">
        <f t="shared" si="0"/>
        <v>1.9200000000000017</v>
      </c>
      <c r="AE23" s="138">
        <f t="shared" si="1"/>
        <v>-1.6920473773265776E-2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42576</v>
      </c>
      <c r="X24" s="10">
        <v>46.58</v>
      </c>
      <c r="Y24" s="10">
        <v>47.34</v>
      </c>
      <c r="Z24" s="10">
        <v>46.51</v>
      </c>
      <c r="AA24" s="10">
        <v>47.28</v>
      </c>
      <c r="AB24" s="95">
        <v>2763600</v>
      </c>
      <c r="AC24" s="10">
        <v>47.28</v>
      </c>
      <c r="AD24" s="2">
        <f t="shared" si="0"/>
        <v>0.8300000000000054</v>
      </c>
      <c r="AE24" s="138">
        <f t="shared" si="1"/>
        <v>1.481004507405026E-2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42573</v>
      </c>
      <c r="X25" s="10">
        <v>47.04</v>
      </c>
      <c r="Y25" s="10">
        <v>47.06</v>
      </c>
      <c r="Z25" s="10">
        <v>46.09</v>
      </c>
      <c r="AA25" s="10">
        <v>46.59</v>
      </c>
      <c r="AB25" s="95">
        <v>2236400</v>
      </c>
      <c r="AC25" s="10">
        <v>46.59</v>
      </c>
      <c r="AD25" s="2">
        <f t="shared" si="0"/>
        <v>0.96999999999999886</v>
      </c>
      <c r="AE25" s="138">
        <f t="shared" si="1"/>
        <v>-5.7618437900127661E-3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42572</v>
      </c>
      <c r="X26" s="10">
        <v>47.02</v>
      </c>
      <c r="Y26" s="10">
        <v>47.69</v>
      </c>
      <c r="Z26" s="10">
        <v>45.97</v>
      </c>
      <c r="AA26" s="10">
        <v>46.86</v>
      </c>
      <c r="AB26" s="95">
        <v>4706300</v>
      </c>
      <c r="AC26" s="10">
        <v>46.86</v>
      </c>
      <c r="AD26" s="2">
        <f t="shared" si="0"/>
        <v>1.7199999999999989</v>
      </c>
      <c r="AE26" s="138">
        <f t="shared" si="1"/>
        <v>-7.2033898305084998E-3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42571</v>
      </c>
      <c r="X27" s="10">
        <v>45.07</v>
      </c>
      <c r="Y27" s="10">
        <v>47.21</v>
      </c>
      <c r="Z27" s="10">
        <v>44.99</v>
      </c>
      <c r="AA27" s="10">
        <v>47.2</v>
      </c>
      <c r="AB27" s="95">
        <v>5311800</v>
      </c>
      <c r="AC27" s="10">
        <v>47.2</v>
      </c>
      <c r="AD27" s="2">
        <f t="shared" si="0"/>
        <v>2.2199999999999989</v>
      </c>
      <c r="AE27" s="138">
        <f t="shared" si="1"/>
        <v>5.0523035833518914E-2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42570</v>
      </c>
      <c r="X28" s="10">
        <v>45.32</v>
      </c>
      <c r="Y28" s="10">
        <v>45.75</v>
      </c>
      <c r="Z28" s="10">
        <v>44.74</v>
      </c>
      <c r="AA28" s="10">
        <v>44.93</v>
      </c>
      <c r="AB28" s="95">
        <v>3856200</v>
      </c>
      <c r="AC28" s="10">
        <v>44.93</v>
      </c>
      <c r="AD28" s="2">
        <f t="shared" si="0"/>
        <v>1.009999999999998</v>
      </c>
      <c r="AE28" s="138">
        <f t="shared" si="1"/>
        <v>-1.3178124313639406E-2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42569</v>
      </c>
      <c r="X29" s="10">
        <v>45.56</v>
      </c>
      <c r="Y29" s="10">
        <v>45.92</v>
      </c>
      <c r="Z29" s="10">
        <v>45.41</v>
      </c>
      <c r="AA29" s="10">
        <v>45.53</v>
      </c>
      <c r="AB29" s="95">
        <v>3529800</v>
      </c>
      <c r="AC29" s="10">
        <v>45.53</v>
      </c>
      <c r="AD29" s="2">
        <f t="shared" si="0"/>
        <v>0.51000000000000512</v>
      </c>
      <c r="AE29" s="138">
        <f t="shared" si="1"/>
        <v>1.7601760176018111E-3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42566</v>
      </c>
      <c r="X30" s="10">
        <v>45.83</v>
      </c>
      <c r="Y30" s="10">
        <v>45.9</v>
      </c>
      <c r="Z30" s="10">
        <v>45.15</v>
      </c>
      <c r="AA30" s="10">
        <v>45.45</v>
      </c>
      <c r="AB30" s="95">
        <v>2696000</v>
      </c>
      <c r="AC30" s="10">
        <v>45.45</v>
      </c>
      <c r="AD30" s="2">
        <f t="shared" si="0"/>
        <v>0.75</v>
      </c>
      <c r="AE30" s="138">
        <f t="shared" si="1"/>
        <v>1.5425297487881018E-3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42565</v>
      </c>
      <c r="X31" s="10">
        <v>45.85</v>
      </c>
      <c r="Y31" s="10">
        <v>45.97</v>
      </c>
      <c r="Z31" s="10">
        <v>45.28</v>
      </c>
      <c r="AA31" s="10">
        <v>45.38</v>
      </c>
      <c r="AB31" s="95">
        <v>2502400</v>
      </c>
      <c r="AC31" s="10">
        <v>45.38</v>
      </c>
      <c r="AD31" s="2">
        <f t="shared" si="0"/>
        <v>0.68999999999999773</v>
      </c>
      <c r="AE31" s="138">
        <f t="shared" si="1"/>
        <v>1.7660044150111798E-3</v>
      </c>
    </row>
    <row r="32" spans="1:31" x14ac:dyDescent="0.25">
      <c r="W32" s="133">
        <v>42564</v>
      </c>
      <c r="X32" s="10">
        <v>45.94</v>
      </c>
      <c r="Y32" s="10">
        <v>46.78</v>
      </c>
      <c r="Z32" s="10">
        <v>45.28</v>
      </c>
      <c r="AA32" s="10">
        <v>45.3</v>
      </c>
      <c r="AB32" s="95">
        <v>3604100</v>
      </c>
      <c r="AC32" s="10">
        <v>45.3</v>
      </c>
      <c r="AD32" s="2">
        <f t="shared" si="0"/>
        <v>1.5</v>
      </c>
      <c r="AE32" s="138">
        <f t="shared" si="1"/>
        <v>3.1000885739591588E-3</v>
      </c>
    </row>
    <row r="33" spans="1:31" x14ac:dyDescent="0.25">
      <c r="W33" s="133">
        <v>42563</v>
      </c>
      <c r="X33" s="10">
        <v>44.78</v>
      </c>
      <c r="Y33" s="10">
        <v>45.39</v>
      </c>
      <c r="Z33" s="10">
        <v>44.74</v>
      </c>
      <c r="AA33" s="10">
        <v>45.16</v>
      </c>
      <c r="AB33" s="95">
        <v>2629100</v>
      </c>
      <c r="AC33" s="10">
        <v>45.16</v>
      </c>
      <c r="AD33" s="2">
        <f t="shared" si="0"/>
        <v>0.64999999999999858</v>
      </c>
      <c r="AE33" s="138">
        <f t="shared" si="1"/>
        <v>1.3692480359146941E-2</v>
      </c>
    </row>
    <row r="34" spans="1:31" x14ac:dyDescent="0.25">
      <c r="W34" s="133">
        <v>42562</v>
      </c>
      <c r="X34" s="10">
        <v>44.72</v>
      </c>
      <c r="Y34" s="10">
        <v>44.88</v>
      </c>
      <c r="Z34" s="10">
        <v>44.31</v>
      </c>
      <c r="AA34" s="10">
        <v>44.55</v>
      </c>
      <c r="AB34" s="95">
        <v>3109900</v>
      </c>
      <c r="AC34" s="10">
        <v>44.55</v>
      </c>
      <c r="AD34" s="2">
        <f t="shared" si="0"/>
        <v>0.57000000000000028</v>
      </c>
      <c r="AE34" s="138">
        <f t="shared" si="1"/>
        <v>2.2451728783101643E-4</v>
      </c>
    </row>
    <row r="35" spans="1:31" x14ac:dyDescent="0.25">
      <c r="L35" t="s">
        <v>224</v>
      </c>
      <c r="M35" s="2">
        <f>K53+M53-F53</f>
        <v>439.77999999999975</v>
      </c>
      <c r="W35" s="133">
        <v>42559</v>
      </c>
      <c r="X35" s="10">
        <v>44.18</v>
      </c>
      <c r="Y35" s="10">
        <v>44.79</v>
      </c>
      <c r="Z35" s="10">
        <v>43.8</v>
      </c>
      <c r="AA35" s="10">
        <v>44.54</v>
      </c>
      <c r="AB35" s="95">
        <v>2490500</v>
      </c>
      <c r="AC35" s="10">
        <v>44.54</v>
      </c>
      <c r="AD35" s="2">
        <f t="shared" si="0"/>
        <v>0.99000000000000199</v>
      </c>
      <c r="AE35" s="138">
        <f t="shared" si="1"/>
        <v>1.922196796338671E-2</v>
      </c>
    </row>
    <row r="36" spans="1:31" x14ac:dyDescent="0.25">
      <c r="A36" s="391" t="s">
        <v>1</v>
      </c>
      <c r="B36" s="391" t="s">
        <v>2</v>
      </c>
      <c r="C36" s="391" t="s">
        <v>4</v>
      </c>
      <c r="D36" s="393" t="s">
        <v>5</v>
      </c>
      <c r="E36" s="393" t="s">
        <v>94</v>
      </c>
      <c r="F36" s="393" t="s">
        <v>60</v>
      </c>
      <c r="G36" s="391" t="s">
        <v>3</v>
      </c>
      <c r="H36" s="391" t="s">
        <v>6</v>
      </c>
      <c r="I36" s="391" t="s">
        <v>7</v>
      </c>
      <c r="J36" s="391" t="s">
        <v>95</v>
      </c>
      <c r="K36" s="393" t="s">
        <v>61</v>
      </c>
      <c r="L36" s="391" t="s">
        <v>77</v>
      </c>
      <c r="M36" s="391" t="s">
        <v>38</v>
      </c>
      <c r="W36" s="133">
        <v>42558</v>
      </c>
      <c r="X36" s="10">
        <v>43.76</v>
      </c>
      <c r="Y36" s="10">
        <v>43.92</v>
      </c>
      <c r="Z36" s="10">
        <v>43.14</v>
      </c>
      <c r="AA36" s="10">
        <v>43.7</v>
      </c>
      <c r="AB36" s="95">
        <v>2110900</v>
      </c>
      <c r="AC36" s="10">
        <v>43.7</v>
      </c>
      <c r="AD36" s="2">
        <f t="shared" si="0"/>
        <v>0.78000000000000114</v>
      </c>
      <c r="AE36" s="138">
        <f t="shared" si="1"/>
        <v>3.6747818098301632E-3</v>
      </c>
    </row>
    <row r="37" spans="1:31" x14ac:dyDescent="0.25">
      <c r="A37" s="394" t="s">
        <v>219</v>
      </c>
      <c r="B37" s="384">
        <v>42502</v>
      </c>
      <c r="C37" s="385">
        <v>60</v>
      </c>
      <c r="D37" s="386">
        <v>38.25</v>
      </c>
      <c r="E37" s="386">
        <v>0</v>
      </c>
      <c r="F37" s="386">
        <f>C37*D37 + E37</f>
        <v>2295</v>
      </c>
      <c r="G37" s="384">
        <v>42528</v>
      </c>
      <c r="H37" s="389">
        <v>30</v>
      </c>
      <c r="I37" s="386">
        <v>45.25</v>
      </c>
      <c r="J37" s="386">
        <v>0.03</v>
      </c>
      <c r="K37" s="386">
        <f>H37*I37 - J37</f>
        <v>1357.47</v>
      </c>
      <c r="L37" s="385"/>
      <c r="M37" s="385"/>
      <c r="W37" s="133">
        <v>42557</v>
      </c>
      <c r="X37" s="10">
        <v>42.64</v>
      </c>
      <c r="Y37" s="10">
        <v>43.6</v>
      </c>
      <c r="Z37" s="10">
        <v>41.99</v>
      </c>
      <c r="AA37" s="10">
        <v>43.54</v>
      </c>
      <c r="AB37" s="95">
        <v>3764000</v>
      </c>
      <c r="AC37" s="10">
        <v>43.54</v>
      </c>
      <c r="AD37" s="2">
        <f t="shared" si="0"/>
        <v>1.6099999999999994</v>
      </c>
      <c r="AE37" s="138">
        <f t="shared" si="1"/>
        <v>2.0389032106866489E-2</v>
      </c>
    </row>
    <row r="38" spans="1:31" x14ac:dyDescent="0.25">
      <c r="A38" s="395" t="s">
        <v>71</v>
      </c>
      <c r="B38" s="396"/>
      <c r="C38" s="385"/>
      <c r="D38" s="386"/>
      <c r="E38" s="386"/>
      <c r="F38" s="386"/>
      <c r="G38" s="384">
        <v>42544</v>
      </c>
      <c r="H38" s="389">
        <v>30</v>
      </c>
      <c r="I38" s="386">
        <v>45.91</v>
      </c>
      <c r="J38" s="386">
        <v>-0.01</v>
      </c>
      <c r="K38" s="386">
        <f>H38*I38 - J38</f>
        <v>1377.31</v>
      </c>
      <c r="L38" s="385"/>
      <c r="M38" s="385"/>
      <c r="W38" s="133">
        <v>42556</v>
      </c>
      <c r="X38" s="10">
        <v>43.3</v>
      </c>
      <c r="Y38" s="10">
        <v>43.31</v>
      </c>
      <c r="Z38" s="10">
        <v>42.33</v>
      </c>
      <c r="AA38" s="10">
        <v>42.67</v>
      </c>
      <c r="AB38" s="95">
        <v>4036200</v>
      </c>
      <c r="AC38" s="10">
        <v>42.67</v>
      </c>
      <c r="AD38" s="2">
        <f t="shared" si="0"/>
        <v>0.98000000000000398</v>
      </c>
      <c r="AE38" s="138">
        <f t="shared" si="1"/>
        <v>-1.8629254829806707E-2</v>
      </c>
    </row>
    <row r="39" spans="1:31" x14ac:dyDescent="0.25">
      <c r="A39" s="385"/>
      <c r="B39" s="396"/>
      <c r="C39" s="385"/>
      <c r="D39" s="386"/>
      <c r="E39" s="386"/>
      <c r="F39" s="386"/>
      <c r="G39" s="384"/>
      <c r="H39" s="389"/>
      <c r="I39" s="386"/>
      <c r="J39" s="386"/>
      <c r="K39" s="386"/>
      <c r="L39" s="385"/>
      <c r="M39" s="385"/>
      <c r="W39" s="133">
        <v>42552</v>
      </c>
      <c r="X39" s="10">
        <v>43.34</v>
      </c>
      <c r="Y39" s="10">
        <v>43.59</v>
      </c>
      <c r="Z39" s="10">
        <v>42.84</v>
      </c>
      <c r="AA39" s="10">
        <v>43.48</v>
      </c>
      <c r="AB39" s="95">
        <v>5332200</v>
      </c>
      <c r="AC39" s="10">
        <v>43.48</v>
      </c>
      <c r="AD39" s="2">
        <f t="shared" si="0"/>
        <v>0.75</v>
      </c>
      <c r="AE39" s="138">
        <f t="shared" si="1"/>
        <v>5.5504162812209934E-3</v>
      </c>
    </row>
    <row r="40" spans="1:31" x14ac:dyDescent="0.25">
      <c r="A40" s="385"/>
      <c r="B40" s="384"/>
      <c r="C40" s="385"/>
      <c r="D40" s="386"/>
      <c r="E40" s="386"/>
      <c r="F40" s="386"/>
      <c r="G40" s="384"/>
      <c r="H40" s="389"/>
      <c r="I40" s="386"/>
      <c r="J40" s="386"/>
      <c r="K40" s="386"/>
      <c r="L40" s="385"/>
      <c r="M40" s="385"/>
      <c r="W40" s="133">
        <v>42551</v>
      </c>
      <c r="X40" s="10">
        <v>43.25</v>
      </c>
      <c r="Y40" s="10">
        <v>43.37</v>
      </c>
      <c r="Z40" s="10">
        <v>42.47</v>
      </c>
      <c r="AA40" s="10">
        <v>43.24</v>
      </c>
      <c r="AB40" s="95">
        <v>7206400</v>
      </c>
      <c r="AC40" s="10">
        <v>43.24</v>
      </c>
      <c r="AD40" s="2">
        <f t="shared" si="0"/>
        <v>0.89999999999999858</v>
      </c>
      <c r="AE40" s="138">
        <f t="shared" si="1"/>
        <v>4.6274872744112017E-4</v>
      </c>
    </row>
    <row r="41" spans="1:31" x14ac:dyDescent="0.25">
      <c r="A41" s="385"/>
      <c r="B41" s="396"/>
      <c r="C41" s="385"/>
      <c r="D41" s="386"/>
      <c r="E41" s="386"/>
      <c r="F41" s="386"/>
      <c r="G41" s="384"/>
      <c r="H41" s="389"/>
      <c r="I41" s="386"/>
      <c r="J41" s="386"/>
      <c r="K41" s="386"/>
      <c r="L41" s="385"/>
      <c r="M41" s="385"/>
      <c r="W41" s="133">
        <v>42550</v>
      </c>
      <c r="X41" s="10">
        <v>43.17</v>
      </c>
      <c r="Y41" s="10">
        <v>43.93</v>
      </c>
      <c r="Z41" s="10">
        <v>42.67</v>
      </c>
      <c r="AA41" s="10">
        <v>43.22</v>
      </c>
      <c r="AB41" s="95">
        <v>4748800</v>
      </c>
      <c r="AC41" s="10">
        <v>43.22</v>
      </c>
      <c r="AD41" s="2">
        <f t="shared" si="0"/>
        <v>1.259999999999998</v>
      </c>
      <c r="AE41" s="138">
        <f t="shared" si="1"/>
        <v>9.3414292386735376E-3</v>
      </c>
    </row>
    <row r="42" spans="1:31" ht="20.25" thickBot="1" x14ac:dyDescent="0.35">
      <c r="A42" s="385"/>
      <c r="B42" s="396"/>
      <c r="C42" s="385"/>
      <c r="D42" s="386"/>
      <c r="E42" s="386"/>
      <c r="F42" s="386"/>
      <c r="G42" s="384"/>
      <c r="H42" s="389"/>
      <c r="I42" s="386"/>
      <c r="J42" s="386"/>
      <c r="K42" s="386"/>
      <c r="L42" s="385"/>
      <c r="M42" s="385"/>
      <c r="O42" s="535" t="s">
        <v>78</v>
      </c>
      <c r="P42" s="535"/>
      <c r="T42" s="112" t="s">
        <v>113</v>
      </c>
      <c r="U42" s="9"/>
      <c r="W42" s="133">
        <v>42549</v>
      </c>
      <c r="X42" s="10">
        <v>42.18</v>
      </c>
      <c r="Y42" s="10">
        <v>43.07</v>
      </c>
      <c r="Z42" s="10">
        <v>42.14</v>
      </c>
      <c r="AA42" s="10">
        <v>42.82</v>
      </c>
      <c r="AB42" s="95">
        <v>3755300</v>
      </c>
      <c r="AC42" s="10">
        <v>42.82</v>
      </c>
      <c r="AD42" s="2">
        <f t="shared" si="0"/>
        <v>0.92999999999999972</v>
      </c>
      <c r="AE42" s="138">
        <f t="shared" si="1"/>
        <v>2.4156900263094805E-2</v>
      </c>
    </row>
    <row r="43" spans="1:31" ht="15.75" thickTop="1" x14ac:dyDescent="0.25">
      <c r="A43" s="385"/>
      <c r="B43" s="384"/>
      <c r="C43" s="385"/>
      <c r="D43" s="386"/>
      <c r="E43" s="386"/>
      <c r="F43" s="386"/>
      <c r="G43" s="384"/>
      <c r="H43" s="389"/>
      <c r="I43" s="386"/>
      <c r="J43" s="386"/>
      <c r="K43" s="386"/>
      <c r="L43" s="385"/>
      <c r="M43" s="385"/>
      <c r="O43" s="83">
        <v>1.1000000000000001</v>
      </c>
      <c r="P43" s="83">
        <f>O43*$Q$4</f>
        <v>47.465000000000003</v>
      </c>
      <c r="Q43" s="2"/>
      <c r="T43" s="139" t="s">
        <v>98</v>
      </c>
      <c r="U43" s="371">
        <v>45.62</v>
      </c>
      <c r="W43" s="133">
        <v>42548</v>
      </c>
      <c r="X43" s="10">
        <v>43.18</v>
      </c>
      <c r="Y43" s="10">
        <v>43.19</v>
      </c>
      <c r="Z43" s="10">
        <v>41.62</v>
      </c>
      <c r="AA43" s="10">
        <v>41.81</v>
      </c>
      <c r="AB43" s="95">
        <v>5270300</v>
      </c>
      <c r="AC43" s="10">
        <v>41.81</v>
      </c>
      <c r="AD43" s="2">
        <f t="shared" si="0"/>
        <v>1.5700000000000003</v>
      </c>
      <c r="AE43" s="138">
        <f t="shared" si="1"/>
        <v>-4.0174471992653782E-2</v>
      </c>
    </row>
    <row r="44" spans="1:31" x14ac:dyDescent="0.25">
      <c r="A44" s="385"/>
      <c r="B44" s="384"/>
      <c r="C44" s="385"/>
      <c r="D44" s="386"/>
      <c r="E44" s="386"/>
      <c r="F44" s="386"/>
      <c r="G44" s="384"/>
      <c r="H44" s="389"/>
      <c r="I44" s="386"/>
      <c r="J44" s="386"/>
      <c r="K44" s="386"/>
      <c r="L44" s="385"/>
      <c r="M44" s="385"/>
      <c r="O44" s="83">
        <v>1.0900000000000001</v>
      </c>
      <c r="P44" s="83">
        <f t="shared" ref="P44:P63" si="3">O44*$Q$4</f>
        <v>47.033500000000004</v>
      </c>
      <c r="Q44" s="2"/>
      <c r="T44" s="108" t="s">
        <v>99</v>
      </c>
      <c r="U44" s="372">
        <v>45.54</v>
      </c>
      <c r="W44" s="133">
        <v>42545</v>
      </c>
      <c r="X44" s="10">
        <v>43.68</v>
      </c>
      <c r="Y44" s="10">
        <v>45.14</v>
      </c>
      <c r="Z44" s="10">
        <v>43.2</v>
      </c>
      <c r="AA44" s="10">
        <v>43.56</v>
      </c>
      <c r="AB44" s="95">
        <v>9367100</v>
      </c>
      <c r="AC44" s="10">
        <v>43.56</v>
      </c>
      <c r="AD44" s="2">
        <f t="shared" si="0"/>
        <v>1.9399999999999977</v>
      </c>
      <c r="AE44" s="138">
        <f t="shared" si="1"/>
        <v>-5.6325823223570048E-2</v>
      </c>
    </row>
    <row r="45" spans="1:31" x14ac:dyDescent="0.25">
      <c r="A45" s="385"/>
      <c r="B45" s="384"/>
      <c r="C45" s="385"/>
      <c r="D45" s="386"/>
      <c r="E45" s="386"/>
      <c r="F45" s="386"/>
      <c r="G45" s="384"/>
      <c r="H45" s="385"/>
      <c r="I45" s="385"/>
      <c r="J45" s="385"/>
      <c r="K45" s="386"/>
      <c r="L45" s="385"/>
      <c r="M45" s="385"/>
      <c r="O45" s="83">
        <v>1.08</v>
      </c>
      <c r="P45" s="83">
        <f t="shared" si="3"/>
        <v>46.602000000000004</v>
      </c>
      <c r="Q45" s="2"/>
      <c r="T45" s="108" t="s">
        <v>100</v>
      </c>
      <c r="U45" s="372" t="s">
        <v>521</v>
      </c>
      <c r="W45" s="133">
        <v>42544</v>
      </c>
      <c r="X45" s="10">
        <v>45.64</v>
      </c>
      <c r="Y45" s="10">
        <v>46.22</v>
      </c>
      <c r="Z45" s="10">
        <v>45.46</v>
      </c>
      <c r="AA45" s="10">
        <v>46.16</v>
      </c>
      <c r="AB45" s="95">
        <v>2964200</v>
      </c>
      <c r="AC45" s="10">
        <v>46.16</v>
      </c>
      <c r="AD45" s="2">
        <f t="shared" si="0"/>
        <v>0.75999999999999801</v>
      </c>
      <c r="AE45" s="138">
        <f t="shared" si="1"/>
        <v>2.5777777777777677E-2</v>
      </c>
    </row>
    <row r="46" spans="1:31" x14ac:dyDescent="0.25">
      <c r="A46" s="385"/>
      <c r="B46" s="384"/>
      <c r="C46" s="385"/>
      <c r="D46" s="386"/>
      <c r="E46" s="386"/>
      <c r="F46" s="386"/>
      <c r="G46" s="384"/>
      <c r="H46" s="385"/>
      <c r="I46" s="385"/>
      <c r="J46" s="385"/>
      <c r="K46" s="386"/>
      <c r="L46" s="385"/>
      <c r="M46" s="385"/>
      <c r="O46" s="83">
        <v>1.07</v>
      </c>
      <c r="P46" s="83">
        <f t="shared" si="3"/>
        <v>46.170500000000004</v>
      </c>
      <c r="Q46" s="2"/>
      <c r="T46" s="108" t="s">
        <v>101</v>
      </c>
      <c r="U46" s="372" t="s">
        <v>522</v>
      </c>
      <c r="W46" s="133">
        <v>42543</v>
      </c>
      <c r="X46" s="10">
        <v>44.74</v>
      </c>
      <c r="Y46" s="10">
        <v>46.29</v>
      </c>
      <c r="Z46" s="10">
        <v>44.7</v>
      </c>
      <c r="AA46" s="10">
        <v>45</v>
      </c>
      <c r="AB46" s="95">
        <v>3360400</v>
      </c>
      <c r="AC46" s="10">
        <v>45</v>
      </c>
      <c r="AD46" s="2">
        <f t="shared" si="0"/>
        <v>1.5899999999999963</v>
      </c>
      <c r="AE46" s="138">
        <f t="shared" si="1"/>
        <v>2.673796791443861E-3</v>
      </c>
    </row>
    <row r="47" spans="1:31" x14ac:dyDescent="0.25">
      <c r="A47" s="385"/>
      <c r="B47" s="384"/>
      <c r="C47" s="385"/>
      <c r="D47" s="386"/>
      <c r="E47" s="386"/>
      <c r="F47" s="386"/>
      <c r="G47" s="384"/>
      <c r="H47" s="385"/>
      <c r="I47" s="385"/>
      <c r="J47" s="385"/>
      <c r="K47" s="386"/>
      <c r="L47" s="385"/>
      <c r="M47" s="385"/>
      <c r="O47" s="83">
        <v>1.06</v>
      </c>
      <c r="P47" s="83">
        <f t="shared" si="3"/>
        <v>45.739000000000004</v>
      </c>
      <c r="Q47" s="2"/>
      <c r="T47" s="108" t="s">
        <v>102</v>
      </c>
      <c r="U47" s="372">
        <v>58.31</v>
      </c>
      <c r="W47" s="133">
        <v>42542</v>
      </c>
      <c r="X47" s="10">
        <v>45.56</v>
      </c>
      <c r="Y47" s="10">
        <v>45.79</v>
      </c>
      <c r="Z47" s="10">
        <v>44.06</v>
      </c>
      <c r="AA47" s="10">
        <v>44.88</v>
      </c>
      <c r="AB47" s="95">
        <v>5221100</v>
      </c>
      <c r="AC47" s="10">
        <v>44.88</v>
      </c>
      <c r="AD47" s="2">
        <f t="shared" si="0"/>
        <v>1.7299999999999969</v>
      </c>
      <c r="AE47" s="138">
        <f t="shared" si="1"/>
        <v>-1.1018069634200045E-2</v>
      </c>
    </row>
    <row r="48" spans="1:31" x14ac:dyDescent="0.25">
      <c r="A48" s="385"/>
      <c r="B48" s="384"/>
      <c r="C48" s="385"/>
      <c r="D48" s="386"/>
      <c r="E48" s="386"/>
      <c r="F48" s="386"/>
      <c r="G48" s="384"/>
      <c r="H48" s="385"/>
      <c r="I48" s="386"/>
      <c r="J48" s="385"/>
      <c r="K48" s="386"/>
      <c r="L48" s="385"/>
      <c r="M48" s="385"/>
      <c r="O48" s="83">
        <v>1.05</v>
      </c>
      <c r="P48" s="83">
        <f t="shared" si="3"/>
        <v>45.307499999999997</v>
      </c>
      <c r="Q48" s="2"/>
      <c r="T48" s="108" t="s">
        <v>103</v>
      </c>
      <c r="U48" s="372">
        <v>1.3286500000000001</v>
      </c>
      <c r="W48" s="133">
        <v>42541</v>
      </c>
      <c r="X48" s="10">
        <v>45.66</v>
      </c>
      <c r="Y48" s="10">
        <v>46.21</v>
      </c>
      <c r="Z48" s="10">
        <v>45.09</v>
      </c>
      <c r="AA48" s="10">
        <v>45.38</v>
      </c>
      <c r="AB48" s="95">
        <v>3812700</v>
      </c>
      <c r="AC48" s="10">
        <v>45.38</v>
      </c>
      <c r="AD48" s="2">
        <f t="shared" si="0"/>
        <v>1.1199999999999974</v>
      </c>
      <c r="AE48" s="138">
        <f t="shared" si="1"/>
        <v>8.2203954676740576E-3</v>
      </c>
    </row>
    <row r="49" spans="1:31" x14ac:dyDescent="0.25">
      <c r="A49" s="385"/>
      <c r="B49" s="384"/>
      <c r="C49" s="385"/>
      <c r="D49" s="386"/>
      <c r="E49" s="386"/>
      <c r="F49" s="386"/>
      <c r="G49" s="384"/>
      <c r="H49" s="385"/>
      <c r="I49" s="385"/>
      <c r="J49" s="385"/>
      <c r="K49" s="386"/>
      <c r="L49" s="385"/>
      <c r="M49" s="385"/>
      <c r="O49" s="83">
        <v>1.04</v>
      </c>
      <c r="P49" s="83">
        <f t="shared" si="3"/>
        <v>44.875999999999998</v>
      </c>
      <c r="Q49" s="2"/>
      <c r="T49" s="108" t="s">
        <v>123</v>
      </c>
      <c r="U49" s="372" t="s">
        <v>330</v>
      </c>
      <c r="W49" s="133">
        <v>42538</v>
      </c>
      <c r="X49" s="10">
        <v>45.05</v>
      </c>
      <c r="Y49" s="10">
        <v>45.58</v>
      </c>
      <c r="Z49" s="10">
        <v>44.47</v>
      </c>
      <c r="AA49" s="10">
        <v>45.01</v>
      </c>
      <c r="AB49" s="95">
        <v>9207200</v>
      </c>
      <c r="AC49" s="10">
        <v>45.01</v>
      </c>
      <c r="AD49" s="2">
        <f t="shared" si="0"/>
        <v>1.1099999999999994</v>
      </c>
      <c r="AE49" s="138">
        <f t="shared" si="1"/>
        <v>-8.8790233074365066E-4</v>
      </c>
    </row>
    <row r="50" spans="1:31" x14ac:dyDescent="0.25">
      <c r="A50" s="385"/>
      <c r="B50" s="385"/>
      <c r="C50" s="385"/>
      <c r="D50" s="386"/>
      <c r="E50" s="386"/>
      <c r="F50" s="386"/>
      <c r="G50" s="384"/>
      <c r="H50" s="385"/>
      <c r="I50" s="385"/>
      <c r="J50" s="385"/>
      <c r="K50" s="386"/>
      <c r="L50" s="385"/>
      <c r="M50" s="385"/>
      <c r="O50" s="83">
        <v>1.03</v>
      </c>
      <c r="P50" s="83">
        <f t="shared" si="3"/>
        <v>44.444499999999998</v>
      </c>
      <c r="Q50" s="2"/>
      <c r="T50" s="108"/>
      <c r="U50" s="372"/>
      <c r="W50" s="133">
        <v>42537</v>
      </c>
      <c r="X50" s="10">
        <v>44.4</v>
      </c>
      <c r="Y50" s="10">
        <v>45.12</v>
      </c>
      <c r="Z50" s="10">
        <v>44.09</v>
      </c>
      <c r="AA50" s="10">
        <v>45.05</v>
      </c>
      <c r="AB50" s="95">
        <v>3046000</v>
      </c>
      <c r="AC50" s="10">
        <v>45.05</v>
      </c>
      <c r="AD50" s="2">
        <f t="shared" si="0"/>
        <v>1.029999999999994</v>
      </c>
      <c r="AE50" s="138">
        <f t="shared" si="1"/>
        <v>6.9289226642823554E-3</v>
      </c>
    </row>
    <row r="51" spans="1:31" x14ac:dyDescent="0.25">
      <c r="A51" s="385"/>
      <c r="B51" s="385"/>
      <c r="C51" s="385"/>
      <c r="D51" s="386"/>
      <c r="E51" s="386"/>
      <c r="F51" s="386"/>
      <c r="G51" s="384"/>
      <c r="H51" s="385"/>
      <c r="I51" s="385"/>
      <c r="J51" s="385"/>
      <c r="K51" s="386"/>
      <c r="L51" s="385"/>
      <c r="M51" s="385"/>
      <c r="O51" s="83">
        <v>1.02</v>
      </c>
      <c r="P51" s="83">
        <f t="shared" si="3"/>
        <v>44.012999999999998</v>
      </c>
      <c r="Q51" s="2"/>
      <c r="T51" s="108" t="s">
        <v>105</v>
      </c>
      <c r="U51" s="372" t="s">
        <v>523</v>
      </c>
      <c r="W51" s="133">
        <v>42536</v>
      </c>
      <c r="X51" s="10">
        <v>44.97</v>
      </c>
      <c r="Y51" s="10">
        <v>45.8</v>
      </c>
      <c r="Z51" s="10">
        <v>44.66</v>
      </c>
      <c r="AA51" s="10">
        <v>44.74</v>
      </c>
      <c r="AB51" s="95">
        <v>3455300</v>
      </c>
      <c r="AC51" s="10">
        <v>44.74</v>
      </c>
      <c r="AD51" s="2">
        <f t="shared" si="0"/>
        <v>1.1400000000000006</v>
      </c>
      <c r="AE51" s="138">
        <f t="shared" si="1"/>
        <v>-2.8972587474926925E-3</v>
      </c>
    </row>
    <row r="52" spans="1:31" x14ac:dyDescent="0.25">
      <c r="A52" s="385"/>
      <c r="B52" s="385"/>
      <c r="C52" s="385"/>
      <c r="D52" s="386"/>
      <c r="E52" s="386"/>
      <c r="F52" s="386"/>
      <c r="G52" s="384"/>
      <c r="H52" s="385"/>
      <c r="I52" s="385"/>
      <c r="J52" s="385"/>
      <c r="K52" s="386"/>
      <c r="L52" s="385"/>
      <c r="M52" s="385"/>
      <c r="O52" s="83">
        <v>1.01</v>
      </c>
      <c r="P52" s="83">
        <f t="shared" si="3"/>
        <v>43.581499999999998</v>
      </c>
      <c r="Q52" s="2"/>
      <c r="T52" s="108" t="s">
        <v>106</v>
      </c>
      <c r="U52" s="372" t="s">
        <v>365</v>
      </c>
      <c r="W52" s="133">
        <v>42535</v>
      </c>
      <c r="X52" s="10">
        <v>44.67</v>
      </c>
      <c r="Y52" s="10">
        <v>45.43</v>
      </c>
      <c r="Z52" s="10">
        <v>44.1</v>
      </c>
      <c r="AA52" s="10">
        <v>44.87</v>
      </c>
      <c r="AB52" s="95">
        <v>4302800</v>
      </c>
      <c r="AC52" s="10">
        <v>44.87</v>
      </c>
      <c r="AD52" s="2">
        <f t="shared" si="0"/>
        <v>1.3299999999999983</v>
      </c>
      <c r="AE52" s="138">
        <f t="shared" si="1"/>
        <v>2.2336385972747674E-3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43.15</v>
      </c>
      <c r="Q53" s="2"/>
      <c r="T53" s="108" t="s">
        <v>107</v>
      </c>
      <c r="U53" s="373">
        <v>17938577</v>
      </c>
      <c r="W53" s="133">
        <v>42534</v>
      </c>
      <c r="X53" s="10">
        <v>44.15</v>
      </c>
      <c r="Y53" s="10">
        <v>45.37</v>
      </c>
      <c r="Z53" s="10">
        <v>44.05</v>
      </c>
      <c r="AA53" s="10">
        <v>44.77</v>
      </c>
      <c r="AB53" s="95">
        <v>4893100</v>
      </c>
      <c r="AC53" s="10">
        <v>44.77</v>
      </c>
      <c r="AD53" s="2">
        <f t="shared" si="0"/>
        <v>1.3200000000000003</v>
      </c>
      <c r="AE53" s="138">
        <f t="shared" si="1"/>
        <v>5.3896249719291855E-3</v>
      </c>
    </row>
    <row r="54" spans="1:31" x14ac:dyDescent="0.25">
      <c r="O54" s="83">
        <v>0.99</v>
      </c>
      <c r="P54" s="83">
        <f t="shared" si="3"/>
        <v>42.718499999999999</v>
      </c>
      <c r="Q54" s="2"/>
      <c r="T54" s="108" t="s">
        <v>110</v>
      </c>
      <c r="U54" s="373">
        <v>4794600</v>
      </c>
      <c r="W54" s="133">
        <v>42531</v>
      </c>
      <c r="X54" s="10">
        <v>44.39</v>
      </c>
      <c r="Y54" s="10">
        <v>44.58</v>
      </c>
      <c r="Z54" s="10">
        <v>43</v>
      </c>
      <c r="AA54" s="10">
        <v>44.53</v>
      </c>
      <c r="AB54" s="95">
        <v>7341000</v>
      </c>
      <c r="AC54" s="10">
        <v>44.53</v>
      </c>
      <c r="AD54" s="2">
        <f t="shared" si="0"/>
        <v>1.5799999999999983</v>
      </c>
      <c r="AE54" s="138">
        <f t="shared" si="1"/>
        <v>-2.6879370629370514E-2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42.286999999999999</v>
      </c>
      <c r="Q55" s="2"/>
      <c r="T55" s="108" t="s">
        <v>108</v>
      </c>
      <c r="U55" s="372" t="s">
        <v>524</v>
      </c>
      <c r="W55" s="133">
        <v>42530</v>
      </c>
      <c r="X55" s="10">
        <v>46.29</v>
      </c>
      <c r="Y55" s="10">
        <v>46.71</v>
      </c>
      <c r="Z55" s="10">
        <v>45.71</v>
      </c>
      <c r="AA55" s="10">
        <v>45.76</v>
      </c>
      <c r="AB55" s="95">
        <v>3919200</v>
      </c>
      <c r="AC55" s="10">
        <v>45.76</v>
      </c>
      <c r="AD55" s="2">
        <f t="shared" si="0"/>
        <v>1</v>
      </c>
      <c r="AE55" s="138">
        <f t="shared" si="1"/>
        <v>-1.6125564394753766E-2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41.855499999999999</v>
      </c>
      <c r="T56" s="108" t="s">
        <v>111</v>
      </c>
      <c r="U56" s="372">
        <v>27.31</v>
      </c>
      <c r="W56" s="133">
        <v>42529</v>
      </c>
      <c r="X56" s="10">
        <v>46.67</v>
      </c>
      <c r="Y56" s="10">
        <v>47</v>
      </c>
      <c r="Z56" s="10">
        <v>46.18</v>
      </c>
      <c r="AA56" s="10">
        <v>46.51</v>
      </c>
      <c r="AB56" s="95">
        <v>4764000</v>
      </c>
      <c r="AC56" s="10">
        <v>46.51</v>
      </c>
      <c r="AD56" s="2">
        <f t="shared" si="0"/>
        <v>0.82000000000000028</v>
      </c>
      <c r="AE56" s="138">
        <f t="shared" si="1"/>
        <v>-2.1454623471358625E-3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41.423999999999999</v>
      </c>
      <c r="T57" s="108" t="s">
        <v>112</v>
      </c>
      <c r="U57" s="372">
        <v>1.58</v>
      </c>
      <c r="W57" s="133">
        <v>42528</v>
      </c>
      <c r="X57" s="10">
        <v>46.28</v>
      </c>
      <c r="Y57" s="10">
        <v>46.68</v>
      </c>
      <c r="Z57" s="10">
        <v>45.42</v>
      </c>
      <c r="AA57" s="10">
        <v>46.61</v>
      </c>
      <c r="AB57" s="95">
        <v>4569600</v>
      </c>
      <c r="AC57" s="10">
        <v>46.61</v>
      </c>
      <c r="AD57" s="2">
        <f t="shared" si="0"/>
        <v>1.259999999999998</v>
      </c>
      <c r="AE57" s="138">
        <f t="shared" si="1"/>
        <v>1.9346517626825932E-3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40.9925</v>
      </c>
      <c r="T58" s="108" t="s">
        <v>109</v>
      </c>
      <c r="U58" s="372" t="s">
        <v>124</v>
      </c>
      <c r="W58" s="133">
        <v>42527</v>
      </c>
      <c r="X58" s="10">
        <v>45.12</v>
      </c>
      <c r="Y58" s="10">
        <v>46.55</v>
      </c>
      <c r="Z58" s="10">
        <v>44.8</v>
      </c>
      <c r="AA58" s="10">
        <v>46.52</v>
      </c>
      <c r="AB58" s="95">
        <v>4955900</v>
      </c>
      <c r="AC58" s="10">
        <v>46.52</v>
      </c>
      <c r="AD58" s="2">
        <f t="shared" si="0"/>
        <v>1.75</v>
      </c>
      <c r="AE58" s="138">
        <f t="shared" si="1"/>
        <v>4.4923629829290102E-2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40.560999999999993</v>
      </c>
      <c r="W59" s="133">
        <v>42524</v>
      </c>
      <c r="X59" s="10">
        <v>44.95</v>
      </c>
      <c r="Y59" s="10">
        <v>45.29</v>
      </c>
      <c r="Z59" s="10">
        <v>43.53</v>
      </c>
      <c r="AA59" s="10">
        <v>44.52</v>
      </c>
      <c r="AB59" s="95">
        <v>2792700</v>
      </c>
      <c r="AC59" s="10">
        <v>44.52</v>
      </c>
      <c r="AD59" s="2">
        <f t="shared" si="0"/>
        <v>1.759999999999998</v>
      </c>
      <c r="AE59" s="138">
        <f t="shared" si="1"/>
        <v>-9.7864768683273429E-3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40.1295</v>
      </c>
      <c r="W60" s="133">
        <v>42523</v>
      </c>
      <c r="X60" s="10">
        <v>44.75</v>
      </c>
      <c r="Y60" s="10">
        <v>45.68</v>
      </c>
      <c r="Z60" s="10">
        <v>44.55</v>
      </c>
      <c r="AA60" s="10">
        <v>44.96</v>
      </c>
      <c r="AB60" s="95">
        <v>6713800</v>
      </c>
      <c r="AC60" s="10">
        <v>44.96</v>
      </c>
      <c r="AD60" s="2">
        <f t="shared" si="0"/>
        <v>1.1300000000000026</v>
      </c>
      <c r="AE60" s="138">
        <f t="shared" si="1"/>
        <v>1.124606387764282E-2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39.698</v>
      </c>
      <c r="W61" s="133">
        <v>42522</v>
      </c>
      <c r="X61" s="10">
        <v>43.24</v>
      </c>
      <c r="Y61" s="10">
        <v>44.86</v>
      </c>
      <c r="Z61" s="10">
        <v>42.97</v>
      </c>
      <c r="AA61" s="10">
        <v>44.46</v>
      </c>
      <c r="AB61" s="95">
        <v>5554800</v>
      </c>
      <c r="AC61" s="10">
        <v>44.46</v>
      </c>
      <c r="AD61" s="2">
        <f t="shared" si="0"/>
        <v>1.8900000000000006</v>
      </c>
      <c r="AE61" s="138">
        <f t="shared" si="1"/>
        <v>2.5842178126441961E-2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39.266500000000001</v>
      </c>
      <c r="W62" s="133">
        <v>42521</v>
      </c>
      <c r="X62" s="10">
        <v>43.21</v>
      </c>
      <c r="Y62" s="10">
        <v>43.59</v>
      </c>
      <c r="Z62" s="10">
        <v>42.97</v>
      </c>
      <c r="AA62" s="10">
        <v>43.34</v>
      </c>
      <c r="AB62" s="95">
        <v>3456000</v>
      </c>
      <c r="AC62" s="10">
        <v>43.34</v>
      </c>
      <c r="AD62" s="2">
        <f t="shared" si="0"/>
        <v>0.62000000000000455</v>
      </c>
      <c r="AE62" s="138">
        <f t="shared" si="1"/>
        <v>6.5025545750116986E-3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38.835000000000001</v>
      </c>
      <c r="W63" s="133">
        <v>42517</v>
      </c>
      <c r="X63" s="10">
        <v>43.06</v>
      </c>
      <c r="Y63" s="10">
        <v>43.84</v>
      </c>
      <c r="Z63" s="10">
        <v>42.89</v>
      </c>
      <c r="AA63" s="10">
        <v>43.06</v>
      </c>
      <c r="AB63" s="95">
        <v>3054000</v>
      </c>
      <c r="AC63" s="10">
        <v>43.06</v>
      </c>
      <c r="AD63" s="2">
        <f t="shared" si="0"/>
        <v>0.95000000000000284</v>
      </c>
      <c r="AE63" s="138">
        <f t="shared" si="1"/>
        <v>4.6663555762949116E-3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42516</v>
      </c>
      <c r="X64" s="10">
        <v>42.66</v>
      </c>
      <c r="Y64" s="10">
        <v>43</v>
      </c>
      <c r="Z64" s="10">
        <v>42.41</v>
      </c>
      <c r="AA64" s="10">
        <v>42.86</v>
      </c>
      <c r="AB64" s="95">
        <v>1953700</v>
      </c>
      <c r="AC64" s="10">
        <v>42.86</v>
      </c>
      <c r="AD64" s="2">
        <f t="shared" si="0"/>
        <v>0.59000000000000341</v>
      </c>
      <c r="AE64" s="138">
        <f t="shared" si="1"/>
        <v>4.217432052483483E-3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42515</v>
      </c>
      <c r="X65" s="10">
        <v>42.47</v>
      </c>
      <c r="Y65" s="10">
        <v>42.97</v>
      </c>
      <c r="Z65" s="10">
        <v>42.14</v>
      </c>
      <c r="AA65" s="10">
        <v>42.68</v>
      </c>
      <c r="AB65" s="95">
        <v>3340100</v>
      </c>
      <c r="AC65" s="10">
        <v>42.68</v>
      </c>
      <c r="AD65" s="2">
        <f t="shared" si="0"/>
        <v>0.82999999999999829</v>
      </c>
      <c r="AE65" s="138">
        <f t="shared" si="1"/>
        <v>5.655042412818112E-3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42514</v>
      </c>
      <c r="X66" s="10">
        <v>41.55</v>
      </c>
      <c r="Y66" s="10">
        <v>42.6</v>
      </c>
      <c r="Z66" s="10">
        <v>41.5</v>
      </c>
      <c r="AA66" s="10">
        <v>42.44</v>
      </c>
      <c r="AB66" s="95">
        <v>3702800</v>
      </c>
      <c r="AC66" s="10">
        <v>42.44</v>
      </c>
      <c r="AD66" s="2">
        <f t="shared" si="0"/>
        <v>1.1000000000000014</v>
      </c>
      <c r="AE66" s="138">
        <f t="shared" si="1"/>
        <v>2.9847124484348342E-2</v>
      </c>
    </row>
    <row r="67" spans="2:31" x14ac:dyDescent="0.25">
      <c r="W67" s="133">
        <v>42513</v>
      </c>
      <c r="X67" s="10">
        <v>41.56</v>
      </c>
      <c r="Y67" s="10">
        <v>41.66</v>
      </c>
      <c r="Z67" s="10">
        <v>40.950000000000003</v>
      </c>
      <c r="AA67" s="10">
        <v>41.21</v>
      </c>
      <c r="AB67" s="95">
        <v>3710900</v>
      </c>
      <c r="AC67" s="10">
        <v>41.21</v>
      </c>
      <c r="AD67" s="2">
        <f>Y67-Z67</f>
        <v>0.70999999999999375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9" priority="25">
      <formula>N19&gt;0</formula>
    </cfRule>
    <cfRule type="expression" dxfId="63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7" priority="19">
      <formula>F21&gt;0</formula>
    </cfRule>
    <cfRule type="expression" dxfId="636" priority="20">
      <formula>F21&lt;0</formula>
    </cfRule>
  </conditionalFormatting>
  <conditionalFormatting sqref="H21:H31">
    <cfRule type="expression" dxfId="635" priority="17">
      <formula>H21&gt;0</formula>
    </cfRule>
    <cfRule type="expression" dxfId="634" priority="18">
      <formula>H21&lt;0</formula>
    </cfRule>
  </conditionalFormatting>
  <conditionalFormatting sqref="I21:I31">
    <cfRule type="expression" dxfId="633" priority="15">
      <formula>I21&gt;0</formula>
    </cfRule>
    <cfRule type="expression" dxfId="632" priority="16">
      <formula>I21&lt;0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F56:F66">
    <cfRule type="expression" dxfId="627" priority="5">
      <formula>F56&gt;0</formula>
    </cfRule>
    <cfRule type="expression" dxfId="626" priority="6">
      <formula>F56&lt;0</formula>
    </cfRule>
  </conditionalFormatting>
  <conditionalFormatting sqref="H56:H66">
    <cfRule type="expression" dxfId="625" priority="3">
      <formula>H56&gt;0</formula>
    </cfRule>
    <cfRule type="expression" dxfId="624" priority="4">
      <formula>H56&lt;0</formula>
    </cfRule>
  </conditionalFormatting>
  <conditionalFormatting sqref="I56:I66">
    <cfRule type="expression" dxfId="623" priority="1">
      <formula>I56&gt;0</formula>
    </cfRule>
    <cfRule type="expression" dxfId="62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239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305</v>
      </c>
      <c r="W2" s="133">
        <v>42606</v>
      </c>
      <c r="X2" s="10">
        <v>94.74</v>
      </c>
      <c r="Y2" s="10">
        <v>96.2</v>
      </c>
      <c r="Z2" s="10">
        <v>94.32</v>
      </c>
      <c r="AA2" s="10">
        <v>95.5</v>
      </c>
      <c r="AB2" s="95">
        <v>2401000</v>
      </c>
      <c r="AC2" s="10">
        <v>95.5</v>
      </c>
      <c r="AD2" s="2">
        <f>Y2-Z2</f>
        <v>1.8800000000000097</v>
      </c>
      <c r="AE2" s="138">
        <f>AC2/AC3-1</f>
        <v>5.3689862090746665E-3</v>
      </c>
    </row>
    <row r="3" spans="1:40" x14ac:dyDescent="0.25">
      <c r="A3" s="23" t="s">
        <v>71</v>
      </c>
      <c r="B3" s="370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95.5</v>
      </c>
      <c r="W3" s="133">
        <v>42605</v>
      </c>
      <c r="X3" s="10">
        <v>92.59</v>
      </c>
      <c r="Y3" s="10">
        <v>95.3</v>
      </c>
      <c r="Z3" s="10">
        <v>92.59</v>
      </c>
      <c r="AA3" s="10">
        <v>94.99</v>
      </c>
      <c r="AB3" s="95">
        <v>1932500</v>
      </c>
      <c r="AC3" s="10">
        <v>94.99</v>
      </c>
      <c r="AD3" s="2">
        <f t="shared" ref="AD3:AD66" si="0">Y3-Z3</f>
        <v>2.7099999999999937</v>
      </c>
      <c r="AE3" s="138">
        <f t="shared" ref="AE3:AE66" si="1">AC3/AC4-1</f>
        <v>2.7919056379179796E-2</v>
      </c>
      <c r="AG3" s="1"/>
      <c r="AK3" s="234"/>
      <c r="AN3" s="234"/>
    </row>
    <row r="4" spans="1:40" x14ac:dyDescent="0.25">
      <c r="B4" s="370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95.5</v>
      </c>
      <c r="T4" s="1"/>
      <c r="W4" s="133">
        <v>42604</v>
      </c>
      <c r="X4" s="10">
        <v>92.02</v>
      </c>
      <c r="Y4" s="10">
        <v>93.35</v>
      </c>
      <c r="Z4" s="10">
        <v>91.63</v>
      </c>
      <c r="AA4" s="10">
        <v>92.41</v>
      </c>
      <c r="AB4" s="95">
        <v>951800</v>
      </c>
      <c r="AC4" s="10">
        <v>92.41</v>
      </c>
      <c r="AD4" s="2">
        <f t="shared" si="0"/>
        <v>1.7199999999999989</v>
      </c>
      <c r="AE4" s="138">
        <f t="shared" si="1"/>
        <v>-6.8780225685115548E-3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42601</v>
      </c>
      <c r="X5" s="10">
        <v>92.64</v>
      </c>
      <c r="Y5" s="10">
        <v>95.34</v>
      </c>
      <c r="Z5" s="10">
        <v>92.23</v>
      </c>
      <c r="AA5" s="10">
        <v>93.05</v>
      </c>
      <c r="AB5" s="95">
        <v>1046300</v>
      </c>
      <c r="AC5" s="10">
        <v>93.05</v>
      </c>
      <c r="AD5" s="2">
        <f t="shared" si="0"/>
        <v>3.1099999999999994</v>
      </c>
      <c r="AE5" s="138">
        <f t="shared" si="1"/>
        <v>1.1835592855604649E-3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42600</v>
      </c>
      <c r="X6" s="10">
        <v>90.68</v>
      </c>
      <c r="Y6" s="10">
        <v>93.06</v>
      </c>
      <c r="Z6" s="10">
        <v>90.17</v>
      </c>
      <c r="AA6" s="10">
        <v>92.94</v>
      </c>
      <c r="AB6" s="95">
        <v>985000</v>
      </c>
      <c r="AC6" s="10">
        <v>92.94</v>
      </c>
      <c r="AD6" s="2">
        <f t="shared" si="0"/>
        <v>2.8900000000000006</v>
      </c>
      <c r="AE6" s="138">
        <f t="shared" si="1"/>
        <v>2.176781002638517E-2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420.9900000000016</v>
      </c>
      <c r="R7">
        <v>0</v>
      </c>
      <c r="W7" s="133">
        <v>42599</v>
      </c>
      <c r="X7" s="10">
        <v>92.57</v>
      </c>
      <c r="Y7" s="10">
        <v>92.67</v>
      </c>
      <c r="Z7" s="10">
        <v>90.07</v>
      </c>
      <c r="AA7" s="10">
        <v>90.96</v>
      </c>
      <c r="AB7" s="95">
        <v>1152800</v>
      </c>
      <c r="AC7" s="10">
        <v>90.96</v>
      </c>
      <c r="AD7" s="2">
        <f t="shared" si="0"/>
        <v>2.6000000000000085</v>
      </c>
      <c r="AE7" s="138">
        <f t="shared" si="1"/>
        <v>-1.5903927296332498E-2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42598</v>
      </c>
      <c r="X8" s="10">
        <v>92.28</v>
      </c>
      <c r="Y8" s="10">
        <v>93</v>
      </c>
      <c r="Z8" s="10">
        <v>89.37</v>
      </c>
      <c r="AA8" s="10">
        <v>92.43</v>
      </c>
      <c r="AB8" s="95">
        <v>956300</v>
      </c>
      <c r="AC8" s="10">
        <v>92.43</v>
      </c>
      <c r="AD8" s="2">
        <f t="shared" si="0"/>
        <v>3.6299999999999955</v>
      </c>
      <c r="AE8" s="138">
        <f t="shared" si="1"/>
        <v>-2.5898348980252228E-3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225</v>
      </c>
      <c r="Q9" s="138">
        <f>IF(Q2=0, 0, Q8/Q6)</f>
        <v>0</v>
      </c>
      <c r="T9" s="158"/>
      <c r="W9" s="133">
        <v>42597</v>
      </c>
      <c r="X9" s="10">
        <v>91.26</v>
      </c>
      <c r="Y9" s="10">
        <v>94.18</v>
      </c>
      <c r="Z9" s="10">
        <v>91.26</v>
      </c>
      <c r="AA9" s="10">
        <v>92.67</v>
      </c>
      <c r="AB9" s="95">
        <v>1646000</v>
      </c>
      <c r="AC9" s="10">
        <v>92.67</v>
      </c>
      <c r="AD9" s="2">
        <f t="shared" si="0"/>
        <v>2.9200000000000017</v>
      </c>
      <c r="AE9" s="138">
        <f t="shared" si="1"/>
        <v>1.5895636921727796E-2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420.9900000000016</v>
      </c>
      <c r="W10" s="133">
        <v>42594</v>
      </c>
      <c r="X10" s="10">
        <v>90.1</v>
      </c>
      <c r="Y10" s="10">
        <v>91.5</v>
      </c>
      <c r="Z10" s="10">
        <v>89.85</v>
      </c>
      <c r="AA10" s="10">
        <v>91.22</v>
      </c>
      <c r="AB10" s="95">
        <v>709400</v>
      </c>
      <c r="AC10" s="10">
        <v>91.22</v>
      </c>
      <c r="AD10" s="2">
        <f t="shared" si="0"/>
        <v>1.6500000000000057</v>
      </c>
      <c r="AE10" s="138">
        <f t="shared" si="1"/>
        <v>6.6210549547560671E-3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1.12E-2</v>
      </c>
      <c r="W11" s="133">
        <v>42593</v>
      </c>
      <c r="X11" s="10">
        <v>88.17</v>
      </c>
      <c r="Y11" s="10">
        <v>90.85</v>
      </c>
      <c r="Z11" s="10">
        <v>88.17</v>
      </c>
      <c r="AA11" s="10">
        <v>90.62</v>
      </c>
      <c r="AB11" s="95">
        <v>1040300</v>
      </c>
      <c r="AC11" s="10">
        <v>90.62</v>
      </c>
      <c r="AD11" s="2">
        <f t="shared" si="0"/>
        <v>2.6799999999999926</v>
      </c>
      <c r="AE11" s="138">
        <f t="shared" si="1"/>
        <v>4.0771792810382568E-2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42592</v>
      </c>
      <c r="X12" s="10">
        <v>87.74</v>
      </c>
      <c r="Y12" s="10">
        <v>89.09</v>
      </c>
      <c r="Z12" s="10">
        <v>86.94</v>
      </c>
      <c r="AA12" s="10">
        <v>87.07</v>
      </c>
      <c r="AB12" s="95">
        <v>600700</v>
      </c>
      <c r="AC12" s="10">
        <v>87.07</v>
      </c>
      <c r="AD12" s="2">
        <f t="shared" si="0"/>
        <v>2.1500000000000057</v>
      </c>
      <c r="AE12" s="138">
        <f t="shared" si="1"/>
        <v>-6.8438462415878476E-3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42591</v>
      </c>
      <c r="X13" s="10">
        <v>87.66</v>
      </c>
      <c r="Y13" s="10">
        <v>88.44</v>
      </c>
      <c r="Z13" s="10">
        <v>86.65</v>
      </c>
      <c r="AA13" s="10">
        <v>87.67</v>
      </c>
      <c r="AB13" s="95">
        <v>1026200</v>
      </c>
      <c r="AC13" s="10">
        <v>87.67</v>
      </c>
      <c r="AD13" s="2">
        <f t="shared" si="0"/>
        <v>1.789999999999992</v>
      </c>
      <c r="AE13" s="138">
        <f t="shared" si="1"/>
        <v>-2.6166097838453695E-3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42590</v>
      </c>
      <c r="X14" s="10">
        <v>87.03</v>
      </c>
      <c r="Y14" s="10">
        <v>88.37</v>
      </c>
      <c r="Z14" s="10">
        <v>86.98</v>
      </c>
      <c r="AA14" s="10">
        <v>87.9</v>
      </c>
      <c r="AB14" s="95">
        <v>775400</v>
      </c>
      <c r="AC14" s="10">
        <v>87.9</v>
      </c>
      <c r="AD14" s="2">
        <f t="shared" si="0"/>
        <v>1.3900000000000006</v>
      </c>
      <c r="AE14" s="138">
        <f t="shared" si="1"/>
        <v>1.0344827586207028E-2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42587</v>
      </c>
      <c r="X15" s="10">
        <v>86.65</v>
      </c>
      <c r="Y15" s="10">
        <v>87.91</v>
      </c>
      <c r="Z15" s="10">
        <v>86.4</v>
      </c>
      <c r="AA15" s="10">
        <v>87</v>
      </c>
      <c r="AB15" s="95">
        <v>956700</v>
      </c>
      <c r="AC15" s="10">
        <v>87</v>
      </c>
      <c r="AD15" s="2">
        <f t="shared" si="0"/>
        <v>1.5099999999999909</v>
      </c>
      <c r="AE15" s="138">
        <f t="shared" si="1"/>
        <v>9.1636701078761096E-3</v>
      </c>
    </row>
    <row r="16" spans="1:40" x14ac:dyDescent="0.25">
      <c r="G16" s="1"/>
      <c r="H16" s="72"/>
      <c r="W16" s="133">
        <v>42586</v>
      </c>
      <c r="X16" s="10">
        <v>84.6</v>
      </c>
      <c r="Y16" s="10">
        <v>86.21</v>
      </c>
      <c r="Z16" s="10">
        <v>83.86</v>
      </c>
      <c r="AA16" s="10">
        <v>86.21</v>
      </c>
      <c r="AB16" s="95">
        <v>1139700</v>
      </c>
      <c r="AC16" s="10">
        <v>86.21</v>
      </c>
      <c r="AD16" s="2">
        <f t="shared" si="0"/>
        <v>2.3499999999999943</v>
      </c>
      <c r="AE16" s="138">
        <f t="shared" si="1"/>
        <v>2.1566536319469032E-2</v>
      </c>
    </row>
    <row r="17" spans="1:31" x14ac:dyDescent="0.25">
      <c r="G17" s="1"/>
      <c r="H17" s="72"/>
      <c r="W17" s="133">
        <v>42585</v>
      </c>
      <c r="X17" s="10">
        <v>82.93</v>
      </c>
      <c r="Y17" s="10">
        <v>84.53</v>
      </c>
      <c r="Z17" s="10">
        <v>81.86</v>
      </c>
      <c r="AA17" s="10">
        <v>84.39</v>
      </c>
      <c r="AB17" s="95">
        <v>1001400</v>
      </c>
      <c r="AC17" s="10">
        <v>84.39</v>
      </c>
      <c r="AD17" s="2">
        <f t="shared" si="0"/>
        <v>2.6700000000000017</v>
      </c>
      <c r="AE17" s="138">
        <f t="shared" si="1"/>
        <v>9.5705227898073009E-3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42584</v>
      </c>
      <c r="X18" s="10">
        <v>86.52</v>
      </c>
      <c r="Y18" s="10">
        <v>86.7</v>
      </c>
      <c r="Z18" s="10">
        <v>83.46</v>
      </c>
      <c r="AA18" s="10">
        <v>83.59</v>
      </c>
      <c r="AB18" s="95">
        <v>1052700</v>
      </c>
      <c r="AC18" s="10">
        <v>83.59</v>
      </c>
      <c r="AD18" s="2">
        <f t="shared" si="0"/>
        <v>3.2400000000000091</v>
      </c>
      <c r="AE18" s="138">
        <f t="shared" si="1"/>
        <v>-3.5759603183758149E-2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>SumByColor($A$19,M2:M17)</f>
        <v>0</v>
      </c>
      <c r="N19" s="2"/>
      <c r="W19" s="133">
        <v>42583</v>
      </c>
      <c r="X19" s="10">
        <v>87.86</v>
      </c>
      <c r="Y19" s="10">
        <v>88.1</v>
      </c>
      <c r="Z19" s="10">
        <v>86.27</v>
      </c>
      <c r="AA19" s="10">
        <v>86.69</v>
      </c>
      <c r="AB19" s="95">
        <v>776200</v>
      </c>
      <c r="AC19" s="10">
        <v>86.69</v>
      </c>
      <c r="AD19" s="2">
        <f t="shared" si="0"/>
        <v>1.8299999999999983</v>
      </c>
      <c r="AE19" s="138">
        <f t="shared" si="1"/>
        <v>-1.3877829598452962E-2</v>
      </c>
    </row>
    <row r="20" spans="1:31" x14ac:dyDescent="0.25">
      <c r="W20" s="133">
        <v>42580</v>
      </c>
      <c r="X20" s="10">
        <v>86.95</v>
      </c>
      <c r="Y20" s="10">
        <v>88.08</v>
      </c>
      <c r="Z20" s="10">
        <v>84.94</v>
      </c>
      <c r="AA20" s="10">
        <v>87.91</v>
      </c>
      <c r="AB20" s="95">
        <v>1669700</v>
      </c>
      <c r="AC20" s="10">
        <v>87.91</v>
      </c>
      <c r="AD20" s="2">
        <f t="shared" si="0"/>
        <v>3.1400000000000006</v>
      </c>
      <c r="AE20" s="138">
        <f t="shared" si="1"/>
        <v>1.1389783709157886E-2</v>
      </c>
    </row>
    <row r="21" spans="1:31" x14ac:dyDescent="0.25">
      <c r="W21" s="133">
        <v>42579</v>
      </c>
      <c r="X21" s="10">
        <v>87.22</v>
      </c>
      <c r="Y21" s="10">
        <v>87.43</v>
      </c>
      <c r="Z21" s="10">
        <v>85.57</v>
      </c>
      <c r="AA21" s="10">
        <v>86.92</v>
      </c>
      <c r="AB21" s="95">
        <v>1463800</v>
      </c>
      <c r="AC21" s="10">
        <v>86.92</v>
      </c>
      <c r="AD21" s="2">
        <f t="shared" si="0"/>
        <v>1.8600000000000136</v>
      </c>
      <c r="AE21" s="138">
        <f t="shared" si="1"/>
        <v>-3.4395780784223229E-3</v>
      </c>
    </row>
    <row r="22" spans="1:31" x14ac:dyDescent="0.25">
      <c r="W22" s="133">
        <v>42578</v>
      </c>
      <c r="X22" s="10">
        <v>88.39</v>
      </c>
      <c r="Y22" s="10">
        <v>89.97</v>
      </c>
      <c r="Z22" s="10">
        <v>86.63</v>
      </c>
      <c r="AA22" s="10">
        <v>87.22</v>
      </c>
      <c r="AB22" s="95">
        <v>1732800</v>
      </c>
      <c r="AC22" s="10">
        <v>87.22</v>
      </c>
      <c r="AD22" s="2">
        <f t="shared" si="0"/>
        <v>3.3400000000000034</v>
      </c>
      <c r="AE22" s="138" t="e">
        <f t="shared" si="1"/>
        <v>#DIV/0!</v>
      </c>
    </row>
    <row r="23" spans="1:31" x14ac:dyDescent="0.25">
      <c r="W23" s="133">
        <v>42578</v>
      </c>
      <c r="X23" s="10" t="s">
        <v>142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42577</v>
      </c>
      <c r="X24" s="10">
        <v>89.22</v>
      </c>
      <c r="Y24" s="10">
        <v>89.5</v>
      </c>
      <c r="Z24" s="10">
        <v>87.99</v>
      </c>
      <c r="AA24" s="10">
        <v>89.46</v>
      </c>
      <c r="AB24" s="95">
        <v>1258400</v>
      </c>
      <c r="AC24" s="10">
        <v>89.2</v>
      </c>
      <c r="AD24" s="2">
        <f t="shared" si="0"/>
        <v>1.5100000000000051</v>
      </c>
      <c r="AE24" s="138">
        <f t="shared" si="1"/>
        <v>6.7720090293454938E-3</v>
      </c>
    </row>
    <row r="25" spans="1:31" x14ac:dyDescent="0.25">
      <c r="B25" s="193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1">
        <f t="shared" ref="H25:H33" si="5">(E25-D25)/D25</f>
        <v>8.316008316008287E-3</v>
      </c>
      <c r="I25" s="231"/>
      <c r="W25" s="133">
        <v>42576</v>
      </c>
      <c r="X25" s="10">
        <v>89.54</v>
      </c>
      <c r="Y25" s="10">
        <v>89.79</v>
      </c>
      <c r="Z25" s="10">
        <v>88.78</v>
      </c>
      <c r="AA25" s="10">
        <v>88.86</v>
      </c>
      <c r="AB25" s="95">
        <v>910100</v>
      </c>
      <c r="AC25" s="10">
        <v>88.6</v>
      </c>
      <c r="AD25" s="2">
        <f t="shared" si="0"/>
        <v>1.0100000000000051</v>
      </c>
      <c r="AE25" s="138">
        <f t="shared" si="1"/>
        <v>-7.5053209364848161E-3</v>
      </c>
    </row>
    <row r="26" spans="1:31" x14ac:dyDescent="0.25">
      <c r="B26" s="193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1">
        <f t="shared" si="5"/>
        <v>2.6299376299376311E-2</v>
      </c>
      <c r="I26" s="231"/>
      <c r="W26" s="133">
        <v>42573</v>
      </c>
      <c r="X26" s="10">
        <v>87.82</v>
      </c>
      <c r="Y26" s="10">
        <v>89.73</v>
      </c>
      <c r="Z26" s="10">
        <v>87.36</v>
      </c>
      <c r="AA26" s="10">
        <v>89.53</v>
      </c>
      <c r="AB26" s="95">
        <v>1571900</v>
      </c>
      <c r="AC26" s="10">
        <v>89.27</v>
      </c>
      <c r="AD26" s="2">
        <f t="shared" si="0"/>
        <v>2.3700000000000045</v>
      </c>
      <c r="AE26" s="138">
        <f t="shared" si="1"/>
        <v>2.3621144364178503E-2</v>
      </c>
    </row>
    <row r="27" spans="1:31" x14ac:dyDescent="0.25">
      <c r="B27" s="193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1">
        <f t="shared" si="5"/>
        <v>-4.3359437288495929E-2</v>
      </c>
      <c r="I27" s="232"/>
      <c r="W27" s="133">
        <v>42572</v>
      </c>
      <c r="X27" s="10">
        <v>89.55</v>
      </c>
      <c r="Y27" s="10">
        <v>89.83</v>
      </c>
      <c r="Z27" s="10">
        <v>86.97</v>
      </c>
      <c r="AA27" s="10">
        <v>87.46</v>
      </c>
      <c r="AB27" s="95">
        <v>1919800</v>
      </c>
      <c r="AC27" s="10">
        <v>87.21</v>
      </c>
      <c r="AD27" s="2">
        <f t="shared" si="0"/>
        <v>2.8599999999999994</v>
      </c>
      <c r="AE27" s="138">
        <f t="shared" si="1"/>
        <v>-2.3294881845671522E-2</v>
      </c>
    </row>
    <row r="28" spans="1:31" x14ac:dyDescent="0.25">
      <c r="B28" s="193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1">
        <f t="shared" si="5"/>
        <v>-2.2434423968581276E-2</v>
      </c>
      <c r="I28" s="231"/>
      <c r="W28" s="133">
        <v>42571</v>
      </c>
      <c r="X28" s="10">
        <v>90.96</v>
      </c>
      <c r="Y28" s="10">
        <v>90.99</v>
      </c>
      <c r="Z28" s="10">
        <v>89.13</v>
      </c>
      <c r="AA28" s="10">
        <v>89.55</v>
      </c>
      <c r="AB28" s="95">
        <v>1697800</v>
      </c>
      <c r="AC28" s="10">
        <v>89.29</v>
      </c>
      <c r="AD28" s="2">
        <f t="shared" si="0"/>
        <v>1.8599999999999994</v>
      </c>
      <c r="AE28" s="138">
        <f t="shared" si="1"/>
        <v>-9.3198712970152808E-3</v>
      </c>
    </row>
    <row r="29" spans="1:31" x14ac:dyDescent="0.25">
      <c r="B29" s="193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1">
        <f t="shared" si="5"/>
        <v>-6.402830134983073E-2</v>
      </c>
      <c r="I29" s="231"/>
      <c r="W29" s="133">
        <v>42570</v>
      </c>
      <c r="X29" s="10">
        <v>91.84</v>
      </c>
      <c r="Y29" s="10">
        <v>91.92</v>
      </c>
      <c r="Z29" s="10">
        <v>89.77</v>
      </c>
      <c r="AA29" s="10">
        <v>90.39</v>
      </c>
      <c r="AB29" s="95">
        <v>1353600</v>
      </c>
      <c r="AC29" s="10">
        <v>90.13</v>
      </c>
      <c r="AD29" s="2">
        <f t="shared" si="0"/>
        <v>2.1500000000000057</v>
      </c>
      <c r="AE29" s="138">
        <f t="shared" si="1"/>
        <v>-2.0219589085770151E-2</v>
      </c>
    </row>
    <row r="30" spans="1:31" x14ac:dyDescent="0.25">
      <c r="B30" s="193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1">
        <f t="shared" si="5"/>
        <v>-3.6583852929419118E-2</v>
      </c>
      <c r="I30" s="231"/>
      <c r="W30" s="133">
        <v>42569</v>
      </c>
      <c r="X30" s="10">
        <v>90.48</v>
      </c>
      <c r="Y30" s="10">
        <v>92.67</v>
      </c>
      <c r="Z30" s="10">
        <v>90.41</v>
      </c>
      <c r="AA30" s="10">
        <v>92.26</v>
      </c>
      <c r="AB30" s="95">
        <v>1456700</v>
      </c>
      <c r="AC30" s="10">
        <v>91.99</v>
      </c>
      <c r="AD30" s="2">
        <f t="shared" si="0"/>
        <v>2.2600000000000051</v>
      </c>
      <c r="AE30" s="138">
        <f t="shared" si="1"/>
        <v>2.1203374777975181E-2</v>
      </c>
    </row>
    <row r="31" spans="1:31" x14ac:dyDescent="0.25">
      <c r="B31" s="193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1">
        <f t="shared" si="5"/>
        <v>-1.7271165060967823E-2</v>
      </c>
      <c r="I31" s="231"/>
      <c r="W31" s="133">
        <v>42566</v>
      </c>
      <c r="X31" s="10">
        <v>91.7</v>
      </c>
      <c r="Y31" s="10">
        <v>91.76</v>
      </c>
      <c r="Z31" s="10">
        <v>90</v>
      </c>
      <c r="AA31" s="10">
        <v>90.34</v>
      </c>
      <c r="AB31" s="95">
        <v>1790700</v>
      </c>
      <c r="AC31" s="10">
        <v>90.08</v>
      </c>
      <c r="AD31" s="2">
        <f t="shared" si="0"/>
        <v>1.7600000000000051</v>
      </c>
      <c r="AE31" s="138">
        <f t="shared" si="1"/>
        <v>-1.3578624616732315E-2</v>
      </c>
    </row>
    <row r="32" spans="1:31" x14ac:dyDescent="0.25">
      <c r="B32" s="193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1">
        <f t="shared" si="5"/>
        <v>-6.285991115336112E-2</v>
      </c>
      <c r="I32" s="231"/>
      <c r="W32" s="133">
        <v>42565</v>
      </c>
      <c r="X32" s="10">
        <v>89.66</v>
      </c>
      <c r="Y32" s="10">
        <v>91.59</v>
      </c>
      <c r="Z32" s="10">
        <v>89.24</v>
      </c>
      <c r="AA32" s="10">
        <v>91.59</v>
      </c>
      <c r="AB32" s="95">
        <v>2416800</v>
      </c>
      <c r="AC32" s="10">
        <v>91.32</v>
      </c>
      <c r="AD32" s="2">
        <f t="shared" si="0"/>
        <v>2.3500000000000085</v>
      </c>
      <c r="AE32" s="138">
        <f t="shared" si="1"/>
        <v>3.1747825104507799E-2</v>
      </c>
    </row>
    <row r="33" spans="2:31" x14ac:dyDescent="0.25">
      <c r="B33" s="193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1">
        <f t="shared" si="5"/>
        <v>-2.7411867636718715E-2</v>
      </c>
      <c r="I33" s="231"/>
      <c r="W33" s="133">
        <v>42564</v>
      </c>
      <c r="X33" s="10">
        <v>89.06</v>
      </c>
      <c r="Y33" s="10">
        <v>89.24</v>
      </c>
      <c r="Z33" s="10">
        <v>87.56</v>
      </c>
      <c r="AA33" s="10">
        <v>88.77</v>
      </c>
      <c r="AB33" s="95">
        <v>1099400</v>
      </c>
      <c r="AC33" s="10">
        <v>88.51</v>
      </c>
      <c r="AD33" s="2">
        <f t="shared" si="0"/>
        <v>1.6799999999999926</v>
      </c>
      <c r="AE33" s="138">
        <f t="shared" si="1"/>
        <v>-3.3779979732011522E-3</v>
      </c>
    </row>
    <row r="34" spans="2:31" x14ac:dyDescent="0.25">
      <c r="B34" s="193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1">
        <f t="shared" ref="H34:H35" si="8">(E34-D34)/D34</f>
        <v>-9.4964162961890114E-3</v>
      </c>
      <c r="I34" s="231"/>
      <c r="W34" s="133">
        <v>42563</v>
      </c>
      <c r="X34" s="10">
        <v>88.37</v>
      </c>
      <c r="Y34" s="10">
        <v>89.9</v>
      </c>
      <c r="Z34" s="10">
        <v>88.37</v>
      </c>
      <c r="AA34" s="10">
        <v>89.07</v>
      </c>
      <c r="AB34" s="95">
        <v>2148500</v>
      </c>
      <c r="AC34" s="10">
        <v>88.81</v>
      </c>
      <c r="AD34" s="2">
        <f t="shared" si="0"/>
        <v>1.5300000000000011</v>
      </c>
      <c r="AE34" s="138">
        <f t="shared" si="1"/>
        <v>1.4739488117001986E-2</v>
      </c>
    </row>
    <row r="35" spans="2:31" x14ac:dyDescent="0.25">
      <c r="B35" s="193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1">
        <f t="shared" si="8"/>
        <v>4.4167736892065435E-2</v>
      </c>
      <c r="I35" s="231"/>
      <c r="W35" s="133">
        <v>42562</v>
      </c>
      <c r="X35" s="10">
        <v>84.78</v>
      </c>
      <c r="Y35" s="10">
        <v>87.78</v>
      </c>
      <c r="Z35" s="10">
        <v>84.78</v>
      </c>
      <c r="AA35" s="10">
        <v>87.78</v>
      </c>
      <c r="AB35" s="95">
        <v>2072300</v>
      </c>
      <c r="AC35" s="10">
        <v>87.52</v>
      </c>
      <c r="AD35" s="2">
        <f t="shared" si="0"/>
        <v>3</v>
      </c>
      <c r="AE35" s="138">
        <f t="shared" si="1"/>
        <v>4.2028812953923023E-2</v>
      </c>
    </row>
    <row r="36" spans="2:31" x14ac:dyDescent="0.25">
      <c r="B36" s="193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1">
        <f t="shared" ref="H36" si="11">(E36-D36)/D36</f>
        <v>8.6796830891978632E-3</v>
      </c>
      <c r="I36" s="231"/>
      <c r="W36" s="133">
        <v>42559</v>
      </c>
      <c r="X36" s="10">
        <v>82.47</v>
      </c>
      <c r="Y36" s="10">
        <v>84.71</v>
      </c>
      <c r="Z36" s="10">
        <v>82.47</v>
      </c>
      <c r="AA36" s="10">
        <v>84.23</v>
      </c>
      <c r="AB36" s="95">
        <v>984100</v>
      </c>
      <c r="AC36" s="10">
        <v>83.99</v>
      </c>
      <c r="AD36" s="2">
        <f t="shared" si="0"/>
        <v>2.2399999999999949</v>
      </c>
      <c r="AE36" s="138">
        <f t="shared" si="1"/>
        <v>2.1403380761279234E-2</v>
      </c>
    </row>
    <row r="37" spans="2:31" x14ac:dyDescent="0.25">
      <c r="B37" s="193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1">
        <f t="shared" ref="H37" si="14">(E37-D37)/D37</f>
        <v>0.10521711616133399</v>
      </c>
      <c r="I37" s="231"/>
      <c r="W37" s="133">
        <v>42558</v>
      </c>
      <c r="X37" s="10">
        <v>82.35</v>
      </c>
      <c r="Y37" s="10">
        <v>84.49</v>
      </c>
      <c r="Z37" s="10">
        <v>81.680000000000007</v>
      </c>
      <c r="AA37" s="10">
        <v>82.47</v>
      </c>
      <c r="AB37" s="95">
        <v>803000</v>
      </c>
      <c r="AC37" s="10">
        <v>82.23</v>
      </c>
      <c r="AD37" s="2">
        <f t="shared" si="0"/>
        <v>2.8099999999999881</v>
      </c>
      <c r="AE37" s="138">
        <f t="shared" si="1"/>
        <v>4.7653958944282593E-3</v>
      </c>
    </row>
    <row r="38" spans="2:31" x14ac:dyDescent="0.25">
      <c r="B38" s="193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1">
        <f t="shared" ref="H38:H39" si="17">(E38-D38)/D38</f>
        <v>0.12097579739547462</v>
      </c>
      <c r="I38" s="231"/>
      <c r="W38" s="133">
        <v>42557</v>
      </c>
      <c r="X38" s="10">
        <v>80.83</v>
      </c>
      <c r="Y38" s="10">
        <v>82.54</v>
      </c>
      <c r="Z38" s="10">
        <v>80.28</v>
      </c>
      <c r="AA38" s="10">
        <v>82.08</v>
      </c>
      <c r="AB38" s="95">
        <v>1632400</v>
      </c>
      <c r="AC38" s="10">
        <v>81.84</v>
      </c>
      <c r="AD38" s="2">
        <f t="shared" si="0"/>
        <v>2.2600000000000051</v>
      </c>
      <c r="AE38" s="138">
        <f t="shared" si="1"/>
        <v>9.747069710055678E-3</v>
      </c>
    </row>
    <row r="39" spans="2:31" ht="20.25" thickBot="1" x14ac:dyDescent="0.35">
      <c r="B39" s="193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1">
        <f t="shared" si="17"/>
        <v>0.16123640336413697</v>
      </c>
      <c r="I39" s="231"/>
      <c r="T39" s="112" t="s">
        <v>113</v>
      </c>
      <c r="U39" s="9"/>
      <c r="W39" s="133">
        <v>42556</v>
      </c>
      <c r="X39" s="10">
        <v>82.88</v>
      </c>
      <c r="Y39" s="10">
        <v>84.1</v>
      </c>
      <c r="Z39" s="10">
        <v>79.349999999999994</v>
      </c>
      <c r="AA39" s="10">
        <v>81.290000000000006</v>
      </c>
      <c r="AB39" s="95">
        <v>1816500</v>
      </c>
      <c r="AC39" s="10">
        <v>81.05</v>
      </c>
      <c r="AD39" s="2">
        <f t="shared" si="0"/>
        <v>4.75</v>
      </c>
      <c r="AE39" s="138">
        <f t="shared" si="1"/>
        <v>-3.4084137766654754E-2</v>
      </c>
    </row>
    <row r="40" spans="2:31" ht="15.75" thickTop="1" x14ac:dyDescent="0.25">
      <c r="B40" s="193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1">
        <f t="shared" ref="H40" si="20">(E40-D40)/D40</f>
        <v>0.13769952850730907</v>
      </c>
      <c r="I40" s="231"/>
      <c r="T40" s="139" t="s">
        <v>98</v>
      </c>
      <c r="U40" s="371">
        <v>94.99</v>
      </c>
      <c r="W40" s="133">
        <v>42552</v>
      </c>
      <c r="X40" s="10">
        <v>82.27</v>
      </c>
      <c r="Y40" s="10">
        <v>84.8</v>
      </c>
      <c r="Z40" s="10">
        <v>82.27</v>
      </c>
      <c r="AA40" s="10">
        <v>84.15</v>
      </c>
      <c r="AB40" s="95">
        <v>1241100</v>
      </c>
      <c r="AC40" s="10">
        <v>83.91</v>
      </c>
      <c r="AD40" s="2">
        <f t="shared" si="0"/>
        <v>2.5300000000000011</v>
      </c>
      <c r="AE40" s="138">
        <f t="shared" si="1"/>
        <v>2.117561153705716E-2</v>
      </c>
    </row>
    <row r="41" spans="2:31" x14ac:dyDescent="0.25">
      <c r="B41" s="193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1">
        <f t="shared" ref="H41" si="23">(E41-D41)/D41</f>
        <v>0.12712681466787834</v>
      </c>
      <c r="I41" s="231"/>
      <c r="T41" s="108" t="s">
        <v>99</v>
      </c>
      <c r="U41" s="372">
        <v>94.74</v>
      </c>
      <c r="W41" s="133">
        <v>42551</v>
      </c>
      <c r="X41" s="10">
        <v>82</v>
      </c>
      <c r="Y41" s="10">
        <v>82.75</v>
      </c>
      <c r="Z41" s="10">
        <v>80.83</v>
      </c>
      <c r="AA41" s="10">
        <v>82.41</v>
      </c>
      <c r="AB41" s="95">
        <v>1822100</v>
      </c>
      <c r="AC41" s="10">
        <v>82.17</v>
      </c>
      <c r="AD41" s="2">
        <f t="shared" si="0"/>
        <v>1.9200000000000017</v>
      </c>
      <c r="AE41" s="138">
        <f t="shared" si="1"/>
        <v>5.0146771037180571E-3</v>
      </c>
    </row>
    <row r="42" spans="2:31" ht="20.25" thickBot="1" x14ac:dyDescent="0.35">
      <c r="B42" s="193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1">
        <f t="shared" ref="H42" si="26">(E42-D42)/D42</f>
        <v>0.1008208957102472</v>
      </c>
      <c r="I42" s="231"/>
      <c r="O42" s="535" t="s">
        <v>78</v>
      </c>
      <c r="P42" s="535"/>
      <c r="T42" s="108" t="s">
        <v>100</v>
      </c>
      <c r="U42" s="372" t="s">
        <v>525</v>
      </c>
      <c r="W42" s="133">
        <v>42550</v>
      </c>
      <c r="X42" s="10">
        <v>81.510000000000005</v>
      </c>
      <c r="Y42" s="10">
        <v>82.87</v>
      </c>
      <c r="Z42" s="10">
        <v>81.5</v>
      </c>
      <c r="AA42" s="10">
        <v>82</v>
      </c>
      <c r="AB42" s="95">
        <v>1350400</v>
      </c>
      <c r="AC42" s="10">
        <v>81.760000000000005</v>
      </c>
      <c r="AD42" s="2">
        <f t="shared" si="0"/>
        <v>1.3700000000000045</v>
      </c>
      <c r="AE42" s="138">
        <f t="shared" si="1"/>
        <v>1.5778357559945499E-2</v>
      </c>
    </row>
    <row r="43" spans="2:31" ht="15.75" thickTop="1" x14ac:dyDescent="0.25">
      <c r="B43" s="193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1">
        <f t="shared" ref="H43" si="29">(E43-D43)/D43</f>
        <v>0.12687508338598719</v>
      </c>
      <c r="I43" s="231"/>
      <c r="O43" s="83">
        <v>1.1000000000000001</v>
      </c>
      <c r="P43" s="83">
        <f>O43*$Q$4</f>
        <v>105.05000000000001</v>
      </c>
      <c r="Q43" s="2"/>
      <c r="T43" s="108" t="s">
        <v>101</v>
      </c>
      <c r="U43" s="372" t="s">
        <v>526</v>
      </c>
      <c r="W43" s="133">
        <v>42549</v>
      </c>
      <c r="X43" s="10">
        <v>81.010000000000005</v>
      </c>
      <c r="Y43" s="10">
        <v>82.91</v>
      </c>
      <c r="Z43" s="10">
        <v>79.92</v>
      </c>
      <c r="AA43" s="10">
        <v>80.72</v>
      </c>
      <c r="AB43" s="95">
        <v>1423000</v>
      </c>
      <c r="AC43" s="10">
        <v>80.489999999999995</v>
      </c>
      <c r="AD43" s="2">
        <f t="shared" si="0"/>
        <v>2.9899999999999949</v>
      </c>
      <c r="AE43" s="138">
        <f t="shared" si="1"/>
        <v>1.8473997216246874E-2</v>
      </c>
    </row>
    <row r="44" spans="2:31" x14ac:dyDescent="0.25">
      <c r="B44" s="193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1">
        <f t="shared" ref="H44" si="32">(E44-D44)/D44</f>
        <v>0.11844208544263174</v>
      </c>
      <c r="I44" s="231"/>
      <c r="O44" s="83">
        <v>1.0900000000000001</v>
      </c>
      <c r="P44" s="83">
        <f t="shared" ref="P44:P63" si="33">O44*$Q$4</f>
        <v>104.09500000000001</v>
      </c>
      <c r="Q44" s="2"/>
      <c r="T44" s="108" t="s">
        <v>102</v>
      </c>
      <c r="U44" s="372">
        <v>129.02000000000001</v>
      </c>
      <c r="W44" s="133">
        <v>42548</v>
      </c>
      <c r="X44" s="10">
        <v>81.16</v>
      </c>
      <c r="Y44" s="10">
        <v>81.59</v>
      </c>
      <c r="Z44" s="10">
        <v>77</v>
      </c>
      <c r="AA44" s="10">
        <v>79.260000000000005</v>
      </c>
      <c r="AB44" s="95">
        <v>4621200</v>
      </c>
      <c r="AC44" s="10">
        <v>79.03</v>
      </c>
      <c r="AD44" s="2">
        <f t="shared" si="0"/>
        <v>4.5900000000000034</v>
      </c>
      <c r="AE44" s="138">
        <f t="shared" si="1"/>
        <v>-3.3626803619466905E-2</v>
      </c>
    </row>
    <row r="45" spans="2:31" x14ac:dyDescent="0.25">
      <c r="B45" s="193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1">
        <f t="shared" ref="H45:H46" si="36">(E45-D45)/D45</f>
        <v>0.12599402389936787</v>
      </c>
      <c r="I45" s="231"/>
      <c r="O45" s="83">
        <v>1.08</v>
      </c>
      <c r="P45" s="83">
        <f t="shared" si="33"/>
        <v>103.14</v>
      </c>
      <c r="Q45" s="2"/>
      <c r="T45" s="108" t="s">
        <v>103</v>
      </c>
      <c r="U45" s="372">
        <v>1.13331</v>
      </c>
      <c r="W45" s="133">
        <v>42545</v>
      </c>
      <c r="X45" s="10">
        <v>84.35</v>
      </c>
      <c r="Y45" s="10">
        <v>85.27</v>
      </c>
      <c r="Z45" s="10">
        <v>81.650000000000006</v>
      </c>
      <c r="AA45" s="10">
        <v>82.02</v>
      </c>
      <c r="AB45" s="95">
        <v>2846400</v>
      </c>
      <c r="AC45" s="10">
        <v>81.78</v>
      </c>
      <c r="AD45" s="2">
        <f t="shared" si="0"/>
        <v>3.6199999999999903</v>
      </c>
      <c r="AE45" s="138">
        <f t="shared" si="1"/>
        <v>-5.2485227667709466E-2</v>
      </c>
    </row>
    <row r="46" spans="2:31" x14ac:dyDescent="0.25">
      <c r="B46" s="193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1">
        <f t="shared" si="36"/>
        <v>0.18640422950673324</v>
      </c>
      <c r="I46" s="231"/>
      <c r="O46" s="83">
        <v>1.07</v>
      </c>
      <c r="P46" s="83">
        <f t="shared" si="33"/>
        <v>102.185</v>
      </c>
      <c r="Q46" s="2"/>
      <c r="T46" s="108" t="s">
        <v>104</v>
      </c>
      <c r="U46" s="372" t="s">
        <v>356</v>
      </c>
      <c r="W46" s="133">
        <v>42544</v>
      </c>
      <c r="X46" s="10">
        <v>85.54</v>
      </c>
      <c r="Y46" s="10">
        <v>86.62</v>
      </c>
      <c r="Z46" s="10">
        <v>85</v>
      </c>
      <c r="AA46" s="10">
        <v>86.56</v>
      </c>
      <c r="AB46" s="95">
        <v>1606700</v>
      </c>
      <c r="AC46" s="10">
        <v>86.31</v>
      </c>
      <c r="AD46" s="2">
        <f t="shared" si="0"/>
        <v>1.6200000000000045</v>
      </c>
      <c r="AE46" s="138">
        <f t="shared" si="1"/>
        <v>1.2790424782914922E-2</v>
      </c>
    </row>
    <row r="47" spans="2:31" x14ac:dyDescent="0.25">
      <c r="B47" s="193">
        <v>42580</v>
      </c>
      <c r="C47" s="10">
        <v>0</v>
      </c>
      <c r="D47" s="40"/>
      <c r="E47" s="40"/>
      <c r="F47" s="40">
        <v>420.99</v>
      </c>
      <c r="G47" s="40"/>
      <c r="H47" s="231"/>
      <c r="I47" s="231"/>
      <c r="O47" s="83">
        <v>1.06</v>
      </c>
      <c r="P47" s="83">
        <f t="shared" si="33"/>
        <v>101.23</v>
      </c>
      <c r="Q47" s="2"/>
      <c r="T47" s="108"/>
      <c r="U47" s="372"/>
      <c r="W47" s="133">
        <v>42543</v>
      </c>
      <c r="X47" s="10">
        <v>85.12</v>
      </c>
      <c r="Y47" s="10">
        <v>85.93</v>
      </c>
      <c r="Z47" s="10">
        <v>84.7</v>
      </c>
      <c r="AA47" s="10">
        <v>85.47</v>
      </c>
      <c r="AB47" s="95">
        <v>1439100</v>
      </c>
      <c r="AC47" s="10">
        <v>85.22</v>
      </c>
      <c r="AD47" s="2">
        <f t="shared" si="0"/>
        <v>1.230000000000004</v>
      </c>
      <c r="AE47" s="138">
        <f t="shared" si="1"/>
        <v>2.8241939279829431E-3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100.27500000000001</v>
      </c>
      <c r="Q48" s="2"/>
      <c r="T48" s="108" t="s">
        <v>105</v>
      </c>
      <c r="U48" s="372" t="s">
        <v>527</v>
      </c>
      <c r="W48" s="133">
        <v>42542</v>
      </c>
      <c r="X48" s="10">
        <v>86.09</v>
      </c>
      <c r="Y48" s="10">
        <v>86.88</v>
      </c>
      <c r="Z48" s="10">
        <v>84.22</v>
      </c>
      <c r="AA48" s="10">
        <v>85.23</v>
      </c>
      <c r="AB48" s="95">
        <v>1735800</v>
      </c>
      <c r="AC48" s="10">
        <v>84.98</v>
      </c>
      <c r="AD48" s="2">
        <f t="shared" si="0"/>
        <v>2.6599999999999966</v>
      </c>
      <c r="AE48" s="138">
        <f t="shared" si="1"/>
        <v>-9.0951492537313383E-3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231"/>
      <c r="O49" s="83">
        <v>1.04</v>
      </c>
      <c r="P49" s="83">
        <f t="shared" si="33"/>
        <v>99.320000000000007</v>
      </c>
      <c r="Q49" s="2"/>
      <c r="T49" s="108" t="s">
        <v>106</v>
      </c>
      <c r="U49" s="372" t="s">
        <v>339</v>
      </c>
      <c r="W49" s="133">
        <v>42541</v>
      </c>
      <c r="X49" s="10">
        <v>85.82</v>
      </c>
      <c r="Y49" s="10">
        <v>89.47</v>
      </c>
      <c r="Z49" s="10">
        <v>85.82</v>
      </c>
      <c r="AA49" s="10">
        <v>86.01</v>
      </c>
      <c r="AB49" s="95">
        <v>2802000</v>
      </c>
      <c r="AC49" s="10">
        <v>85.76</v>
      </c>
      <c r="AD49" s="2">
        <f t="shared" si="0"/>
        <v>3.6500000000000057</v>
      </c>
      <c r="AE49" s="138">
        <f t="shared" si="1"/>
        <v>1.31128174837567E-2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231"/>
      <c r="O50" s="83">
        <v>1.03</v>
      </c>
      <c r="P50" s="83">
        <f t="shared" si="33"/>
        <v>98.365000000000009</v>
      </c>
      <c r="Q50" s="2"/>
      <c r="T50" s="108" t="s">
        <v>107</v>
      </c>
      <c r="U50" s="373">
        <v>2402174</v>
      </c>
      <c r="W50" s="133">
        <v>42538</v>
      </c>
      <c r="X50" s="10">
        <v>82.01</v>
      </c>
      <c r="Y50" s="10">
        <v>85.55</v>
      </c>
      <c r="Z50" s="10">
        <v>81.97</v>
      </c>
      <c r="AA50" s="10">
        <v>84.9</v>
      </c>
      <c r="AB50" s="95">
        <v>2741100</v>
      </c>
      <c r="AC50" s="10">
        <v>84.65</v>
      </c>
      <c r="AD50" s="2">
        <f t="shared" si="0"/>
        <v>3.5799999999999983</v>
      </c>
      <c r="AE50" s="138">
        <f t="shared" si="1"/>
        <v>3.5094155050134468E-2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97.41</v>
      </c>
      <c r="Q51" s="2"/>
      <c r="T51" s="108" t="s">
        <v>110</v>
      </c>
      <c r="U51" s="373">
        <v>2085730</v>
      </c>
      <c r="W51" s="133">
        <v>42537</v>
      </c>
      <c r="X51" s="10">
        <v>82.82</v>
      </c>
      <c r="Y51" s="10">
        <v>83.58</v>
      </c>
      <c r="Z51" s="10">
        <v>81.319999999999993</v>
      </c>
      <c r="AA51" s="10">
        <v>82.02</v>
      </c>
      <c r="AB51" s="95">
        <v>1576300</v>
      </c>
      <c r="AC51" s="10">
        <v>81.78</v>
      </c>
      <c r="AD51" s="2">
        <f t="shared" si="0"/>
        <v>2.2600000000000051</v>
      </c>
      <c r="AE51" s="138">
        <f t="shared" si="1"/>
        <v>-1.1722054380664648E-2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96.454999999999998</v>
      </c>
      <c r="Q52" s="2"/>
      <c r="T52" s="108" t="s">
        <v>108</v>
      </c>
      <c r="U52" s="372" t="s">
        <v>528</v>
      </c>
      <c r="W52" s="133">
        <v>42536</v>
      </c>
      <c r="X52" s="10">
        <v>84.36</v>
      </c>
      <c r="Y52" s="10">
        <v>84.73</v>
      </c>
      <c r="Z52" s="10">
        <v>82.79</v>
      </c>
      <c r="AA52" s="10">
        <v>82.99</v>
      </c>
      <c r="AB52" s="95">
        <v>2123700</v>
      </c>
      <c r="AC52" s="10">
        <v>82.75</v>
      </c>
      <c r="AD52" s="2">
        <f t="shared" si="0"/>
        <v>1.9399999999999977</v>
      </c>
      <c r="AE52" s="138">
        <f t="shared" si="1"/>
        <v>-1.0522539758459848E-2</v>
      </c>
    </row>
    <row r="53" spans="1:31" x14ac:dyDescent="0.25">
      <c r="O53" s="83">
        <v>1</v>
      </c>
      <c r="P53" s="83">
        <f t="shared" si="33"/>
        <v>95.5</v>
      </c>
      <c r="Q53" s="2"/>
      <c r="T53" s="108" t="s">
        <v>111</v>
      </c>
      <c r="U53" s="372">
        <v>15.26</v>
      </c>
      <c r="W53" s="133">
        <v>42535</v>
      </c>
      <c r="X53" s="10">
        <v>85.57</v>
      </c>
      <c r="Y53" s="10">
        <v>85.6</v>
      </c>
      <c r="Z53" s="10">
        <v>81.69</v>
      </c>
      <c r="AA53" s="10">
        <v>83.87</v>
      </c>
      <c r="AB53" s="95">
        <v>2895800</v>
      </c>
      <c r="AC53" s="10">
        <v>83.63</v>
      </c>
      <c r="AD53" s="2">
        <f t="shared" si="0"/>
        <v>3.9099999999999966</v>
      </c>
      <c r="AE53" s="138">
        <f t="shared" si="1"/>
        <v>-1.9117992024396124E-2</v>
      </c>
    </row>
    <row r="54" spans="1:31" x14ac:dyDescent="0.25">
      <c r="O54" s="83">
        <v>0.99</v>
      </c>
      <c r="P54" s="83">
        <f t="shared" si="33"/>
        <v>94.545000000000002</v>
      </c>
      <c r="Q54" s="2"/>
      <c r="T54" s="108" t="s">
        <v>112</v>
      </c>
      <c r="U54" s="372">
        <v>6.26</v>
      </c>
      <c r="W54" s="133">
        <v>42534</v>
      </c>
      <c r="X54" s="10">
        <v>89</v>
      </c>
      <c r="Y54" s="10">
        <v>89.1</v>
      </c>
      <c r="Z54" s="10">
        <v>85.32</v>
      </c>
      <c r="AA54" s="10">
        <v>85.51</v>
      </c>
      <c r="AB54" s="95">
        <v>1463100</v>
      </c>
      <c r="AC54" s="10">
        <v>85.26</v>
      </c>
      <c r="AD54" s="2">
        <f t="shared" si="0"/>
        <v>3.7800000000000011</v>
      </c>
      <c r="AE54" s="138">
        <f t="shared" si="1"/>
        <v>-4.0621131990547954E-2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93.59</v>
      </c>
      <c r="Q55" s="2"/>
      <c r="T55" s="108" t="s">
        <v>109</v>
      </c>
      <c r="U55" s="372" t="s">
        <v>403</v>
      </c>
      <c r="W55" s="133">
        <v>42531</v>
      </c>
      <c r="X55" s="10">
        <v>88.23</v>
      </c>
      <c r="Y55" s="10">
        <v>90.11</v>
      </c>
      <c r="Z55" s="10">
        <v>87.9</v>
      </c>
      <c r="AA55" s="10">
        <v>89.13</v>
      </c>
      <c r="AB55" s="95">
        <v>2418100</v>
      </c>
      <c r="AC55" s="10">
        <v>88.87</v>
      </c>
      <c r="AD55" s="2">
        <f t="shared" si="0"/>
        <v>2.2099999999999937</v>
      </c>
      <c r="AE55" s="138">
        <f t="shared" si="1"/>
        <v>-5.2608014327288899E-3</v>
      </c>
    </row>
    <row r="56" spans="1:31" x14ac:dyDescent="0.25">
      <c r="A56" s="264" t="s">
        <v>1</v>
      </c>
      <c r="B56" s="264" t="s">
        <v>2</v>
      </c>
      <c r="C56" s="264" t="s">
        <v>4</v>
      </c>
      <c r="D56" s="265" t="s">
        <v>5</v>
      </c>
      <c r="E56" s="265" t="s">
        <v>94</v>
      </c>
      <c r="F56" s="265" t="s">
        <v>60</v>
      </c>
      <c r="G56" s="264" t="s">
        <v>3</v>
      </c>
      <c r="H56" s="264" t="s">
        <v>6</v>
      </c>
      <c r="I56" s="264" t="s">
        <v>7</v>
      </c>
      <c r="J56" s="264" t="s">
        <v>95</v>
      </c>
      <c r="K56" s="265" t="s">
        <v>61</v>
      </c>
      <c r="L56" s="264" t="s">
        <v>77</v>
      </c>
      <c r="M56" s="264" t="s">
        <v>38</v>
      </c>
      <c r="O56" s="83">
        <v>0.97</v>
      </c>
      <c r="P56" s="83">
        <f t="shared" si="33"/>
        <v>92.634999999999991</v>
      </c>
      <c r="W56" s="133">
        <v>42530</v>
      </c>
      <c r="X56" s="10">
        <v>89</v>
      </c>
      <c r="Y56" s="10">
        <v>90.68</v>
      </c>
      <c r="Z56" s="10">
        <v>88.42</v>
      </c>
      <c r="AA56" s="10">
        <v>89.6</v>
      </c>
      <c r="AB56" s="95">
        <v>2611300</v>
      </c>
      <c r="AC56" s="10">
        <v>89.34</v>
      </c>
      <c r="AD56" s="2">
        <f t="shared" si="0"/>
        <v>2.2600000000000051</v>
      </c>
      <c r="AE56" s="138">
        <f t="shared" si="1"/>
        <v>3.2565974171814283E-3</v>
      </c>
    </row>
    <row r="57" spans="1:31" x14ac:dyDescent="0.25">
      <c r="A57" s="266" t="s">
        <v>239</v>
      </c>
      <c r="B57" s="267">
        <v>42516</v>
      </c>
      <c r="C57" s="262">
        <v>20</v>
      </c>
      <c r="D57" s="263">
        <v>96.2</v>
      </c>
      <c r="E57" s="263">
        <v>0</v>
      </c>
      <c r="F57" s="263">
        <f t="shared" ref="F57:F62" si="37">C57*D57 + E57</f>
        <v>1924</v>
      </c>
      <c r="G57" s="267">
        <v>42516</v>
      </c>
      <c r="H57" s="262">
        <v>20</v>
      </c>
      <c r="I57" s="263">
        <v>88.99</v>
      </c>
      <c r="J57" s="263">
        <v>0.04</v>
      </c>
      <c r="K57" s="263">
        <f t="shared" ref="K57:K62" si="38">H57*I57 - J57</f>
        <v>1779.76</v>
      </c>
      <c r="L57" s="267">
        <v>42608</v>
      </c>
      <c r="M57" s="262"/>
      <c r="O57" s="83">
        <v>0.96</v>
      </c>
      <c r="P57" s="83">
        <f t="shared" si="33"/>
        <v>91.679999999999993</v>
      </c>
      <c r="W57" s="133">
        <v>42529</v>
      </c>
      <c r="X57" s="10">
        <v>86.84</v>
      </c>
      <c r="Y57" s="10">
        <v>90.5</v>
      </c>
      <c r="Z57" s="10">
        <v>86.1</v>
      </c>
      <c r="AA57" s="10">
        <v>89.31</v>
      </c>
      <c r="AB57" s="95">
        <v>4561600</v>
      </c>
      <c r="AC57" s="10">
        <v>89.05</v>
      </c>
      <c r="AD57" s="2">
        <f t="shared" si="0"/>
        <v>4.4000000000000057</v>
      </c>
      <c r="AE57" s="138">
        <f t="shared" si="1"/>
        <v>3.9696438995913574E-2</v>
      </c>
    </row>
    <row r="58" spans="1:31" x14ac:dyDescent="0.25">
      <c r="A58" s="269" t="s">
        <v>71</v>
      </c>
      <c r="B58" s="489">
        <v>42527</v>
      </c>
      <c r="C58" s="262">
        <v>25</v>
      </c>
      <c r="D58" s="263">
        <v>85.59</v>
      </c>
      <c r="E58" s="263">
        <v>0</v>
      </c>
      <c r="F58" s="263">
        <f t="shared" si="37"/>
        <v>2139.75</v>
      </c>
      <c r="G58" s="267">
        <v>42541</v>
      </c>
      <c r="H58" s="268">
        <v>25</v>
      </c>
      <c r="I58" s="263">
        <v>86.59</v>
      </c>
      <c r="J58" s="263">
        <v>0.05</v>
      </c>
      <c r="K58" s="263">
        <f t="shared" si="38"/>
        <v>2164.6999999999998</v>
      </c>
      <c r="L58" s="262"/>
      <c r="M58" s="262"/>
      <c r="O58" s="83">
        <v>0.95</v>
      </c>
      <c r="P58" s="83">
        <f t="shared" si="33"/>
        <v>90.724999999999994</v>
      </c>
      <c r="W58" s="133">
        <v>42528</v>
      </c>
      <c r="X58" s="10">
        <v>86.5</v>
      </c>
      <c r="Y58" s="10">
        <v>86.71</v>
      </c>
      <c r="Z58" s="10">
        <v>84.15</v>
      </c>
      <c r="AA58" s="10">
        <v>85.9</v>
      </c>
      <c r="AB58" s="95">
        <v>2971000</v>
      </c>
      <c r="AC58" s="10">
        <v>85.65</v>
      </c>
      <c r="AD58" s="2">
        <f t="shared" si="0"/>
        <v>2.5599999999999881</v>
      </c>
      <c r="AE58" s="138">
        <f t="shared" si="1"/>
        <v>-5.6884142094264512E-3</v>
      </c>
    </row>
    <row r="59" spans="1:31" x14ac:dyDescent="0.25">
      <c r="A59" s="262"/>
      <c r="B59" s="489">
        <v>42535</v>
      </c>
      <c r="C59" s="262">
        <v>20</v>
      </c>
      <c r="D59" s="263">
        <v>82.75</v>
      </c>
      <c r="E59" s="263">
        <v>0</v>
      </c>
      <c r="F59" s="263">
        <f t="shared" si="37"/>
        <v>1655</v>
      </c>
      <c r="G59" s="267">
        <v>42552</v>
      </c>
      <c r="H59" s="268">
        <v>20</v>
      </c>
      <c r="I59" s="263">
        <v>83.98</v>
      </c>
      <c r="J59" s="263">
        <v>0.04</v>
      </c>
      <c r="K59" s="263">
        <f t="shared" si="38"/>
        <v>1679.5600000000002</v>
      </c>
      <c r="L59" s="262"/>
      <c r="M59" s="262"/>
      <c r="O59" s="83">
        <v>0.94</v>
      </c>
      <c r="P59" s="83">
        <f t="shared" si="33"/>
        <v>89.77</v>
      </c>
      <c r="W59" s="133">
        <v>42527</v>
      </c>
      <c r="X59" s="10">
        <v>87.47</v>
      </c>
      <c r="Y59" s="10">
        <v>87.74</v>
      </c>
      <c r="Z59" s="10">
        <v>84.27</v>
      </c>
      <c r="AA59" s="10">
        <v>86.39</v>
      </c>
      <c r="AB59" s="95">
        <v>4353800</v>
      </c>
      <c r="AC59" s="10">
        <v>86.14</v>
      </c>
      <c r="AD59" s="2">
        <f t="shared" si="0"/>
        <v>3.4699999999999989</v>
      </c>
      <c r="AE59" s="138">
        <f t="shared" si="1"/>
        <v>-2.0357102240418534E-2</v>
      </c>
    </row>
    <row r="60" spans="1:31" x14ac:dyDescent="0.25">
      <c r="A60" s="262"/>
      <c r="B60" s="267">
        <v>42535</v>
      </c>
      <c r="C60" s="262">
        <v>5</v>
      </c>
      <c r="D60" s="263">
        <v>82.75</v>
      </c>
      <c r="E60" s="263">
        <v>0</v>
      </c>
      <c r="F60" s="263">
        <f t="shared" si="37"/>
        <v>413.75</v>
      </c>
      <c r="G60" s="267">
        <v>42569</v>
      </c>
      <c r="H60" s="268">
        <v>5</v>
      </c>
      <c r="I60" s="263">
        <v>92</v>
      </c>
      <c r="J60" s="263">
        <v>0.01</v>
      </c>
      <c r="K60" s="263">
        <f t="shared" si="38"/>
        <v>459.99</v>
      </c>
      <c r="L60" s="262"/>
      <c r="M60" s="262"/>
      <c r="O60" s="83">
        <v>0.93</v>
      </c>
      <c r="P60" s="83">
        <f t="shared" si="33"/>
        <v>88.814999999999998</v>
      </c>
      <c r="W60" s="133">
        <v>42524</v>
      </c>
      <c r="X60" s="10">
        <v>92.14</v>
      </c>
      <c r="Y60" s="10">
        <v>92.4</v>
      </c>
      <c r="Z60" s="10">
        <v>87.48</v>
      </c>
      <c r="AA60" s="10">
        <v>88.19</v>
      </c>
      <c r="AB60" s="95">
        <v>3837000</v>
      </c>
      <c r="AC60" s="10">
        <v>87.93</v>
      </c>
      <c r="AD60" s="2">
        <f t="shared" si="0"/>
        <v>4.9200000000000017</v>
      </c>
      <c r="AE60" s="138">
        <f t="shared" si="1"/>
        <v>-4.3823401478903734E-2</v>
      </c>
    </row>
    <row r="61" spans="1:31" x14ac:dyDescent="0.25">
      <c r="A61" s="262"/>
      <c r="B61" s="267">
        <v>42548</v>
      </c>
      <c r="C61" s="262">
        <v>20</v>
      </c>
      <c r="D61" s="263">
        <v>78.48</v>
      </c>
      <c r="E61" s="263">
        <v>0</v>
      </c>
      <c r="F61" s="263">
        <f t="shared" si="37"/>
        <v>1569.6000000000001</v>
      </c>
      <c r="G61" s="267">
        <v>42580</v>
      </c>
      <c r="H61" s="268">
        <v>20</v>
      </c>
      <c r="I61" s="263">
        <v>87.72</v>
      </c>
      <c r="J61" s="263">
        <v>0.04</v>
      </c>
      <c r="K61" s="263">
        <f t="shared" si="38"/>
        <v>1754.3600000000001</v>
      </c>
      <c r="L61" s="262"/>
      <c r="M61" s="262"/>
      <c r="O61" s="83">
        <v>0.92</v>
      </c>
      <c r="P61" s="83">
        <f t="shared" si="33"/>
        <v>87.86</v>
      </c>
      <c r="W61" s="133">
        <v>42523</v>
      </c>
      <c r="X61" s="10">
        <v>98.66</v>
      </c>
      <c r="Y61" s="10">
        <v>99.03</v>
      </c>
      <c r="Z61" s="10">
        <v>84.8</v>
      </c>
      <c r="AA61" s="10">
        <v>92.23</v>
      </c>
      <c r="AB61" s="95">
        <v>11586700</v>
      </c>
      <c r="AC61" s="10">
        <v>91.96</v>
      </c>
      <c r="AD61" s="2">
        <f t="shared" si="0"/>
        <v>14.230000000000004</v>
      </c>
      <c r="AE61" s="138">
        <f t="shared" si="1"/>
        <v>-6.5826899634295E-2</v>
      </c>
    </row>
    <row r="62" spans="1:31" x14ac:dyDescent="0.25">
      <c r="A62" s="262"/>
      <c r="B62" s="267">
        <v>42548</v>
      </c>
      <c r="C62" s="262">
        <v>30</v>
      </c>
      <c r="D62" s="263">
        <v>78.48</v>
      </c>
      <c r="E62" s="263">
        <v>0</v>
      </c>
      <c r="F62" s="263">
        <f t="shared" si="37"/>
        <v>2354.4</v>
      </c>
      <c r="G62" s="267">
        <v>42580</v>
      </c>
      <c r="H62" s="268">
        <v>30</v>
      </c>
      <c r="I62" s="263">
        <v>87.97</v>
      </c>
      <c r="J62" s="263">
        <v>-0.02</v>
      </c>
      <c r="K62" s="263">
        <f t="shared" si="38"/>
        <v>2639.12</v>
      </c>
      <c r="L62" s="262"/>
      <c r="M62" s="262"/>
      <c r="O62" s="83">
        <v>0.91</v>
      </c>
      <c r="P62" s="83">
        <f t="shared" si="33"/>
        <v>86.905000000000001</v>
      </c>
      <c r="W62" s="133">
        <v>42522</v>
      </c>
      <c r="X62" s="10">
        <v>98.76</v>
      </c>
      <c r="Y62" s="10">
        <v>99.28</v>
      </c>
      <c r="Z62" s="10">
        <v>98.01</v>
      </c>
      <c r="AA62" s="10">
        <v>98.73</v>
      </c>
      <c r="AB62" s="95">
        <v>1499300</v>
      </c>
      <c r="AC62" s="10">
        <v>98.44</v>
      </c>
      <c r="AD62" s="2">
        <f t="shared" si="0"/>
        <v>1.269999999999996</v>
      </c>
      <c r="AE62" s="138">
        <f t="shared" si="1"/>
        <v>-2.4321037697608849E-3</v>
      </c>
    </row>
    <row r="63" spans="1:31" x14ac:dyDescent="0.25">
      <c r="A63" s="262"/>
      <c r="B63" s="267"/>
      <c r="C63" s="262"/>
      <c r="D63" s="263"/>
      <c r="E63" s="263"/>
      <c r="F63" s="263"/>
      <c r="G63" s="267"/>
      <c r="H63" s="268"/>
      <c r="I63" s="263"/>
      <c r="J63" s="263"/>
      <c r="K63" s="263"/>
      <c r="L63" s="262"/>
      <c r="M63" s="262"/>
      <c r="O63" s="83">
        <v>0.9</v>
      </c>
      <c r="P63" s="83">
        <f t="shared" si="33"/>
        <v>85.95</v>
      </c>
      <c r="W63" s="133">
        <v>42521</v>
      </c>
      <c r="X63" s="10">
        <v>99.37</v>
      </c>
      <c r="Y63" s="10">
        <v>99.7</v>
      </c>
      <c r="Z63" s="10">
        <v>97.85</v>
      </c>
      <c r="AA63" s="10">
        <v>98.97</v>
      </c>
      <c r="AB63" s="95">
        <v>2047200</v>
      </c>
      <c r="AC63" s="10">
        <v>98.68</v>
      </c>
      <c r="AD63" s="2">
        <f t="shared" si="0"/>
        <v>1.8500000000000085</v>
      </c>
      <c r="AE63" s="138">
        <f t="shared" si="1"/>
        <v>-6.1436196998690962E-3</v>
      </c>
    </row>
    <row r="64" spans="1:31" x14ac:dyDescent="0.25">
      <c r="A64" s="262"/>
      <c r="B64" s="267"/>
      <c r="C64" s="262"/>
      <c r="D64" s="263"/>
      <c r="E64" s="263"/>
      <c r="F64" s="263"/>
      <c r="G64" s="267"/>
      <c r="H64" s="268"/>
      <c r="I64" s="263"/>
      <c r="J64" s="263"/>
      <c r="K64" s="263"/>
      <c r="L64" s="262"/>
      <c r="M64" s="262"/>
      <c r="W64" s="133">
        <v>42517</v>
      </c>
      <c r="X64" s="10">
        <v>96.08</v>
      </c>
      <c r="Y64" s="10">
        <v>99.8</v>
      </c>
      <c r="Z64" s="10">
        <v>96.05</v>
      </c>
      <c r="AA64" s="10">
        <v>99.58</v>
      </c>
      <c r="AB64" s="95">
        <v>3783800</v>
      </c>
      <c r="AC64" s="10">
        <v>99.29</v>
      </c>
      <c r="AD64" s="2">
        <f t="shared" si="0"/>
        <v>3.75</v>
      </c>
      <c r="AE64" s="138">
        <f t="shared" si="1"/>
        <v>2.6571546732837126E-2</v>
      </c>
    </row>
    <row r="65" spans="1:31" x14ac:dyDescent="0.25">
      <c r="A65" s="262"/>
      <c r="B65" s="267"/>
      <c r="C65" s="262"/>
      <c r="D65" s="263"/>
      <c r="E65" s="263"/>
      <c r="F65" s="263"/>
      <c r="G65" s="267"/>
      <c r="H65" s="268"/>
      <c r="I65" s="262"/>
      <c r="J65" s="262"/>
      <c r="K65" s="263"/>
      <c r="L65" s="262"/>
      <c r="M65" s="262"/>
      <c r="W65" s="133">
        <v>42516</v>
      </c>
      <c r="X65" s="10">
        <v>108.98</v>
      </c>
      <c r="Y65" s="10">
        <v>109.09</v>
      </c>
      <c r="Z65" s="10">
        <v>95.99</v>
      </c>
      <c r="AA65" s="10">
        <v>97</v>
      </c>
      <c r="AB65" s="95">
        <v>9944700</v>
      </c>
      <c r="AC65" s="10">
        <v>96.72</v>
      </c>
      <c r="AD65" s="2">
        <f t="shared" si="0"/>
        <v>13.100000000000009</v>
      </c>
      <c r="AE65" s="138">
        <f t="shared" si="1"/>
        <v>-0.10494169905607997</v>
      </c>
    </row>
    <row r="66" spans="1:31" x14ac:dyDescent="0.25">
      <c r="A66" s="262"/>
      <c r="B66" s="267"/>
      <c r="C66" s="262"/>
      <c r="D66" s="263"/>
      <c r="E66" s="263"/>
      <c r="F66" s="263"/>
      <c r="G66" s="267"/>
      <c r="H66" s="268"/>
      <c r="I66" s="262"/>
      <c r="J66" s="262"/>
      <c r="K66" s="263"/>
      <c r="L66" s="262"/>
      <c r="M66" s="262"/>
      <c r="W66" s="133">
        <v>42515</v>
      </c>
      <c r="X66" s="10">
        <v>105.97</v>
      </c>
      <c r="Y66" s="10">
        <v>108.81</v>
      </c>
      <c r="Z66" s="10">
        <v>105.95</v>
      </c>
      <c r="AA66" s="10">
        <v>108.37</v>
      </c>
      <c r="AB66" s="95">
        <v>2235800</v>
      </c>
      <c r="AC66" s="10">
        <v>108.06</v>
      </c>
      <c r="AD66" s="2">
        <f t="shared" si="0"/>
        <v>2.8599999999999994</v>
      </c>
      <c r="AE66" s="138">
        <f t="shared" si="1"/>
        <v>2.4556745994121609E-2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2"/>
      <c r="J67" s="262"/>
      <c r="K67" s="263"/>
      <c r="L67" s="262"/>
      <c r="M67" s="262"/>
      <c r="W67" s="133">
        <v>42514</v>
      </c>
      <c r="X67" s="10">
        <v>108.03</v>
      </c>
      <c r="Y67" s="10">
        <v>108.52</v>
      </c>
      <c r="Z67" s="10">
        <v>105.55</v>
      </c>
      <c r="AA67" s="10">
        <v>105.78</v>
      </c>
      <c r="AB67" s="95">
        <v>1751500</v>
      </c>
      <c r="AC67" s="10">
        <v>105.47</v>
      </c>
      <c r="AD67" s="2">
        <f>Y67-Z67</f>
        <v>2.9699999999999989</v>
      </c>
      <c r="AE67" s="138">
        <f>AC67/AC68-1</f>
        <v>-2.0159791898922363E-2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2"/>
      <c r="K68" s="263"/>
      <c r="L68" s="262"/>
      <c r="M68" s="262"/>
      <c r="W68" s="133">
        <v>42513</v>
      </c>
      <c r="X68" s="10">
        <v>107.37</v>
      </c>
      <c r="Y68" s="10">
        <v>109.42</v>
      </c>
      <c r="Z68" s="10">
        <v>106.78</v>
      </c>
      <c r="AA68" s="10">
        <v>107.95</v>
      </c>
      <c r="AB68" s="95">
        <v>1452400</v>
      </c>
      <c r="AC68" s="10">
        <v>107.64</v>
      </c>
      <c r="AD68" s="2">
        <f>Y68-Z68</f>
        <v>2.6400000000000006</v>
      </c>
      <c r="AE68" s="138" t="e">
        <f>AC68/AC69-1</f>
        <v>#DIV/0!</v>
      </c>
    </row>
    <row r="69" spans="1:31" x14ac:dyDescent="0.25">
      <c r="A69" s="262"/>
      <c r="B69" s="267"/>
      <c r="C69" s="262"/>
      <c r="D69" s="263"/>
      <c r="E69" s="263"/>
      <c r="F69" s="263"/>
      <c r="G69" s="267"/>
      <c r="H69" s="268"/>
      <c r="I69" s="262"/>
      <c r="J69" s="262"/>
      <c r="K69" s="263"/>
      <c r="L69" s="262"/>
      <c r="M69" s="262"/>
      <c r="W69" s="285" t="s">
        <v>122</v>
      </c>
      <c r="AB69" s="235"/>
    </row>
    <row r="70" spans="1:31" x14ac:dyDescent="0.25">
      <c r="A70" s="262"/>
      <c r="B70" s="262"/>
      <c r="C70" s="262"/>
      <c r="D70" s="263"/>
      <c r="E70" s="263"/>
      <c r="F70" s="263"/>
      <c r="G70" s="267"/>
      <c r="H70" s="268"/>
      <c r="I70" s="262"/>
      <c r="J70" s="262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7"/>
      <c r="H71" s="268"/>
      <c r="I71" s="262"/>
      <c r="J71" s="262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7"/>
      <c r="H72" s="268"/>
      <c r="I72" s="262"/>
      <c r="J72" s="262"/>
      <c r="K72" s="263"/>
      <c r="L72" s="262"/>
      <c r="M72" s="262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1" t="s">
        <v>204</v>
      </c>
      <c r="B74" s="492"/>
      <c r="C74" s="493">
        <f>SumByColor($A$19,C57:C72)</f>
        <v>0</v>
      </c>
      <c r="D74" s="493"/>
      <c r="E74" s="493"/>
      <c r="F74" s="494">
        <f>SumByColor($A$19,F57:F72)</f>
        <v>0</v>
      </c>
      <c r="G74" s="493"/>
      <c r="H74" s="493">
        <f>SumByColor($A$19,H57:H72)</f>
        <v>0</v>
      </c>
      <c r="I74" s="493"/>
      <c r="J74" s="493"/>
      <c r="K74" s="494">
        <f>SumByColor($A$19,K57:K72)</f>
        <v>0</v>
      </c>
      <c r="L74" s="493"/>
      <c r="M74" s="494">
        <f>SumByColor($A$19,M57:M72)</f>
        <v>0</v>
      </c>
    </row>
  </sheetData>
  <mergeCells count="1">
    <mergeCell ref="O42:P42"/>
  </mergeCells>
  <conditionalFormatting sqref="N19">
    <cfRule type="expression" dxfId="621" priority="19">
      <formula>N19&gt;0</formula>
    </cfRule>
    <cfRule type="expression" dxfId="62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9" priority="13">
      <formula>F29&gt;0</formula>
    </cfRule>
    <cfRule type="expression" dxfId="618" priority="14">
      <formula>F29&lt;0</formula>
    </cfRule>
  </conditionalFormatting>
  <conditionalFormatting sqref="H29:H52">
    <cfRule type="expression" dxfId="617" priority="11">
      <formula>H29&gt;0</formula>
    </cfRule>
    <cfRule type="expression" dxfId="616" priority="12">
      <formula>H29&lt;0</formula>
    </cfRule>
  </conditionalFormatting>
  <conditionalFormatting sqref="I25:I52">
    <cfRule type="expression" dxfId="615" priority="9">
      <formula>I25&gt;0</formula>
    </cfRule>
    <cfRule type="expression" dxfId="614" priority="10">
      <formula>I25&lt;0</formula>
    </cfRule>
  </conditionalFormatting>
  <conditionalFormatting sqref="Q7">
    <cfRule type="expression" dxfId="613" priority="7">
      <formula>Q7&gt;0</formula>
    </cfRule>
    <cfRule type="expression" dxfId="612" priority="8">
      <formula>Q7&lt;0</formula>
    </cfRule>
  </conditionalFormatting>
  <conditionalFormatting sqref="Q8">
    <cfRule type="expression" dxfId="611" priority="5">
      <formula>Q8&gt;0</formula>
    </cfRule>
    <cfRule type="expression" dxfId="610" priority="6">
      <formula>Q8&lt;0</formula>
    </cfRule>
  </conditionalFormatting>
  <conditionalFormatting sqref="F25:F28">
    <cfRule type="expression" dxfId="609" priority="3">
      <formula>F25&gt;0</formula>
    </cfRule>
    <cfRule type="expression" dxfId="608" priority="4">
      <formula>F25&lt;0</formula>
    </cfRule>
  </conditionalFormatting>
  <conditionalFormatting sqref="H25:H28">
    <cfRule type="expression" dxfId="607" priority="1">
      <formula>H25&gt;0</formula>
    </cfRule>
    <cfRule type="expression" dxfId="606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42606</v>
      </c>
      <c r="X2" s="10">
        <v>108.57</v>
      </c>
      <c r="Y2" s="10">
        <v>108.75</v>
      </c>
      <c r="Z2" s="10">
        <v>107.68</v>
      </c>
      <c r="AA2" s="10">
        <v>108.03</v>
      </c>
      <c r="AB2" s="95">
        <v>23593500</v>
      </c>
      <c r="AC2" s="10">
        <v>108.03</v>
      </c>
      <c r="AD2" s="2">
        <f>Y2-Z2</f>
        <v>1.0699999999999932</v>
      </c>
      <c r="AE2" s="138">
        <f>AC2/AC3-1</f>
        <v>-7.5333027101515126E-3</v>
      </c>
    </row>
    <row r="3" spans="1:40" x14ac:dyDescent="0.25">
      <c r="A3" s="23" t="s">
        <v>71</v>
      </c>
      <c r="B3" s="370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108.03</v>
      </c>
      <c r="W3" s="133">
        <v>42605</v>
      </c>
      <c r="X3" s="10">
        <v>108.59</v>
      </c>
      <c r="Y3" s="10">
        <v>109.32</v>
      </c>
      <c r="Z3" s="10">
        <v>108.53</v>
      </c>
      <c r="AA3" s="10">
        <v>108.85</v>
      </c>
      <c r="AB3" s="95">
        <v>21257700</v>
      </c>
      <c r="AC3" s="10">
        <v>108.85</v>
      </c>
      <c r="AD3" s="2">
        <f t="shared" ref="AD3:AD66" si="0">Y3-Z3</f>
        <v>0.78999999999999204</v>
      </c>
      <c r="AE3" s="138">
        <f t="shared" ref="AE3:AE66" si="1">AC3/AC4-1</f>
        <v>3.1333517648142184E-3</v>
      </c>
      <c r="AG3" s="1"/>
      <c r="AK3" s="234"/>
      <c r="AN3" s="234"/>
    </row>
    <row r="4" spans="1:40" x14ac:dyDescent="0.25">
      <c r="B4" s="370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108.03</v>
      </c>
      <c r="T4" s="1"/>
      <c r="W4" s="133">
        <v>42604</v>
      </c>
      <c r="X4" s="10">
        <v>108.86</v>
      </c>
      <c r="Y4" s="10">
        <v>109.1</v>
      </c>
      <c r="Z4" s="10">
        <v>107.85</v>
      </c>
      <c r="AA4" s="10">
        <v>108.51</v>
      </c>
      <c r="AB4" s="95">
        <v>25820200</v>
      </c>
      <c r="AC4" s="10">
        <v>108.51</v>
      </c>
      <c r="AD4" s="2">
        <f t="shared" si="0"/>
        <v>1.25</v>
      </c>
      <c r="AE4" s="138">
        <f t="shared" si="1"/>
        <v>-7.7724945135332346E-3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42601</v>
      </c>
      <c r="X5" s="10">
        <v>108.77</v>
      </c>
      <c r="Y5" s="10">
        <v>109.69</v>
      </c>
      <c r="Z5" s="10">
        <v>108.36</v>
      </c>
      <c r="AA5" s="10">
        <v>109.36</v>
      </c>
      <c r="AB5" s="95">
        <v>25368100</v>
      </c>
      <c r="AC5" s="10">
        <v>109.36</v>
      </c>
      <c r="AD5" s="2">
        <f t="shared" si="0"/>
        <v>1.3299999999999983</v>
      </c>
      <c r="AE5" s="138">
        <f t="shared" si="1"/>
        <v>2.5669233590026597E-3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42600</v>
      </c>
      <c r="X6" s="10">
        <v>109.23</v>
      </c>
      <c r="Y6" s="10">
        <v>109.6</v>
      </c>
      <c r="Z6" s="10">
        <v>109.02</v>
      </c>
      <c r="AA6" s="10">
        <v>109.08</v>
      </c>
      <c r="AB6" s="95">
        <v>21984700</v>
      </c>
      <c r="AC6" s="10">
        <v>109.08</v>
      </c>
      <c r="AD6" s="2">
        <f t="shared" si="0"/>
        <v>0.57999999999999829</v>
      </c>
      <c r="AE6" s="138">
        <f t="shared" si="1"/>
        <v>-1.281816517121448E-3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42599</v>
      </c>
      <c r="X7" s="10">
        <v>109.1</v>
      </c>
      <c r="Y7" s="10">
        <v>109.37</v>
      </c>
      <c r="Z7" s="10">
        <v>108.34</v>
      </c>
      <c r="AA7" s="10">
        <v>109.22</v>
      </c>
      <c r="AB7" s="95">
        <v>25356000</v>
      </c>
      <c r="AC7" s="10">
        <v>109.22</v>
      </c>
      <c r="AD7" s="2">
        <f t="shared" si="0"/>
        <v>1.0300000000000011</v>
      </c>
      <c r="AE7" s="138">
        <f t="shared" si="1"/>
        <v>-1.4627902724446695E-3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109.63</v>
      </c>
      <c r="Y8" s="10">
        <v>110.23</v>
      </c>
      <c r="Z8" s="10">
        <v>109.21</v>
      </c>
      <c r="AA8" s="10">
        <v>109.38</v>
      </c>
      <c r="AB8" s="95">
        <v>33794400</v>
      </c>
      <c r="AC8" s="10">
        <v>109.38</v>
      </c>
      <c r="AD8" s="2">
        <f t="shared" si="0"/>
        <v>1.0200000000000102</v>
      </c>
      <c r="AE8" s="138">
        <f t="shared" si="1"/>
        <v>-9.1340884179769155E-4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158"/>
      <c r="W9" s="133">
        <v>42597</v>
      </c>
      <c r="X9" s="10">
        <v>108.14</v>
      </c>
      <c r="Y9" s="10">
        <v>109.54</v>
      </c>
      <c r="Z9" s="10">
        <v>108.08</v>
      </c>
      <c r="AA9" s="10">
        <v>109.48</v>
      </c>
      <c r="AB9" s="95">
        <v>25868200</v>
      </c>
      <c r="AC9" s="10">
        <v>109.48</v>
      </c>
      <c r="AD9" s="2">
        <f t="shared" si="0"/>
        <v>1.460000000000008</v>
      </c>
      <c r="AE9" s="138">
        <f t="shared" si="1"/>
        <v>1.2017008689221731E-2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224</v>
      </c>
      <c r="P10" s="34"/>
      <c r="Q10" s="2">
        <f>M55</f>
        <v>363.09999999999945</v>
      </c>
      <c r="W10" s="133">
        <v>42594</v>
      </c>
      <c r="X10" s="10">
        <v>107.78</v>
      </c>
      <c r="Y10" s="10">
        <v>108.44</v>
      </c>
      <c r="Z10" s="10">
        <v>107.78</v>
      </c>
      <c r="AA10" s="10">
        <v>108.18</v>
      </c>
      <c r="AB10" s="95">
        <v>18660400</v>
      </c>
      <c r="AC10" s="10">
        <v>108.18</v>
      </c>
      <c r="AD10" s="2">
        <f t="shared" si="0"/>
        <v>0.65999999999999659</v>
      </c>
      <c r="AE10" s="138">
        <f t="shared" si="1"/>
        <v>2.316316130825502E-3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2.0799999999999999E-2</v>
      </c>
      <c r="W11" s="133">
        <v>42593</v>
      </c>
      <c r="X11" s="10">
        <v>108.52</v>
      </c>
      <c r="Y11" s="10">
        <v>108.93</v>
      </c>
      <c r="Z11" s="10">
        <v>107.85</v>
      </c>
      <c r="AA11" s="10">
        <v>107.93</v>
      </c>
      <c r="AB11" s="95">
        <v>27484500</v>
      </c>
      <c r="AC11" s="10">
        <v>107.93</v>
      </c>
      <c r="AD11" s="2">
        <f t="shared" si="0"/>
        <v>1.0800000000000125</v>
      </c>
      <c r="AE11" s="138">
        <f t="shared" si="1"/>
        <v>-6.4814814814806443E-4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42592</v>
      </c>
      <c r="X12" s="10">
        <v>108.71</v>
      </c>
      <c r="Y12" s="10">
        <v>108.9</v>
      </c>
      <c r="Z12" s="10">
        <v>107.76</v>
      </c>
      <c r="AA12" s="10">
        <v>108</v>
      </c>
      <c r="AB12" s="95">
        <v>24008500</v>
      </c>
      <c r="AC12" s="10">
        <v>108</v>
      </c>
      <c r="AD12" s="2">
        <f t="shared" si="0"/>
        <v>1.1400000000000006</v>
      </c>
      <c r="AE12" s="138">
        <f t="shared" si="1"/>
        <v>-7.4441687344913854E-3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42591</v>
      </c>
      <c r="X13" s="10">
        <v>108.23</v>
      </c>
      <c r="Y13" s="10">
        <v>108.94</v>
      </c>
      <c r="Z13" s="10">
        <v>108.01</v>
      </c>
      <c r="AA13" s="10">
        <v>108.81</v>
      </c>
      <c r="AB13" s="95">
        <v>26315200</v>
      </c>
      <c r="AC13" s="10">
        <v>108.81</v>
      </c>
      <c r="AD13" s="2">
        <f t="shared" si="0"/>
        <v>0.92999999999999261</v>
      </c>
      <c r="AE13" s="138">
        <f t="shared" si="1"/>
        <v>4.0601642520992076E-3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42590</v>
      </c>
      <c r="X14" s="10">
        <v>107.52</v>
      </c>
      <c r="Y14" s="10">
        <v>108.37</v>
      </c>
      <c r="Z14" s="10">
        <v>107.16</v>
      </c>
      <c r="AA14" s="10">
        <v>108.37</v>
      </c>
      <c r="AB14" s="95">
        <v>28037200</v>
      </c>
      <c r="AC14" s="10">
        <v>108.37</v>
      </c>
      <c r="AD14" s="2">
        <f t="shared" si="0"/>
        <v>1.210000000000008</v>
      </c>
      <c r="AE14" s="138">
        <f t="shared" si="1"/>
        <v>8.2806103461108282E-3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42587</v>
      </c>
      <c r="X15" s="10">
        <v>106.27</v>
      </c>
      <c r="Y15" s="10">
        <v>107.65</v>
      </c>
      <c r="Z15" s="10">
        <v>106.18</v>
      </c>
      <c r="AA15" s="10">
        <v>107.48</v>
      </c>
      <c r="AB15" s="95">
        <v>40553400</v>
      </c>
      <c r="AC15" s="10">
        <v>107.48</v>
      </c>
      <c r="AD15" s="2">
        <f t="shared" si="0"/>
        <v>1.4699999999999989</v>
      </c>
      <c r="AE15" s="138">
        <f t="shared" si="1"/>
        <v>1.5207329744025611E-2</v>
      </c>
    </row>
    <row r="16" spans="1:40" x14ac:dyDescent="0.25">
      <c r="G16" s="1"/>
      <c r="H16" s="72"/>
      <c r="W16" s="133">
        <v>42586</v>
      </c>
      <c r="X16" s="10">
        <v>105.58</v>
      </c>
      <c r="Y16" s="10">
        <v>106</v>
      </c>
      <c r="Z16" s="10">
        <v>105.28</v>
      </c>
      <c r="AA16" s="10">
        <v>105.87</v>
      </c>
      <c r="AB16" s="95">
        <v>27408700</v>
      </c>
      <c r="AC16" s="10">
        <v>105.87</v>
      </c>
      <c r="AD16" s="2">
        <f t="shared" si="0"/>
        <v>0.71999999999999886</v>
      </c>
      <c r="AE16" s="138" t="e">
        <f t="shared" si="1"/>
        <v>#DIV/0!</v>
      </c>
    </row>
    <row r="17" spans="1:31" x14ac:dyDescent="0.25">
      <c r="G17" s="1"/>
      <c r="H17" s="72"/>
      <c r="W17" s="133">
        <v>42586</v>
      </c>
      <c r="X17" s="10" t="s">
        <v>221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42585</v>
      </c>
      <c r="X18" s="10">
        <v>104.81</v>
      </c>
      <c r="Y18" s="10">
        <v>105.84</v>
      </c>
      <c r="Z18" s="10">
        <v>104.77</v>
      </c>
      <c r="AA18" s="10">
        <v>105.79</v>
      </c>
      <c r="AB18" s="95">
        <v>30202600</v>
      </c>
      <c r="AC18" s="10">
        <v>105.22</v>
      </c>
      <c r="AD18" s="2">
        <f t="shared" si="0"/>
        <v>1.0700000000000074</v>
      </c>
      <c r="AE18" s="138">
        <f t="shared" si="1"/>
        <v>1.2509622786758934E-2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3">SumByColor($A$19,M2:M17)</f>
        <v>0</v>
      </c>
      <c r="N19" s="2"/>
      <c r="W19" s="133">
        <v>42584</v>
      </c>
      <c r="X19" s="10">
        <v>106.05</v>
      </c>
      <c r="Y19" s="10">
        <v>106.07</v>
      </c>
      <c r="Z19" s="10">
        <v>104</v>
      </c>
      <c r="AA19" s="10">
        <v>104.48</v>
      </c>
      <c r="AB19" s="95">
        <v>33816600</v>
      </c>
      <c r="AC19" s="10">
        <v>103.92</v>
      </c>
      <c r="AD19" s="2">
        <f t="shared" si="0"/>
        <v>2.0699999999999932</v>
      </c>
      <c r="AE19" s="138">
        <f t="shared" si="1"/>
        <v>-1.4789533560864654E-2</v>
      </c>
    </row>
    <row r="20" spans="1:31" x14ac:dyDescent="0.25">
      <c r="W20" s="133">
        <v>42583</v>
      </c>
      <c r="X20" s="10">
        <v>104.41</v>
      </c>
      <c r="Y20" s="10">
        <v>106.15</v>
      </c>
      <c r="Z20" s="10">
        <v>104.41</v>
      </c>
      <c r="AA20" s="10">
        <v>106.05</v>
      </c>
      <c r="AB20" s="95">
        <v>38167900</v>
      </c>
      <c r="AC20" s="10">
        <v>105.48</v>
      </c>
      <c r="AD20" s="2">
        <f t="shared" si="0"/>
        <v>1.7400000000000091</v>
      </c>
      <c r="AE20" s="138">
        <f t="shared" si="1"/>
        <v>1.7655571635311063E-2</v>
      </c>
    </row>
    <row r="21" spans="1:31" x14ac:dyDescent="0.25">
      <c r="W21" s="133">
        <v>42580</v>
      </c>
      <c r="X21" s="10">
        <v>104.19</v>
      </c>
      <c r="Y21" s="10">
        <v>104.55</v>
      </c>
      <c r="Z21" s="10">
        <v>103.68</v>
      </c>
      <c r="AA21" s="10">
        <v>104.21</v>
      </c>
      <c r="AB21" s="95">
        <v>27733700</v>
      </c>
      <c r="AC21" s="10">
        <v>103.65</v>
      </c>
      <c r="AD21" s="2">
        <f t="shared" si="0"/>
        <v>0.86999999999999034</v>
      </c>
      <c r="AE21" s="138">
        <f t="shared" si="1"/>
        <v>-1.2526498361918881E-3</v>
      </c>
    </row>
    <row r="22" spans="1:31" x14ac:dyDescent="0.25">
      <c r="W22" s="133">
        <v>42579</v>
      </c>
      <c r="X22" s="10">
        <v>102.83</v>
      </c>
      <c r="Y22" s="10">
        <v>104.45</v>
      </c>
      <c r="Z22" s="10">
        <v>102.82</v>
      </c>
      <c r="AA22" s="10">
        <v>104.34</v>
      </c>
      <c r="AB22" s="95">
        <v>39869800</v>
      </c>
      <c r="AC22" s="10">
        <v>103.78</v>
      </c>
      <c r="AD22" s="2">
        <f t="shared" si="0"/>
        <v>1.6300000000000097</v>
      </c>
      <c r="AE22" s="138">
        <f t="shared" si="1"/>
        <v>1.3476562499999956E-2</v>
      </c>
    </row>
    <row r="23" spans="1:31" x14ac:dyDescent="0.25">
      <c r="W23" s="133">
        <v>42578</v>
      </c>
      <c r="X23" s="10">
        <v>104.27</v>
      </c>
      <c r="Y23" s="10">
        <v>104.35</v>
      </c>
      <c r="Z23" s="10">
        <v>102.75</v>
      </c>
      <c r="AA23" s="10">
        <v>102.95</v>
      </c>
      <c r="AB23" s="95">
        <v>92344800</v>
      </c>
      <c r="AC23" s="10">
        <v>102.4</v>
      </c>
      <c r="AD23" s="2">
        <f t="shared" si="0"/>
        <v>1.5999999999999943</v>
      </c>
      <c r="AE23" s="138">
        <f t="shared" si="1"/>
        <v>6.5002600104004049E-2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42577</v>
      </c>
      <c r="X24" s="10">
        <v>96.82</v>
      </c>
      <c r="Y24" s="10">
        <v>97.97</v>
      </c>
      <c r="Z24" s="10">
        <v>96.42</v>
      </c>
      <c r="AA24" s="10">
        <v>96.67</v>
      </c>
      <c r="AB24" s="95">
        <v>56239800</v>
      </c>
      <c r="AC24" s="10">
        <v>96.15</v>
      </c>
      <c r="AD24" s="2">
        <f t="shared" si="0"/>
        <v>1.5499999999999972</v>
      </c>
      <c r="AE24" s="138">
        <f t="shared" si="1"/>
        <v>-6.9200578392892842E-3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42576</v>
      </c>
      <c r="X25" s="10">
        <v>98.25</v>
      </c>
      <c r="Y25" s="10">
        <v>98.84</v>
      </c>
      <c r="Z25" s="10">
        <v>96.92</v>
      </c>
      <c r="AA25" s="10">
        <v>97.34</v>
      </c>
      <c r="AB25" s="95">
        <v>40382900</v>
      </c>
      <c r="AC25" s="10">
        <v>96.82</v>
      </c>
      <c r="AD25" s="2">
        <f t="shared" si="0"/>
        <v>1.9200000000000017</v>
      </c>
      <c r="AE25" s="138">
        <f t="shared" si="1"/>
        <v>-1.3349638234994465E-2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42573</v>
      </c>
      <c r="X26" s="10">
        <v>99.26</v>
      </c>
      <c r="Y26" s="10">
        <v>99.3</v>
      </c>
      <c r="Z26" s="10">
        <v>98.31</v>
      </c>
      <c r="AA26" s="10">
        <v>98.66</v>
      </c>
      <c r="AB26" s="95">
        <v>28313700</v>
      </c>
      <c r="AC26" s="10">
        <v>98.13</v>
      </c>
      <c r="AD26" s="2">
        <f t="shared" si="0"/>
        <v>0.98999999999999488</v>
      </c>
      <c r="AE26" s="138">
        <f t="shared" si="1"/>
        <v>-7.6853069066640245E-3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230</v>
      </c>
      <c r="W27" s="133">
        <v>42572</v>
      </c>
      <c r="X27" s="10">
        <v>99.83</v>
      </c>
      <c r="Y27" s="10">
        <v>101</v>
      </c>
      <c r="Z27" s="10">
        <v>99.13</v>
      </c>
      <c r="AA27" s="10">
        <v>99.43</v>
      </c>
      <c r="AB27" s="95">
        <v>32702000</v>
      </c>
      <c r="AC27" s="10">
        <v>98.89</v>
      </c>
      <c r="AD27" s="2">
        <f t="shared" si="0"/>
        <v>1.8700000000000045</v>
      </c>
      <c r="AE27" s="138">
        <f t="shared" si="1"/>
        <v>-5.3309193321263715E-3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42571</v>
      </c>
      <c r="X28" s="10">
        <v>100</v>
      </c>
      <c r="Y28" s="10">
        <v>100.46</v>
      </c>
      <c r="Z28" s="10">
        <v>99.74</v>
      </c>
      <c r="AA28" s="10">
        <v>99.96</v>
      </c>
      <c r="AB28" s="95">
        <v>26276000</v>
      </c>
      <c r="AC28" s="10">
        <v>99.42</v>
      </c>
      <c r="AD28" s="2">
        <f t="shared" si="0"/>
        <v>0.71999999999999886</v>
      </c>
      <c r="AE28" s="138">
        <f t="shared" si="1"/>
        <v>9.0607067351267112E-4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42570</v>
      </c>
      <c r="X29" s="10">
        <v>99.56</v>
      </c>
      <c r="Y29" s="10">
        <v>100</v>
      </c>
      <c r="Z29" s="10">
        <v>99.34</v>
      </c>
      <c r="AA29" s="10">
        <v>99.87</v>
      </c>
      <c r="AB29" s="95">
        <v>23779900</v>
      </c>
      <c r="AC29" s="10">
        <v>99.33</v>
      </c>
      <c r="AD29" s="2">
        <f t="shared" si="0"/>
        <v>0.65999999999999659</v>
      </c>
      <c r="AE29" s="138">
        <f t="shared" si="1"/>
        <v>4.0286030818803553E-4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42569</v>
      </c>
      <c r="X30" s="10">
        <v>98.7</v>
      </c>
      <c r="Y30" s="10">
        <v>100.13</v>
      </c>
      <c r="Z30" s="10">
        <v>98.6</v>
      </c>
      <c r="AA30" s="10">
        <v>99.83</v>
      </c>
      <c r="AB30" s="95">
        <v>36493900</v>
      </c>
      <c r="AC30" s="10">
        <v>99.29</v>
      </c>
      <c r="AD30" s="2">
        <f t="shared" si="0"/>
        <v>1.5300000000000011</v>
      </c>
      <c r="AE30" s="138">
        <f t="shared" si="1"/>
        <v>1.058524173027986E-2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42566</v>
      </c>
      <c r="X31" s="10">
        <v>98.92</v>
      </c>
      <c r="Y31" s="10">
        <v>99.3</v>
      </c>
      <c r="Z31" s="10">
        <v>98.5</v>
      </c>
      <c r="AA31" s="10">
        <v>98.78</v>
      </c>
      <c r="AB31" s="95">
        <v>30137000</v>
      </c>
      <c r="AC31" s="10">
        <v>98.25</v>
      </c>
      <c r="AD31" s="2">
        <f t="shared" si="0"/>
        <v>0.79999999999999716</v>
      </c>
      <c r="AE31" s="138">
        <f t="shared" si="1"/>
        <v>-1.0177081213114114E-4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42565</v>
      </c>
      <c r="X32" s="10">
        <v>97.39</v>
      </c>
      <c r="Y32" s="10">
        <v>98.99</v>
      </c>
      <c r="Z32" s="10">
        <v>97.32</v>
      </c>
      <c r="AA32" s="10">
        <v>98.79</v>
      </c>
      <c r="AB32" s="95">
        <v>38919000</v>
      </c>
      <c r="AC32" s="10">
        <v>98.26</v>
      </c>
      <c r="AD32" s="2">
        <f t="shared" si="0"/>
        <v>1.6700000000000017</v>
      </c>
      <c r="AE32" s="138">
        <f t="shared" si="1"/>
        <v>1.982355993772722E-2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42564</v>
      </c>
      <c r="X33" s="10">
        <v>97.41</v>
      </c>
      <c r="Y33" s="10">
        <v>97.67</v>
      </c>
      <c r="Z33" s="10">
        <v>96.84</v>
      </c>
      <c r="AA33" s="10">
        <v>96.87</v>
      </c>
      <c r="AB33" s="95">
        <v>25892200</v>
      </c>
      <c r="AC33" s="10">
        <v>96.35</v>
      </c>
      <c r="AD33" s="2">
        <f t="shared" si="0"/>
        <v>0.82999999999999829</v>
      </c>
      <c r="AE33" s="138">
        <f t="shared" si="1"/>
        <v>-5.6759545923633636E-3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42563</v>
      </c>
      <c r="X34" s="10">
        <v>97.17</v>
      </c>
      <c r="Y34" s="10">
        <v>97.7</v>
      </c>
      <c r="Z34" s="10">
        <v>97.12</v>
      </c>
      <c r="AA34" s="10">
        <v>97.42</v>
      </c>
      <c r="AB34" s="95">
        <v>24167500</v>
      </c>
      <c r="AC34" s="10">
        <v>96.9</v>
      </c>
      <c r="AD34" s="2">
        <f t="shared" si="0"/>
        <v>0.57999999999999829</v>
      </c>
      <c r="AE34" s="138">
        <f t="shared" si="1"/>
        <v>4.5614762595895808E-3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42562</v>
      </c>
      <c r="X35" s="10">
        <v>96.75</v>
      </c>
      <c r="Y35" s="10">
        <v>97.65</v>
      </c>
      <c r="Z35" s="10">
        <v>96.73</v>
      </c>
      <c r="AA35" s="10">
        <v>96.98</v>
      </c>
      <c r="AB35" s="95">
        <v>23794900</v>
      </c>
      <c r="AC35" s="10">
        <v>96.46</v>
      </c>
      <c r="AD35" s="2">
        <f t="shared" si="0"/>
        <v>0.92000000000000171</v>
      </c>
      <c r="AE35" s="138">
        <f t="shared" si="1"/>
        <v>3.1198003327785884E-3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42559</v>
      </c>
      <c r="X36" s="10">
        <v>96.49</v>
      </c>
      <c r="Y36" s="10">
        <v>96.89</v>
      </c>
      <c r="Z36" s="10">
        <v>96.05</v>
      </c>
      <c r="AA36" s="10">
        <v>96.68</v>
      </c>
      <c r="AB36" s="95">
        <v>28912100</v>
      </c>
      <c r="AC36" s="10">
        <v>96.16</v>
      </c>
      <c r="AD36" s="2">
        <f t="shared" si="0"/>
        <v>0.84000000000000341</v>
      </c>
      <c r="AE36" s="138">
        <f t="shared" si="1"/>
        <v>7.755187591699908E-3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42558</v>
      </c>
      <c r="X37" s="10">
        <v>95.7</v>
      </c>
      <c r="Y37" s="10">
        <v>96.5</v>
      </c>
      <c r="Z37" s="10">
        <v>95.62</v>
      </c>
      <c r="AA37" s="10">
        <v>95.94</v>
      </c>
      <c r="AB37" s="95">
        <v>25139600</v>
      </c>
      <c r="AC37" s="10">
        <v>95.42</v>
      </c>
      <c r="AD37" s="2">
        <f t="shared" si="0"/>
        <v>0.87999999999999545</v>
      </c>
      <c r="AE37" s="138">
        <f t="shared" si="1"/>
        <v>4.2096400757736241E-3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42557</v>
      </c>
      <c r="X38" s="10">
        <v>94.6</v>
      </c>
      <c r="Y38" s="10">
        <v>95.66</v>
      </c>
      <c r="Z38" s="10">
        <v>94.37</v>
      </c>
      <c r="AA38" s="10">
        <v>95.53</v>
      </c>
      <c r="AB38" s="95">
        <v>30949100</v>
      </c>
      <c r="AC38" s="10">
        <v>95.02</v>
      </c>
      <c r="AD38" s="2">
        <f t="shared" si="0"/>
        <v>1.289999999999992</v>
      </c>
      <c r="AE38" s="138">
        <f t="shared" si="1"/>
        <v>5.7154953429296995E-3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42556</v>
      </c>
      <c r="X39" s="10">
        <v>95.39</v>
      </c>
      <c r="Y39" s="10">
        <v>95.4</v>
      </c>
      <c r="Z39" s="10">
        <v>94.46</v>
      </c>
      <c r="AA39" s="10">
        <v>94.99</v>
      </c>
      <c r="AB39" s="95">
        <v>27705200</v>
      </c>
      <c r="AC39" s="10">
        <v>94.48</v>
      </c>
      <c r="AD39" s="2">
        <f t="shared" si="0"/>
        <v>0.94000000000001194</v>
      </c>
      <c r="AE39" s="138">
        <f t="shared" si="1"/>
        <v>-9.3320750760197413E-3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1">
        <v>108.85</v>
      </c>
      <c r="W40" s="133">
        <v>42552</v>
      </c>
      <c r="X40" s="10">
        <v>95.49</v>
      </c>
      <c r="Y40" s="10">
        <v>96.47</v>
      </c>
      <c r="Z40" s="10">
        <v>95.33</v>
      </c>
      <c r="AA40" s="10">
        <v>95.89</v>
      </c>
      <c r="AB40" s="95">
        <v>26026500</v>
      </c>
      <c r="AC40" s="10">
        <v>95.37</v>
      </c>
      <c r="AD40" s="2">
        <f t="shared" si="0"/>
        <v>1.1400000000000006</v>
      </c>
      <c r="AE40" s="138">
        <f t="shared" si="1"/>
        <v>3.050063104753864E-3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320</v>
      </c>
      <c r="T41" s="108" t="s">
        <v>99</v>
      </c>
      <c r="U41" s="372">
        <v>108.56</v>
      </c>
      <c r="W41" s="133">
        <v>42551</v>
      </c>
      <c r="X41" s="10">
        <v>94.44</v>
      </c>
      <c r="Y41" s="10">
        <v>95.77</v>
      </c>
      <c r="Z41" s="10">
        <v>94.3</v>
      </c>
      <c r="AA41" s="10">
        <v>95.6</v>
      </c>
      <c r="AB41" s="95">
        <v>35836400</v>
      </c>
      <c r="AC41" s="10">
        <v>95.08</v>
      </c>
      <c r="AD41" s="2">
        <f t="shared" si="0"/>
        <v>1.4699999999999989</v>
      </c>
      <c r="AE41" s="138">
        <f t="shared" si="1"/>
        <v>1.2674406220044787E-2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5" t="s">
        <v>78</v>
      </c>
      <c r="P42" s="535"/>
      <c r="T42" s="108" t="s">
        <v>100</v>
      </c>
      <c r="U42" s="372" t="s">
        <v>529</v>
      </c>
      <c r="W42" s="133">
        <v>42550</v>
      </c>
      <c r="X42" s="10">
        <v>93.97</v>
      </c>
      <c r="Y42" s="10">
        <v>94.55</v>
      </c>
      <c r="Z42" s="10">
        <v>93.63</v>
      </c>
      <c r="AA42" s="10">
        <v>94.4</v>
      </c>
      <c r="AB42" s="95">
        <v>36531000</v>
      </c>
      <c r="AC42" s="10">
        <v>93.89</v>
      </c>
      <c r="AD42" s="2">
        <f t="shared" si="0"/>
        <v>0.92000000000000171</v>
      </c>
      <c r="AE42" s="138">
        <f t="shared" si="1"/>
        <v>8.5938339241593553E-3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118.83300000000001</v>
      </c>
      <c r="Q43" s="2"/>
      <c r="T43" s="108" t="s">
        <v>101</v>
      </c>
      <c r="U43" s="372" t="s">
        <v>530</v>
      </c>
      <c r="W43" s="133">
        <v>42549</v>
      </c>
      <c r="X43" s="10">
        <v>92.9</v>
      </c>
      <c r="Y43" s="10">
        <v>93.66</v>
      </c>
      <c r="Z43" s="10">
        <v>92.14</v>
      </c>
      <c r="AA43" s="10">
        <v>93.59</v>
      </c>
      <c r="AB43" s="95">
        <v>40444900</v>
      </c>
      <c r="AC43" s="10">
        <v>93.09</v>
      </c>
      <c r="AD43" s="2">
        <f t="shared" si="0"/>
        <v>1.519999999999996</v>
      </c>
      <c r="AE43" s="138">
        <f t="shared" si="1"/>
        <v>1.6932488529604495E-2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117.7527</v>
      </c>
      <c r="Q44" s="2"/>
      <c r="T44" s="108" t="s">
        <v>102</v>
      </c>
      <c r="U44" s="372">
        <v>124.11</v>
      </c>
      <c r="W44" s="133">
        <v>42548</v>
      </c>
      <c r="X44" s="10">
        <v>93</v>
      </c>
      <c r="Y44" s="10">
        <v>93.05</v>
      </c>
      <c r="Z44" s="10">
        <v>91.5</v>
      </c>
      <c r="AA44" s="10">
        <v>92.04</v>
      </c>
      <c r="AB44" s="95">
        <v>45489600</v>
      </c>
      <c r="AC44" s="10">
        <v>91.54</v>
      </c>
      <c r="AD44" s="2">
        <f t="shared" si="0"/>
        <v>1.5499999999999972</v>
      </c>
      <c r="AE44" s="138">
        <f t="shared" si="1"/>
        <v>-1.4639397201291704E-2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116.67240000000001</v>
      </c>
      <c r="Q45" s="2"/>
      <c r="T45" s="108" t="s">
        <v>103</v>
      </c>
      <c r="U45" s="372">
        <v>1.3838999999999999</v>
      </c>
      <c r="W45" s="133">
        <v>42545</v>
      </c>
      <c r="X45" s="10">
        <v>92.91</v>
      </c>
      <c r="Y45" s="10">
        <v>94.66</v>
      </c>
      <c r="Z45" s="10">
        <v>92.65</v>
      </c>
      <c r="AA45" s="10">
        <v>93.4</v>
      </c>
      <c r="AB45" s="95">
        <v>75311400</v>
      </c>
      <c r="AC45" s="10">
        <v>92.9</v>
      </c>
      <c r="AD45" s="2">
        <f t="shared" si="0"/>
        <v>2.0099999999999909</v>
      </c>
      <c r="AE45" s="138">
        <f t="shared" si="1"/>
        <v>-2.8039338773801936E-2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115.5921</v>
      </c>
      <c r="Q46" s="2"/>
      <c r="T46" s="108" t="s">
        <v>123</v>
      </c>
      <c r="U46" s="372" t="s">
        <v>322</v>
      </c>
      <c r="W46" s="133">
        <v>42544</v>
      </c>
      <c r="X46" s="10">
        <v>95.94</v>
      </c>
      <c r="Y46" s="10">
        <v>96.29</v>
      </c>
      <c r="Z46" s="10">
        <v>95.25</v>
      </c>
      <c r="AA46" s="10">
        <v>96.1</v>
      </c>
      <c r="AB46" s="95">
        <v>32240200</v>
      </c>
      <c r="AC46" s="10">
        <v>95.58</v>
      </c>
      <c r="AD46" s="2">
        <f t="shared" si="0"/>
        <v>1.0400000000000063</v>
      </c>
      <c r="AE46" s="138">
        <f t="shared" si="1"/>
        <v>5.6818181818181213E-3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114.51180000000001</v>
      </c>
      <c r="Q47" s="2"/>
      <c r="T47" s="108"/>
      <c r="U47" s="372"/>
      <c r="W47" s="133">
        <v>42543</v>
      </c>
      <c r="X47" s="10">
        <v>96.25</v>
      </c>
      <c r="Y47" s="10">
        <v>96.89</v>
      </c>
      <c r="Z47" s="10">
        <v>95.35</v>
      </c>
      <c r="AA47" s="10">
        <v>95.55</v>
      </c>
      <c r="AB47" s="95">
        <v>29219100</v>
      </c>
      <c r="AC47" s="10">
        <v>95.04</v>
      </c>
      <c r="AD47" s="2">
        <f t="shared" si="0"/>
        <v>1.5400000000000063</v>
      </c>
      <c r="AE47" s="138">
        <f t="shared" si="1"/>
        <v>-3.6691477094034086E-3</v>
      </c>
    </row>
    <row r="48" spans="2:31" x14ac:dyDescent="0.25">
      <c r="O48" s="83">
        <v>1.05</v>
      </c>
      <c r="P48" s="83">
        <f t="shared" si="25"/>
        <v>113.4315</v>
      </c>
      <c r="Q48" s="2"/>
      <c r="T48" s="108" t="s">
        <v>105</v>
      </c>
      <c r="U48" s="372" t="s">
        <v>531</v>
      </c>
      <c r="W48" s="133">
        <v>42542</v>
      </c>
      <c r="X48" s="10">
        <v>94.94</v>
      </c>
      <c r="Y48" s="10">
        <v>96.35</v>
      </c>
      <c r="Z48" s="10">
        <v>94.68</v>
      </c>
      <c r="AA48" s="10">
        <v>95.91</v>
      </c>
      <c r="AB48" s="95">
        <v>35546400</v>
      </c>
      <c r="AC48" s="10">
        <v>95.39</v>
      </c>
      <c r="AD48" s="2">
        <f t="shared" si="0"/>
        <v>1.6699999999999875</v>
      </c>
      <c r="AE48" s="138">
        <f t="shared" si="1"/>
        <v>8.4575536526059203E-3</v>
      </c>
    </row>
    <row r="49" spans="1:31" x14ac:dyDescent="0.25">
      <c r="O49" s="83">
        <v>1.04</v>
      </c>
      <c r="P49" s="83">
        <f t="shared" si="25"/>
        <v>112.35120000000001</v>
      </c>
      <c r="Q49" s="2"/>
      <c r="T49" s="108" t="s">
        <v>106</v>
      </c>
      <c r="U49" s="372" t="s">
        <v>323</v>
      </c>
      <c r="W49" s="133">
        <v>42541</v>
      </c>
      <c r="X49" s="10">
        <v>96</v>
      </c>
      <c r="Y49" s="10">
        <v>96.57</v>
      </c>
      <c r="Z49" s="10">
        <v>95.03</v>
      </c>
      <c r="AA49" s="10">
        <v>95.1</v>
      </c>
      <c r="AB49" s="95">
        <v>34411900</v>
      </c>
      <c r="AC49" s="10">
        <v>94.59</v>
      </c>
      <c r="AD49" s="2">
        <f t="shared" si="0"/>
        <v>1.539999999999992</v>
      </c>
      <c r="AE49" s="138">
        <f t="shared" si="1"/>
        <v>-2.4256485973421782E-3</v>
      </c>
    </row>
    <row r="50" spans="1:31" x14ac:dyDescent="0.25">
      <c r="O50" s="83">
        <v>1.03</v>
      </c>
      <c r="P50" s="83">
        <f t="shared" si="25"/>
        <v>111.2709</v>
      </c>
      <c r="Q50" s="2"/>
      <c r="T50" s="108" t="s">
        <v>107</v>
      </c>
      <c r="U50" s="373">
        <v>23675081</v>
      </c>
      <c r="W50" s="133">
        <v>42538</v>
      </c>
      <c r="X50" s="10">
        <v>96.62</v>
      </c>
      <c r="Y50" s="10">
        <v>96.65</v>
      </c>
      <c r="Z50" s="10">
        <v>95.3</v>
      </c>
      <c r="AA50" s="10">
        <v>95.33</v>
      </c>
      <c r="AB50" s="95">
        <v>61008200</v>
      </c>
      <c r="AC50" s="10">
        <v>94.82</v>
      </c>
      <c r="AD50" s="2">
        <f t="shared" si="0"/>
        <v>1.3500000000000085</v>
      </c>
      <c r="AE50" s="138">
        <f t="shared" si="1"/>
        <v>-2.2675736961451309E-2</v>
      </c>
    </row>
    <row r="51" spans="1:31" x14ac:dyDescent="0.25">
      <c r="O51" s="83">
        <v>1.02</v>
      </c>
      <c r="P51" s="83">
        <f t="shared" si="25"/>
        <v>110.1906</v>
      </c>
      <c r="Q51" s="2"/>
      <c r="T51" s="108" t="s">
        <v>110</v>
      </c>
      <c r="U51" s="373">
        <v>33376900</v>
      </c>
      <c r="W51" s="133">
        <v>42537</v>
      </c>
      <c r="X51" s="10">
        <v>96.45</v>
      </c>
      <c r="Y51" s="10">
        <v>97.75</v>
      </c>
      <c r="Z51" s="10">
        <v>96.07</v>
      </c>
      <c r="AA51" s="10">
        <v>97.55</v>
      </c>
      <c r="AB51" s="95">
        <v>31326800</v>
      </c>
      <c r="AC51" s="10">
        <v>97.02</v>
      </c>
      <c r="AD51" s="2">
        <f t="shared" si="0"/>
        <v>1.6800000000000068</v>
      </c>
      <c r="AE51" s="138">
        <f t="shared" si="1"/>
        <v>4.1399296211963588E-3</v>
      </c>
    </row>
    <row r="52" spans="1:31" x14ac:dyDescent="0.25">
      <c r="O52" s="83">
        <v>1.01</v>
      </c>
      <c r="P52" s="83">
        <f t="shared" si="25"/>
        <v>109.1103</v>
      </c>
      <c r="Q52" s="2"/>
      <c r="T52" s="108" t="s">
        <v>108</v>
      </c>
      <c r="U52" s="372" t="s">
        <v>532</v>
      </c>
      <c r="W52" s="133">
        <v>42536</v>
      </c>
      <c r="X52" s="10">
        <v>97.82</v>
      </c>
      <c r="Y52" s="10">
        <v>98.41</v>
      </c>
      <c r="Z52" s="10">
        <v>97.03</v>
      </c>
      <c r="AA52" s="10">
        <v>97.14</v>
      </c>
      <c r="AB52" s="95">
        <v>29445200</v>
      </c>
      <c r="AC52" s="10">
        <v>96.62</v>
      </c>
      <c r="AD52" s="2">
        <f t="shared" si="0"/>
        <v>1.3799999999999955</v>
      </c>
      <c r="AE52" s="138">
        <f t="shared" si="1"/>
        <v>-3.1981842566800589E-3</v>
      </c>
    </row>
    <row r="53" spans="1:31" x14ac:dyDescent="0.25">
      <c r="O53" s="83">
        <v>1</v>
      </c>
      <c r="P53" s="83">
        <f t="shared" si="25"/>
        <v>108.03</v>
      </c>
      <c r="Q53" s="2"/>
      <c r="T53" s="108" t="s">
        <v>111</v>
      </c>
      <c r="U53" s="372">
        <v>12.6</v>
      </c>
      <c r="W53" s="133">
        <v>42535</v>
      </c>
      <c r="X53" s="10">
        <v>97.32</v>
      </c>
      <c r="Y53" s="10">
        <v>98.48</v>
      </c>
      <c r="Z53" s="10">
        <v>96.75</v>
      </c>
      <c r="AA53" s="10">
        <v>97.46</v>
      </c>
      <c r="AB53" s="95">
        <v>31931900</v>
      </c>
      <c r="AC53" s="10">
        <v>96.93</v>
      </c>
      <c r="AD53" s="2">
        <f t="shared" si="0"/>
        <v>1.730000000000004</v>
      </c>
      <c r="AE53" s="138">
        <f t="shared" si="1"/>
        <v>1.1361288989879537E-3</v>
      </c>
    </row>
    <row r="54" spans="1:31" x14ac:dyDescent="0.25">
      <c r="O54" s="83">
        <v>0.99</v>
      </c>
      <c r="P54" s="83">
        <f t="shared" si="25"/>
        <v>106.94970000000001</v>
      </c>
      <c r="Q54" s="2"/>
      <c r="T54" s="108" t="s">
        <v>112</v>
      </c>
      <c r="U54" s="372">
        <v>8.58</v>
      </c>
      <c r="W54" s="133">
        <v>42534</v>
      </c>
      <c r="X54" s="10">
        <v>98.69</v>
      </c>
      <c r="Y54" s="10">
        <v>99.12</v>
      </c>
      <c r="Z54" s="10">
        <v>97.1</v>
      </c>
      <c r="AA54" s="10">
        <v>97.34</v>
      </c>
      <c r="AB54" s="95">
        <v>38020500</v>
      </c>
      <c r="AC54" s="10">
        <v>96.82</v>
      </c>
      <c r="AD54" s="2">
        <f t="shared" si="0"/>
        <v>2.0200000000000102</v>
      </c>
      <c r="AE54" s="138">
        <f t="shared" si="1"/>
        <v>-1.5055951169888115E-2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105.8694</v>
      </c>
      <c r="Q55" s="2"/>
      <c r="T55" s="108" t="s">
        <v>109</v>
      </c>
      <c r="U55" s="372" t="s">
        <v>404</v>
      </c>
      <c r="W55" s="133">
        <v>42531</v>
      </c>
      <c r="X55" s="10">
        <v>98.53</v>
      </c>
      <c r="Y55" s="10">
        <v>99.35</v>
      </c>
      <c r="Z55" s="10">
        <v>98.48</v>
      </c>
      <c r="AA55" s="10">
        <v>98.83</v>
      </c>
      <c r="AB55" s="95">
        <v>31712900</v>
      </c>
      <c r="AC55" s="10">
        <v>98.3</v>
      </c>
      <c r="AD55" s="2">
        <f t="shared" si="0"/>
        <v>0.86999999999999034</v>
      </c>
      <c r="AE55" s="138">
        <f t="shared" si="1"/>
        <v>-8.1727373625265498E-3</v>
      </c>
    </row>
    <row r="56" spans="1:31" x14ac:dyDescent="0.25">
      <c r="A56" s="264" t="s">
        <v>1</v>
      </c>
      <c r="B56" s="264" t="s">
        <v>2</v>
      </c>
      <c r="C56" s="264" t="s">
        <v>4</v>
      </c>
      <c r="D56" s="265" t="s">
        <v>5</v>
      </c>
      <c r="E56" s="265" t="s">
        <v>94</v>
      </c>
      <c r="F56" s="265" t="s">
        <v>60</v>
      </c>
      <c r="G56" s="264" t="s">
        <v>3</v>
      </c>
      <c r="H56" s="264" t="s">
        <v>6</v>
      </c>
      <c r="I56" s="264" t="s">
        <v>7</v>
      </c>
      <c r="J56" s="264" t="s">
        <v>95</v>
      </c>
      <c r="K56" s="265" t="s">
        <v>61</v>
      </c>
      <c r="L56" s="264" t="s">
        <v>77</v>
      </c>
      <c r="M56" s="264" t="s">
        <v>38</v>
      </c>
      <c r="O56" s="83">
        <v>0.97</v>
      </c>
      <c r="P56" s="83">
        <f t="shared" si="25"/>
        <v>104.7891</v>
      </c>
      <c r="W56" s="133">
        <v>42530</v>
      </c>
      <c r="X56" s="10">
        <v>98.5</v>
      </c>
      <c r="Y56" s="10">
        <v>99.99</v>
      </c>
      <c r="Z56" s="10">
        <v>98.46</v>
      </c>
      <c r="AA56" s="10">
        <v>99.65</v>
      </c>
      <c r="AB56" s="95">
        <v>26601400</v>
      </c>
      <c r="AC56" s="10">
        <v>99.11</v>
      </c>
      <c r="AD56" s="2">
        <f t="shared" si="0"/>
        <v>1.5300000000000011</v>
      </c>
      <c r="AE56" s="138">
        <f t="shared" si="1"/>
        <v>7.1130982623717198E-3</v>
      </c>
    </row>
    <row r="57" spans="1:31" x14ac:dyDescent="0.25">
      <c r="A57" s="266" t="s">
        <v>218</v>
      </c>
      <c r="B57" s="267">
        <v>42502</v>
      </c>
      <c r="C57" s="262">
        <v>25</v>
      </c>
      <c r="D57" s="263">
        <v>90.65</v>
      </c>
      <c r="E57" s="263">
        <v>0</v>
      </c>
      <c r="F57" s="263">
        <f>C57*D57 + E57</f>
        <v>2266.25</v>
      </c>
      <c r="G57" s="267">
        <v>42502</v>
      </c>
      <c r="H57" s="268">
        <v>25</v>
      </c>
      <c r="I57" s="263">
        <v>90.64</v>
      </c>
      <c r="J57" s="263">
        <v>0.05</v>
      </c>
      <c r="K57" s="263">
        <f>H57*I57-J57</f>
        <v>2265.9499999999998</v>
      </c>
      <c r="L57" s="267">
        <v>42588</v>
      </c>
      <c r="M57" s="262"/>
      <c r="O57" s="83">
        <v>0.96</v>
      </c>
      <c r="P57" s="83">
        <f t="shared" si="25"/>
        <v>103.7088</v>
      </c>
      <c r="W57" s="133">
        <v>42529</v>
      </c>
      <c r="X57" s="10">
        <v>99.02</v>
      </c>
      <c r="Y57" s="10">
        <v>99.56</v>
      </c>
      <c r="Z57" s="10">
        <v>98.68</v>
      </c>
      <c r="AA57" s="10">
        <v>98.94</v>
      </c>
      <c r="AB57" s="95">
        <v>20848100</v>
      </c>
      <c r="AC57" s="10">
        <v>98.41</v>
      </c>
      <c r="AD57" s="2">
        <f t="shared" si="0"/>
        <v>0.87999999999999545</v>
      </c>
      <c r="AE57" s="138">
        <f t="shared" si="1"/>
        <v>-9.1370558375636346E-4</v>
      </c>
    </row>
    <row r="58" spans="1:31" x14ac:dyDescent="0.25">
      <c r="A58" s="269" t="s">
        <v>71</v>
      </c>
      <c r="B58" s="489">
        <v>42502</v>
      </c>
      <c r="C58" s="262">
        <v>25</v>
      </c>
      <c r="D58" s="263">
        <v>90.44</v>
      </c>
      <c r="E58" s="263">
        <v>0</v>
      </c>
      <c r="F58" s="263">
        <f>C58*D58 + E58</f>
        <v>2261</v>
      </c>
      <c r="G58" s="267">
        <v>42552</v>
      </c>
      <c r="H58" s="268">
        <v>25</v>
      </c>
      <c r="I58" s="263">
        <v>96.28</v>
      </c>
      <c r="J58" s="263">
        <v>0.05</v>
      </c>
      <c r="K58" s="263">
        <f t="shared" ref="K58:K60" si="26">H58*I58-J58</f>
        <v>2406.9499999999998</v>
      </c>
      <c r="L58" s="262"/>
      <c r="M58" s="262"/>
      <c r="O58" s="83">
        <v>0.95</v>
      </c>
      <c r="P58" s="83">
        <f t="shared" si="25"/>
        <v>102.6285</v>
      </c>
      <c r="W58" s="133">
        <v>42528</v>
      </c>
      <c r="X58" s="10">
        <v>99.25</v>
      </c>
      <c r="Y58" s="10">
        <v>99.87</v>
      </c>
      <c r="Z58" s="10">
        <v>98.96</v>
      </c>
      <c r="AA58" s="10">
        <v>99.03</v>
      </c>
      <c r="AB58" s="95">
        <v>22409500</v>
      </c>
      <c r="AC58" s="10">
        <v>98.5</v>
      </c>
      <c r="AD58" s="2">
        <f t="shared" si="0"/>
        <v>0.9100000000000108</v>
      </c>
      <c r="AE58" s="138">
        <f t="shared" si="1"/>
        <v>4.0774719673801751E-3</v>
      </c>
    </row>
    <row r="59" spans="1:31" x14ac:dyDescent="0.25">
      <c r="A59" s="262"/>
      <c r="B59" s="489">
        <v>42545</v>
      </c>
      <c r="C59" s="262">
        <v>25</v>
      </c>
      <c r="D59" s="263">
        <v>93</v>
      </c>
      <c r="E59" s="263">
        <v>0</v>
      </c>
      <c r="F59" s="263">
        <f>C59*D59 + E59</f>
        <v>2325</v>
      </c>
      <c r="G59" s="267">
        <v>42577</v>
      </c>
      <c r="H59" s="268">
        <v>15</v>
      </c>
      <c r="I59" s="263">
        <v>100.58</v>
      </c>
      <c r="J59" s="263">
        <v>0.03</v>
      </c>
      <c r="K59" s="263">
        <f t="shared" si="26"/>
        <v>1508.67</v>
      </c>
      <c r="L59" s="262"/>
      <c r="M59" s="262"/>
      <c r="O59" s="83">
        <v>0.94</v>
      </c>
      <c r="P59" s="83">
        <f t="shared" si="25"/>
        <v>101.54819999999999</v>
      </c>
      <c r="W59" s="133">
        <v>42527</v>
      </c>
      <c r="X59" s="10">
        <v>97.99</v>
      </c>
      <c r="Y59" s="10">
        <v>101.89</v>
      </c>
      <c r="Z59" s="10">
        <v>97.55</v>
      </c>
      <c r="AA59" s="10">
        <v>98.63</v>
      </c>
      <c r="AB59" s="95">
        <v>23292500</v>
      </c>
      <c r="AC59" s="10">
        <v>98.1</v>
      </c>
      <c r="AD59" s="2">
        <f t="shared" si="0"/>
        <v>4.3400000000000034</v>
      </c>
      <c r="AE59" s="138">
        <f t="shared" si="1"/>
        <v>7.2902762090563122E-3</v>
      </c>
    </row>
    <row r="60" spans="1:31" x14ac:dyDescent="0.25">
      <c r="A60" s="262"/>
      <c r="B60" s="267"/>
      <c r="C60" s="262"/>
      <c r="D60" s="263"/>
      <c r="E60" s="263"/>
      <c r="F60" s="263"/>
      <c r="G60" s="267">
        <v>42577</v>
      </c>
      <c r="H60" s="268">
        <v>10</v>
      </c>
      <c r="I60" s="263">
        <v>103.38</v>
      </c>
      <c r="J60" s="263">
        <v>0.02</v>
      </c>
      <c r="K60" s="263">
        <f t="shared" si="26"/>
        <v>1033.78</v>
      </c>
      <c r="L60" s="262"/>
      <c r="M60" s="262"/>
      <c r="O60" s="83">
        <v>0.93</v>
      </c>
      <c r="P60" s="83">
        <f t="shared" si="25"/>
        <v>100.4679</v>
      </c>
      <c r="W60" s="133">
        <v>42524</v>
      </c>
      <c r="X60" s="10">
        <v>97.79</v>
      </c>
      <c r="Y60" s="10">
        <v>98.27</v>
      </c>
      <c r="Z60" s="10">
        <v>97.45</v>
      </c>
      <c r="AA60" s="10">
        <v>97.92</v>
      </c>
      <c r="AB60" s="95">
        <v>28504900</v>
      </c>
      <c r="AC60" s="10">
        <v>97.39</v>
      </c>
      <c r="AD60" s="2">
        <f t="shared" si="0"/>
        <v>0.81999999999999318</v>
      </c>
      <c r="AE60" s="138">
        <f t="shared" si="1"/>
        <v>2.0578248791027764E-3</v>
      </c>
    </row>
    <row r="61" spans="1:31" x14ac:dyDescent="0.25">
      <c r="A61" s="262"/>
      <c r="B61" s="490"/>
      <c r="C61" s="262"/>
      <c r="D61" s="263"/>
      <c r="E61" s="263"/>
      <c r="F61" s="263"/>
      <c r="G61" s="267"/>
      <c r="H61" s="268"/>
      <c r="I61" s="263"/>
      <c r="J61" s="263"/>
      <c r="K61" s="263"/>
      <c r="L61" s="262"/>
      <c r="M61" s="262"/>
      <c r="O61" s="83">
        <v>0.92</v>
      </c>
      <c r="P61" s="83">
        <f t="shared" si="25"/>
        <v>99.387600000000006</v>
      </c>
      <c r="W61" s="133">
        <v>42523</v>
      </c>
      <c r="X61" s="10">
        <v>97.6</v>
      </c>
      <c r="Y61" s="10">
        <v>97.84</v>
      </c>
      <c r="Z61" s="10">
        <v>96.63</v>
      </c>
      <c r="AA61" s="10">
        <v>97.72</v>
      </c>
      <c r="AB61" s="95">
        <v>40191600</v>
      </c>
      <c r="AC61" s="10">
        <v>97.19</v>
      </c>
      <c r="AD61" s="2">
        <f t="shared" si="0"/>
        <v>1.210000000000008</v>
      </c>
      <c r="AE61" s="138">
        <f t="shared" si="1"/>
        <v>-7.5564178494844647E-3</v>
      </c>
    </row>
    <row r="62" spans="1:31" x14ac:dyDescent="0.25">
      <c r="A62" s="262"/>
      <c r="B62" s="490"/>
      <c r="C62" s="262"/>
      <c r="D62" s="263"/>
      <c r="E62" s="263"/>
      <c r="F62" s="263"/>
      <c r="G62" s="267"/>
      <c r="H62" s="268"/>
      <c r="I62" s="263"/>
      <c r="J62" s="263"/>
      <c r="K62" s="263"/>
      <c r="L62" s="262"/>
      <c r="M62" s="262"/>
      <c r="O62" s="83">
        <v>0.91</v>
      </c>
      <c r="P62" s="83">
        <f t="shared" si="25"/>
        <v>98.307299999999998</v>
      </c>
      <c r="W62" s="133">
        <v>42522</v>
      </c>
      <c r="X62" s="10">
        <v>99.02</v>
      </c>
      <c r="Y62" s="10">
        <v>99.54</v>
      </c>
      <c r="Z62" s="10">
        <v>98.33</v>
      </c>
      <c r="AA62" s="10">
        <v>98.46</v>
      </c>
      <c r="AB62" s="95">
        <v>29173300</v>
      </c>
      <c r="AC62" s="10">
        <v>97.93</v>
      </c>
      <c r="AD62" s="2">
        <f t="shared" si="0"/>
        <v>1.210000000000008</v>
      </c>
      <c r="AE62" s="138">
        <f t="shared" si="1"/>
        <v>-1.3995167136528264E-2</v>
      </c>
    </row>
    <row r="63" spans="1:31" x14ac:dyDescent="0.25">
      <c r="A63" s="262"/>
      <c r="B63" s="267"/>
      <c r="C63" s="262"/>
      <c r="D63" s="263"/>
      <c r="E63" s="263"/>
      <c r="F63" s="263"/>
      <c r="G63" s="267"/>
      <c r="H63" s="268"/>
      <c r="I63" s="263"/>
      <c r="J63" s="263"/>
      <c r="K63" s="263"/>
      <c r="L63" s="262"/>
      <c r="M63" s="262"/>
      <c r="O63" s="83">
        <v>0.9</v>
      </c>
      <c r="P63" s="83">
        <f t="shared" si="25"/>
        <v>97.227000000000004</v>
      </c>
      <c r="W63" s="133">
        <v>42521</v>
      </c>
      <c r="X63" s="10">
        <v>99.6</v>
      </c>
      <c r="Y63" s="10">
        <v>100.4</v>
      </c>
      <c r="Z63" s="10">
        <v>98.82</v>
      </c>
      <c r="AA63" s="10">
        <v>99.86</v>
      </c>
      <c r="AB63" s="95">
        <v>42307200</v>
      </c>
      <c r="AC63" s="10">
        <v>99.32</v>
      </c>
      <c r="AD63" s="2">
        <f t="shared" si="0"/>
        <v>1.5800000000000125</v>
      </c>
      <c r="AE63" s="138">
        <f t="shared" si="1"/>
        <v>-4.9093277226731624E-3</v>
      </c>
    </row>
    <row r="64" spans="1:31" x14ac:dyDescent="0.25">
      <c r="A64" s="262"/>
      <c r="B64" s="267"/>
      <c r="C64" s="262"/>
      <c r="D64" s="263"/>
      <c r="E64" s="263"/>
      <c r="F64" s="263"/>
      <c r="G64" s="267"/>
      <c r="H64" s="268"/>
      <c r="I64" s="263"/>
      <c r="J64" s="263"/>
      <c r="K64" s="263"/>
      <c r="L64" s="262"/>
      <c r="M64" s="262"/>
      <c r="W64" s="133">
        <v>42517</v>
      </c>
      <c r="X64" s="10">
        <v>99.44</v>
      </c>
      <c r="Y64" s="10">
        <v>100.47</v>
      </c>
      <c r="Z64" s="10">
        <v>99.25</v>
      </c>
      <c r="AA64" s="10">
        <v>100.35</v>
      </c>
      <c r="AB64" s="95">
        <v>36341200</v>
      </c>
      <c r="AC64" s="10">
        <v>99.81</v>
      </c>
      <c r="AD64" s="2">
        <f t="shared" si="0"/>
        <v>1.2199999999999989</v>
      </c>
      <c r="AE64" s="138">
        <f t="shared" si="1"/>
        <v>-6.0078101531990669E-4</v>
      </c>
    </row>
    <row r="65" spans="1:31" x14ac:dyDescent="0.25">
      <c r="A65" s="262"/>
      <c r="B65" s="267"/>
      <c r="C65" s="262"/>
      <c r="D65" s="263"/>
      <c r="E65" s="263"/>
      <c r="F65" s="263"/>
      <c r="G65" s="267"/>
      <c r="H65" s="268"/>
      <c r="I65" s="262"/>
      <c r="J65" s="262"/>
      <c r="K65" s="263"/>
      <c r="L65" s="262"/>
      <c r="M65" s="262"/>
      <c r="W65" s="133">
        <v>42516</v>
      </c>
      <c r="X65" s="10">
        <v>99.68</v>
      </c>
      <c r="Y65" s="10">
        <v>100.73</v>
      </c>
      <c r="Z65" s="10">
        <v>98.64</v>
      </c>
      <c r="AA65" s="10">
        <v>100.41</v>
      </c>
      <c r="AB65" s="95">
        <v>56331200</v>
      </c>
      <c r="AC65" s="10">
        <v>99.87</v>
      </c>
      <c r="AD65" s="2">
        <f t="shared" si="0"/>
        <v>2.0900000000000034</v>
      </c>
      <c r="AE65" s="138">
        <f t="shared" si="1"/>
        <v>7.9733548647558106E-3</v>
      </c>
    </row>
    <row r="66" spans="1:31" x14ac:dyDescent="0.25">
      <c r="A66" s="262"/>
      <c r="B66" s="267"/>
      <c r="C66" s="262"/>
      <c r="D66" s="263"/>
      <c r="E66" s="263"/>
      <c r="F66" s="263"/>
      <c r="G66" s="267"/>
      <c r="H66" s="268"/>
      <c r="I66" s="262"/>
      <c r="J66" s="262"/>
      <c r="K66" s="263"/>
      <c r="L66" s="262"/>
      <c r="M66" s="262"/>
      <c r="W66" s="133">
        <v>42515</v>
      </c>
      <c r="X66" s="10">
        <v>98.67</v>
      </c>
      <c r="Y66" s="10">
        <v>99.74</v>
      </c>
      <c r="Z66" s="10">
        <v>98.11</v>
      </c>
      <c r="AA66" s="10">
        <v>99.62</v>
      </c>
      <c r="AB66" s="95">
        <v>38168800</v>
      </c>
      <c r="AC66" s="10">
        <v>99.08</v>
      </c>
      <c r="AD66" s="2">
        <f t="shared" si="0"/>
        <v>1.6299999999999955</v>
      </c>
      <c r="AE66" s="138">
        <f t="shared" si="1"/>
        <v>1.756187737496151E-2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2"/>
      <c r="J67" s="262"/>
      <c r="K67" s="263"/>
      <c r="L67" s="262"/>
      <c r="M67" s="262"/>
      <c r="W67" s="133">
        <v>42514</v>
      </c>
      <c r="X67" s="10">
        <v>97.22</v>
      </c>
      <c r="Y67" s="10">
        <v>98.09</v>
      </c>
      <c r="Z67" s="10">
        <v>96.84</v>
      </c>
      <c r="AA67" s="10">
        <v>97.9</v>
      </c>
      <c r="AB67" s="95">
        <v>35140200</v>
      </c>
      <c r="AC67" s="10">
        <v>97.37</v>
      </c>
      <c r="AD67" s="2">
        <f>Y67-Z67</f>
        <v>1.25</v>
      </c>
      <c r="AE67" s="138">
        <f>AC67/AC68-1</f>
        <v>1.5222604525075623E-2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2"/>
      <c r="K68" s="263"/>
      <c r="L68" s="262"/>
      <c r="M68" s="262"/>
      <c r="W68" s="133">
        <v>42513</v>
      </c>
      <c r="X68" s="10">
        <v>95.87</v>
      </c>
      <c r="Y68" s="10">
        <v>97.19</v>
      </c>
      <c r="Z68" s="10">
        <v>95.67</v>
      </c>
      <c r="AA68" s="10">
        <v>96.43</v>
      </c>
      <c r="AB68" s="95">
        <v>38018600</v>
      </c>
      <c r="AC68" s="10">
        <v>95.91</v>
      </c>
      <c r="AD68" s="2">
        <f>Y68-Z68</f>
        <v>1.519999999999996</v>
      </c>
      <c r="AE68" s="138" t="e">
        <f>AC68/AC69-1</f>
        <v>#DIV/0!</v>
      </c>
    </row>
    <row r="69" spans="1:31" x14ac:dyDescent="0.25">
      <c r="A69" s="262"/>
      <c r="B69" s="267"/>
      <c r="C69" s="262"/>
      <c r="D69" s="263"/>
      <c r="E69" s="263"/>
      <c r="F69" s="263"/>
      <c r="G69" s="267"/>
      <c r="H69" s="268"/>
      <c r="I69" s="262"/>
      <c r="J69" s="262"/>
      <c r="K69" s="263"/>
      <c r="L69" s="262"/>
      <c r="M69" s="262"/>
      <c r="W69" s="285" t="s">
        <v>122</v>
      </c>
      <c r="AB69" s="235"/>
    </row>
    <row r="70" spans="1:31" x14ac:dyDescent="0.25">
      <c r="A70" s="262"/>
      <c r="B70" s="262"/>
      <c r="C70" s="262"/>
      <c r="D70" s="263"/>
      <c r="E70" s="263"/>
      <c r="F70" s="263"/>
      <c r="G70" s="267"/>
      <c r="H70" s="268"/>
      <c r="I70" s="262"/>
      <c r="J70" s="262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7"/>
      <c r="H71" s="268"/>
      <c r="I71" s="262"/>
      <c r="J71" s="262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7"/>
      <c r="H72" s="268"/>
      <c r="I72" s="262"/>
      <c r="J72" s="262"/>
      <c r="K72" s="263"/>
      <c r="L72" s="262"/>
      <c r="M72" s="262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2:P42"/>
  </mergeCells>
  <conditionalFormatting sqref="N19">
    <cfRule type="expression" dxfId="605" priority="35">
      <formula>N19&gt;0</formula>
    </cfRule>
    <cfRule type="expression" dxfId="6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03" priority="21">
      <formula>F25&gt;0</formula>
    </cfRule>
    <cfRule type="expression" dxfId="602" priority="22">
      <formula>F25&lt;0</formula>
    </cfRule>
  </conditionalFormatting>
  <conditionalFormatting sqref="H25:H47">
    <cfRule type="expression" dxfId="601" priority="19">
      <formula>H25&gt;0</formula>
    </cfRule>
    <cfRule type="expression" dxfId="600" priority="20">
      <formula>H25&lt;0</formula>
    </cfRule>
  </conditionalFormatting>
  <conditionalFormatting sqref="I25:I27">
    <cfRule type="expression" dxfId="599" priority="15">
      <formula>I25&gt;0</formula>
    </cfRule>
    <cfRule type="expression" dxfId="598" priority="16">
      <formula>I25&lt;0</formula>
    </cfRule>
  </conditionalFormatting>
  <conditionalFormatting sqref="Q7">
    <cfRule type="expression" dxfId="597" priority="5">
      <formula>Q7&gt;0</formula>
    </cfRule>
    <cfRule type="expression" dxfId="596" priority="6">
      <formula>Q7&lt;0</formula>
    </cfRule>
  </conditionalFormatting>
  <conditionalFormatting sqref="Q8">
    <cfRule type="expression" dxfId="595" priority="3">
      <formula>Q8&gt;0</formula>
    </cfRule>
    <cfRule type="expression" dxfId="5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M44" sqref="M44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311</v>
      </c>
      <c r="W2" s="133">
        <v>42606</v>
      </c>
      <c r="X2" s="10">
        <v>65.849999999999994</v>
      </c>
      <c r="Y2" s="10">
        <v>66.12</v>
      </c>
      <c r="Z2" s="10">
        <v>65.05</v>
      </c>
      <c r="AA2" s="10">
        <v>65.16</v>
      </c>
      <c r="AB2" s="95">
        <v>4117700</v>
      </c>
      <c r="AC2" s="10">
        <v>65.16</v>
      </c>
      <c r="AD2" s="2">
        <f>Y2-Z2</f>
        <v>1.0700000000000074</v>
      </c>
      <c r="AE2" s="138">
        <f>AC2/AC3-1</f>
        <v>-7.9171741778321092E-3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65.16</v>
      </c>
      <c r="T3" s="1">
        <v>42572</v>
      </c>
      <c r="U3" t="s">
        <v>301</v>
      </c>
      <c r="W3" s="133">
        <v>42605</v>
      </c>
      <c r="X3" s="10">
        <v>65.73</v>
      </c>
      <c r="Y3" s="10">
        <v>66.28</v>
      </c>
      <c r="Z3" s="10">
        <v>65.680000000000007</v>
      </c>
      <c r="AA3" s="10">
        <v>65.680000000000007</v>
      </c>
      <c r="AB3" s="95">
        <v>3551700</v>
      </c>
      <c r="AC3" s="10">
        <v>65.680000000000007</v>
      </c>
      <c r="AD3" s="2">
        <f t="shared" ref="AD3:AD66" si="0">Y3-Z3</f>
        <v>0.59999999999999432</v>
      </c>
      <c r="AE3" s="138">
        <f t="shared" ref="AE3:AE66" si="1">AC3/AC4-1</f>
        <v>4.8959608323133619E-3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65.16</v>
      </c>
      <c r="T4" s="163"/>
      <c r="U4" s="1"/>
      <c r="W4" s="133">
        <v>42604</v>
      </c>
      <c r="X4" s="10">
        <v>65.53</v>
      </c>
      <c r="Y4" s="10">
        <v>65.540000000000006</v>
      </c>
      <c r="Z4" s="10">
        <v>64.959999999999994</v>
      </c>
      <c r="AA4" s="10">
        <v>65.36</v>
      </c>
      <c r="AB4" s="95">
        <v>3230700</v>
      </c>
      <c r="AC4" s="10">
        <v>65.36</v>
      </c>
      <c r="AD4" s="2">
        <f t="shared" si="0"/>
        <v>0.58000000000001251</v>
      </c>
      <c r="AE4" s="138">
        <f t="shared" si="1"/>
        <v>-2.5942316496261331E-3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42601</v>
      </c>
      <c r="X5" s="10">
        <v>65.47</v>
      </c>
      <c r="Y5" s="10">
        <v>65.680000000000007</v>
      </c>
      <c r="Z5" s="10">
        <v>65.069999999999993</v>
      </c>
      <c r="AA5" s="10">
        <v>65.53</v>
      </c>
      <c r="AB5" s="95">
        <v>2783200</v>
      </c>
      <c r="AC5" s="10">
        <v>65.53</v>
      </c>
      <c r="AD5" s="2">
        <f t="shared" si="0"/>
        <v>0.61000000000001364</v>
      </c>
      <c r="AE5" s="138">
        <f t="shared" si="1"/>
        <v>-1.523693432881168E-3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42600</v>
      </c>
      <c r="X6" s="10">
        <v>65.52</v>
      </c>
      <c r="Y6" s="10">
        <v>65.78</v>
      </c>
      <c r="Z6" s="10">
        <v>65.27</v>
      </c>
      <c r="AA6" s="10">
        <v>65.63</v>
      </c>
      <c r="AB6" s="95">
        <v>2807500</v>
      </c>
      <c r="AC6" s="10">
        <v>65.63</v>
      </c>
      <c r="AD6" s="2">
        <f t="shared" si="0"/>
        <v>0.51000000000000512</v>
      </c>
      <c r="AE6" s="138">
        <f t="shared" si="1"/>
        <v>-7.6126674786858306E-4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42599</v>
      </c>
      <c r="X7" s="10">
        <v>65.400000000000006</v>
      </c>
      <c r="Y7" s="10">
        <v>65.849999999999994</v>
      </c>
      <c r="Z7" s="10">
        <v>65.09</v>
      </c>
      <c r="AA7" s="10">
        <v>65.680000000000007</v>
      </c>
      <c r="AB7" s="95">
        <v>3054500</v>
      </c>
      <c r="AC7" s="10">
        <v>65.680000000000007</v>
      </c>
      <c r="AD7" s="2">
        <f t="shared" si="0"/>
        <v>0.75999999999999091</v>
      </c>
      <c r="AE7" s="138">
        <f t="shared" si="1"/>
        <v>5.8192955589588813E-3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42598</v>
      </c>
      <c r="X8" s="10">
        <v>65.61</v>
      </c>
      <c r="Y8" s="10">
        <v>65.67</v>
      </c>
      <c r="Z8" s="10">
        <v>65.28</v>
      </c>
      <c r="AA8" s="10">
        <v>65.3</v>
      </c>
      <c r="AB8" s="95">
        <v>2805600</v>
      </c>
      <c r="AC8" s="10">
        <v>65.3</v>
      </c>
      <c r="AD8" s="2">
        <f t="shared" si="0"/>
        <v>0.39000000000000057</v>
      </c>
      <c r="AE8" s="138">
        <f t="shared" si="1"/>
        <v>-5.0281883285082651E-3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42597</v>
      </c>
      <c r="X9" s="10">
        <v>65.27</v>
      </c>
      <c r="Y9" s="10">
        <v>65.819999999999993</v>
      </c>
      <c r="Z9" s="10">
        <v>65.27</v>
      </c>
      <c r="AA9" s="10">
        <v>65.63</v>
      </c>
      <c r="AB9" s="95">
        <v>3136700</v>
      </c>
      <c r="AC9" s="10">
        <v>65.63</v>
      </c>
      <c r="AD9" s="2">
        <f t="shared" si="0"/>
        <v>0.54999999999999716</v>
      </c>
      <c r="AE9" s="138">
        <f t="shared" si="1"/>
        <v>3.823799327011379E-3</v>
      </c>
    </row>
    <row r="10" spans="1:31" x14ac:dyDescent="0.25">
      <c r="H10" s="72"/>
      <c r="O10" s="11" t="s">
        <v>224</v>
      </c>
      <c r="P10" s="34"/>
      <c r="Q10" s="2">
        <f>M48</f>
        <v>231.53999999999996</v>
      </c>
      <c r="W10" s="133">
        <v>42594</v>
      </c>
      <c r="X10" s="10">
        <v>65.16</v>
      </c>
      <c r="Y10" s="10">
        <v>65.510000000000005</v>
      </c>
      <c r="Z10" s="10">
        <v>65.010000000000005</v>
      </c>
      <c r="AA10" s="10">
        <v>65.38</v>
      </c>
      <c r="AB10" s="95">
        <v>2103800</v>
      </c>
      <c r="AC10" s="10">
        <v>65.38</v>
      </c>
      <c r="AD10" s="2">
        <f t="shared" si="0"/>
        <v>0.5</v>
      </c>
      <c r="AE10" s="138">
        <f t="shared" si="1"/>
        <v>-1.5271838729384868E-3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42593</v>
      </c>
      <c r="X11" s="10">
        <v>65</v>
      </c>
      <c r="Y11" s="10">
        <v>65.66</v>
      </c>
      <c r="Z11" s="10">
        <v>64.89</v>
      </c>
      <c r="AA11" s="10">
        <v>65.48</v>
      </c>
      <c r="AB11" s="95">
        <v>2450100</v>
      </c>
      <c r="AC11" s="10">
        <v>65.48</v>
      </c>
      <c r="AD11" s="2">
        <f t="shared" si="0"/>
        <v>0.76999999999999602</v>
      </c>
      <c r="AE11" s="138">
        <f t="shared" si="1"/>
        <v>1.143033673154159E-2</v>
      </c>
    </row>
    <row r="12" spans="1:31" x14ac:dyDescent="0.25">
      <c r="H12" s="72"/>
      <c r="W12" s="133">
        <v>42592</v>
      </c>
      <c r="X12" s="10">
        <v>65.430000000000007</v>
      </c>
      <c r="Y12" s="10">
        <v>65.5</v>
      </c>
      <c r="Z12" s="10">
        <v>64.58</v>
      </c>
      <c r="AA12" s="10">
        <v>64.739999999999995</v>
      </c>
      <c r="AB12" s="95">
        <v>2883000</v>
      </c>
      <c r="AC12" s="10">
        <v>64.739999999999995</v>
      </c>
      <c r="AD12" s="2">
        <f t="shared" si="0"/>
        <v>0.92000000000000171</v>
      </c>
      <c r="AE12" s="138">
        <f t="shared" si="1"/>
        <v>-9.9403578528828307E-3</v>
      </c>
    </row>
    <row r="13" spans="1:31" x14ac:dyDescent="0.25">
      <c r="H13" s="72"/>
      <c r="W13" s="133">
        <v>42591</v>
      </c>
      <c r="X13" s="10">
        <v>65.83</v>
      </c>
      <c r="Y13" s="10">
        <v>66.010000000000005</v>
      </c>
      <c r="Z13" s="10">
        <v>65.17</v>
      </c>
      <c r="AA13" s="10">
        <v>65.39</v>
      </c>
      <c r="AB13" s="95">
        <v>3701600</v>
      </c>
      <c r="AC13" s="10">
        <v>65.39</v>
      </c>
      <c r="AD13" s="2">
        <f t="shared" si="0"/>
        <v>0.84000000000000341</v>
      </c>
      <c r="AE13" s="138">
        <f t="shared" si="1"/>
        <v>-6.6838827282393876E-3</v>
      </c>
    </row>
    <row r="14" spans="1:31" x14ac:dyDescent="0.25">
      <c r="H14" s="72"/>
      <c r="W14" s="133">
        <v>42590</v>
      </c>
      <c r="X14" s="10">
        <v>65.83</v>
      </c>
      <c r="Y14" s="10">
        <v>66.25</v>
      </c>
      <c r="Z14" s="10">
        <v>65.61</v>
      </c>
      <c r="AA14" s="10">
        <v>65.83</v>
      </c>
      <c r="AB14" s="95">
        <v>3253700</v>
      </c>
      <c r="AC14" s="10">
        <v>65.83</v>
      </c>
      <c r="AD14" s="2">
        <f t="shared" si="0"/>
        <v>0.64000000000000057</v>
      </c>
      <c r="AE14" s="138">
        <f t="shared" si="1"/>
        <v>4.7313797313797146E-3</v>
      </c>
    </row>
    <row r="15" spans="1:31" x14ac:dyDescent="0.25">
      <c r="H15" s="72"/>
      <c r="W15" s="133">
        <v>42587</v>
      </c>
      <c r="X15" s="10">
        <v>64.540000000000006</v>
      </c>
      <c r="Y15" s="10">
        <v>65.709999999999994</v>
      </c>
      <c r="Z15" s="10">
        <v>64.349999999999994</v>
      </c>
      <c r="AA15" s="10">
        <v>65.52</v>
      </c>
      <c r="AB15" s="95">
        <v>4863800</v>
      </c>
      <c r="AC15" s="10">
        <v>65.52</v>
      </c>
      <c r="AD15" s="2">
        <f t="shared" si="0"/>
        <v>1.3599999999999994</v>
      </c>
      <c r="AE15" s="138">
        <f t="shared" si="1"/>
        <v>2.4710666249609048E-2</v>
      </c>
    </row>
    <row r="16" spans="1:31" x14ac:dyDescent="0.25">
      <c r="H16" s="72"/>
      <c r="W16" s="133">
        <v>42586</v>
      </c>
      <c r="X16" s="10">
        <v>63.88</v>
      </c>
      <c r="Y16" s="10">
        <v>64.02</v>
      </c>
      <c r="Z16" s="10">
        <v>63.51</v>
      </c>
      <c r="AA16" s="10">
        <v>63.94</v>
      </c>
      <c r="AB16" s="95">
        <v>3680000</v>
      </c>
      <c r="AC16" s="10">
        <v>63.94</v>
      </c>
      <c r="AD16" s="2">
        <f t="shared" si="0"/>
        <v>0.50999999999999801</v>
      </c>
      <c r="AE16" s="138">
        <f t="shared" si="1"/>
        <v>1.7233275889079192E-3</v>
      </c>
    </row>
    <row r="17" spans="1:31" x14ac:dyDescent="0.25">
      <c r="W17" s="133">
        <v>42585</v>
      </c>
      <c r="X17" s="10">
        <v>63.5</v>
      </c>
      <c r="Y17" s="10">
        <v>64.02</v>
      </c>
      <c r="Z17" s="10">
        <v>63.47</v>
      </c>
      <c r="AA17" s="10">
        <v>63.83</v>
      </c>
      <c r="AB17" s="95">
        <v>3034500</v>
      </c>
      <c r="AC17" s="10">
        <v>63.83</v>
      </c>
      <c r="AD17" s="2">
        <f t="shared" si="0"/>
        <v>0.54999999999999716</v>
      </c>
      <c r="AE17" s="138">
        <f t="shared" si="1"/>
        <v>5.6719710099260023E-3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42584</v>
      </c>
      <c r="X18" s="10">
        <v>63.96</v>
      </c>
      <c r="Y18" s="10">
        <v>64.22</v>
      </c>
      <c r="Z18" s="10">
        <v>63.2</v>
      </c>
      <c r="AA18" s="10">
        <v>63.47</v>
      </c>
      <c r="AB18" s="95">
        <v>2531000</v>
      </c>
      <c r="AC18" s="10">
        <v>63.47</v>
      </c>
      <c r="AD18" s="2">
        <f t="shared" si="0"/>
        <v>1.019999999999996</v>
      </c>
      <c r="AE18" s="138">
        <f t="shared" si="1"/>
        <v>-1.0291595197255532E-2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42583</v>
      </c>
      <c r="X19" s="10">
        <v>64.489999999999995</v>
      </c>
      <c r="Y19" s="10">
        <v>64.739999999999995</v>
      </c>
      <c r="Z19" s="10">
        <v>63.96</v>
      </c>
      <c r="AA19" s="10">
        <v>64.13</v>
      </c>
      <c r="AB19" s="95">
        <v>2913900</v>
      </c>
      <c r="AC19" s="10">
        <v>64.13</v>
      </c>
      <c r="AD19" s="2">
        <f t="shared" si="0"/>
        <v>0.77999999999999403</v>
      </c>
      <c r="AE19" s="138">
        <f t="shared" si="1"/>
        <v>-5.1194539249146409E-3</v>
      </c>
    </row>
    <row r="20" spans="1:31" x14ac:dyDescent="0.25">
      <c r="W20" s="133">
        <v>42580</v>
      </c>
      <c r="X20" s="10">
        <v>64.7</v>
      </c>
      <c r="Y20" s="10">
        <v>64.739999999999995</v>
      </c>
      <c r="Z20" s="10">
        <v>64.17</v>
      </c>
      <c r="AA20" s="10">
        <v>64.459999999999994</v>
      </c>
      <c r="AB20" s="95">
        <v>3732700</v>
      </c>
      <c r="AC20" s="10">
        <v>64.459999999999994</v>
      </c>
      <c r="AD20" s="2">
        <f t="shared" si="0"/>
        <v>0.56999999999999318</v>
      </c>
      <c r="AE20" s="138">
        <f t="shared" si="1"/>
        <v>-5.0933786078100063E-3</v>
      </c>
    </row>
    <row r="21" spans="1:31" x14ac:dyDescent="0.25">
      <c r="W21" s="133">
        <v>42579</v>
      </c>
      <c r="X21" s="10">
        <v>64.36</v>
      </c>
      <c r="Y21" s="10">
        <v>64.97</v>
      </c>
      <c r="Z21" s="10">
        <v>64.06</v>
      </c>
      <c r="AA21" s="10">
        <v>64.790000000000006</v>
      </c>
      <c r="AB21" s="95">
        <v>3044000</v>
      </c>
      <c r="AC21" s="10">
        <v>64.790000000000006</v>
      </c>
      <c r="AD21" s="2">
        <f t="shared" si="0"/>
        <v>0.90999999999999659</v>
      </c>
      <c r="AE21" s="138">
        <f t="shared" si="1"/>
        <v>3.096454559529338E-3</v>
      </c>
    </row>
    <row r="22" spans="1:31" x14ac:dyDescent="0.25">
      <c r="W22" s="133">
        <v>42578</v>
      </c>
      <c r="X22" s="10">
        <v>64.27</v>
      </c>
      <c r="Y22" s="10">
        <v>64.94</v>
      </c>
      <c r="Z22" s="10">
        <v>64.209999999999994</v>
      </c>
      <c r="AA22" s="10">
        <v>64.59</v>
      </c>
      <c r="AB22" s="95">
        <v>3168500</v>
      </c>
      <c r="AC22" s="10">
        <v>64.59</v>
      </c>
      <c r="AD22" s="2">
        <f t="shared" si="0"/>
        <v>0.73000000000000398</v>
      </c>
      <c r="AE22" s="138">
        <f t="shared" si="1"/>
        <v>3.4177411837812421E-3</v>
      </c>
    </row>
    <row r="23" spans="1:31" x14ac:dyDescent="0.25">
      <c r="W23" s="133">
        <v>42577</v>
      </c>
      <c r="X23" s="10">
        <v>64.430000000000007</v>
      </c>
      <c r="Y23" s="10">
        <v>64.55</v>
      </c>
      <c r="Z23" s="10">
        <v>63.98</v>
      </c>
      <c r="AA23" s="10">
        <v>64.37</v>
      </c>
      <c r="AB23" s="95">
        <v>2745900</v>
      </c>
      <c r="AC23" s="10">
        <v>64.37</v>
      </c>
      <c r="AD23" s="2">
        <f t="shared" si="0"/>
        <v>0.57000000000000028</v>
      </c>
      <c r="AE23" s="138">
        <f t="shared" si="1"/>
        <v>6.2179387533034536E-4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64.2</v>
      </c>
      <c r="Y24" s="10">
        <v>64.42</v>
      </c>
      <c r="Z24" s="10">
        <v>64.040000000000006</v>
      </c>
      <c r="AA24" s="10">
        <v>64.33</v>
      </c>
      <c r="AB24" s="95">
        <v>3060300</v>
      </c>
      <c r="AC24" s="10">
        <v>64.33</v>
      </c>
      <c r="AD24" s="2">
        <f t="shared" si="0"/>
        <v>0.37999999999999545</v>
      </c>
      <c r="AE24" s="138">
        <f t="shared" si="1"/>
        <v>7.7784691972615505E-4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42573</v>
      </c>
      <c r="X25" s="10">
        <v>63.4</v>
      </c>
      <c r="Y25" s="10">
        <v>64.34</v>
      </c>
      <c r="Z25" s="10">
        <v>63.37</v>
      </c>
      <c r="AA25" s="10">
        <v>64.28</v>
      </c>
      <c r="AB25" s="95">
        <v>4063400</v>
      </c>
      <c r="AC25" s="10">
        <v>64.28</v>
      </c>
      <c r="AD25" s="2">
        <f t="shared" si="0"/>
        <v>0.97000000000000597</v>
      </c>
      <c r="AE25" s="138">
        <f t="shared" si="1"/>
        <v>1.3400599085606313E-2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42572</v>
      </c>
      <c r="X26" s="10">
        <v>63.8</v>
      </c>
      <c r="Y26" s="10">
        <v>64.38</v>
      </c>
      <c r="Z26" s="10">
        <v>62.88</v>
      </c>
      <c r="AA26" s="10">
        <v>63.43</v>
      </c>
      <c r="AB26" s="95">
        <v>9498600</v>
      </c>
      <c r="AC26" s="10">
        <v>63.43</v>
      </c>
      <c r="AD26" s="2">
        <f t="shared" si="0"/>
        <v>1.4999999999999929</v>
      </c>
      <c r="AE26" s="138">
        <f t="shared" si="1"/>
        <v>-1.6284119106699801E-2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42571</v>
      </c>
      <c r="X27" s="10">
        <v>64.290000000000006</v>
      </c>
      <c r="Y27" s="10">
        <v>64.8</v>
      </c>
      <c r="Z27" s="10">
        <v>63.5</v>
      </c>
      <c r="AA27" s="10">
        <v>64.48</v>
      </c>
      <c r="AB27" s="95">
        <v>8315800</v>
      </c>
      <c r="AC27" s="10">
        <v>64.48</v>
      </c>
      <c r="AD27" s="2">
        <f t="shared" si="0"/>
        <v>1.2999999999999972</v>
      </c>
      <c r="AE27" s="138">
        <f t="shared" si="1"/>
        <v>4.9875311720699589E-3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42570</v>
      </c>
      <c r="X28" s="10">
        <v>63.69</v>
      </c>
      <c r="Y28" s="10">
        <v>64.17</v>
      </c>
      <c r="Z28" s="10">
        <v>63.5</v>
      </c>
      <c r="AA28" s="10">
        <v>64.16</v>
      </c>
      <c r="AB28" s="95">
        <v>3840500</v>
      </c>
      <c r="AC28" s="10">
        <v>64.16</v>
      </c>
      <c r="AD28" s="2">
        <f t="shared" si="0"/>
        <v>0.67000000000000171</v>
      </c>
      <c r="AE28" s="138">
        <f t="shared" si="1"/>
        <v>2.6566651039223732E-3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42569</v>
      </c>
      <c r="X29" s="10">
        <v>63.96</v>
      </c>
      <c r="Y29" s="10">
        <v>64.12</v>
      </c>
      <c r="Z29" s="10">
        <v>63.54</v>
      </c>
      <c r="AA29" s="10">
        <v>63.99</v>
      </c>
      <c r="AB29" s="95">
        <v>3260000</v>
      </c>
      <c r="AC29" s="10">
        <v>63.99</v>
      </c>
      <c r="AD29" s="2">
        <f t="shared" si="0"/>
        <v>0.5800000000000054</v>
      </c>
      <c r="AE29" s="138">
        <f t="shared" si="1"/>
        <v>3.2925682031985648E-3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42566</v>
      </c>
      <c r="X30" s="10">
        <v>63.95</v>
      </c>
      <c r="Y30" s="10">
        <v>64.11</v>
      </c>
      <c r="Z30" s="10">
        <v>63.31</v>
      </c>
      <c r="AA30" s="10">
        <v>63.78</v>
      </c>
      <c r="AB30" s="95">
        <v>3675600</v>
      </c>
      <c r="AC30" s="10">
        <v>63.78</v>
      </c>
      <c r="AD30" s="2">
        <f t="shared" si="0"/>
        <v>0.79999999999999716</v>
      </c>
      <c r="AE30" s="138">
        <f t="shared" si="1"/>
        <v>2.6725357648169634E-3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42565</v>
      </c>
      <c r="X31" s="10">
        <v>63.66</v>
      </c>
      <c r="Y31" s="10">
        <v>64</v>
      </c>
      <c r="Z31" s="10">
        <v>63.41</v>
      </c>
      <c r="AA31" s="10">
        <v>63.61</v>
      </c>
      <c r="AB31" s="95">
        <v>4417200</v>
      </c>
      <c r="AC31" s="10">
        <v>63.61</v>
      </c>
      <c r="AD31" s="2">
        <f t="shared" si="0"/>
        <v>0.59000000000000341</v>
      </c>
      <c r="AE31" s="138">
        <f t="shared" si="1"/>
        <v>8.0824088748019385E-3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310</v>
      </c>
      <c r="W32" s="133">
        <v>42564</v>
      </c>
      <c r="X32" s="10">
        <v>62.98</v>
      </c>
      <c r="Y32" s="10">
        <v>63.35</v>
      </c>
      <c r="Z32" s="10">
        <v>62.64</v>
      </c>
      <c r="AA32" s="10">
        <v>63.1</v>
      </c>
      <c r="AB32" s="95">
        <v>3887600</v>
      </c>
      <c r="AC32" s="10">
        <v>63.1</v>
      </c>
      <c r="AD32" s="2">
        <f t="shared" si="0"/>
        <v>0.71000000000000085</v>
      </c>
      <c r="AE32" s="138">
        <f t="shared" si="1"/>
        <v>1.5873015873015817E-3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42563</v>
      </c>
      <c r="X33" s="10">
        <v>62.63</v>
      </c>
      <c r="Y33" s="10">
        <v>63.33</v>
      </c>
      <c r="Z33" s="10">
        <v>62.63</v>
      </c>
      <c r="AA33" s="10">
        <v>63</v>
      </c>
      <c r="AB33" s="95">
        <v>4531900</v>
      </c>
      <c r="AC33" s="10">
        <v>63</v>
      </c>
      <c r="AD33" s="2">
        <f t="shared" si="0"/>
        <v>0.69999999999999574</v>
      </c>
      <c r="AE33" s="138">
        <f t="shared" si="1"/>
        <v>1.3513513513513598E-2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42562</v>
      </c>
      <c r="X34" s="10">
        <v>61.95</v>
      </c>
      <c r="Y34" s="10">
        <v>62.46</v>
      </c>
      <c r="Z34" s="10">
        <v>61.86</v>
      </c>
      <c r="AA34" s="10">
        <v>62.16</v>
      </c>
      <c r="AB34" s="95">
        <v>3414400</v>
      </c>
      <c r="AC34" s="10">
        <v>62.16</v>
      </c>
      <c r="AD34" s="2">
        <f t="shared" si="0"/>
        <v>0.60000000000000142</v>
      </c>
      <c r="AE34" s="138">
        <f t="shared" si="1"/>
        <v>1.0896080663522545E-2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42559</v>
      </c>
      <c r="X35" s="10">
        <v>60.68</v>
      </c>
      <c r="Y35" s="10">
        <v>61.6</v>
      </c>
      <c r="Z35" s="10">
        <v>60.55</v>
      </c>
      <c r="AA35" s="10">
        <v>61.49</v>
      </c>
      <c r="AB35" s="95">
        <v>5768400</v>
      </c>
      <c r="AC35" s="10">
        <v>61.49</v>
      </c>
      <c r="AD35" s="2">
        <f t="shared" si="0"/>
        <v>1.0500000000000043</v>
      </c>
      <c r="AE35" s="138">
        <f t="shared" si="1"/>
        <v>2.8088948336398634E-2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42558</v>
      </c>
      <c r="X36" s="10">
        <v>59.48</v>
      </c>
      <c r="Y36" s="10">
        <v>60.33</v>
      </c>
      <c r="Z36" s="10">
        <v>59.38</v>
      </c>
      <c r="AA36" s="10">
        <v>59.81</v>
      </c>
      <c r="AB36" s="95">
        <v>5077400</v>
      </c>
      <c r="AC36" s="10">
        <v>59.81</v>
      </c>
      <c r="AD36" s="2">
        <f t="shared" si="0"/>
        <v>0.94999999999999574</v>
      </c>
      <c r="AE36" s="138">
        <f t="shared" si="1"/>
        <v>5.5480833893746251E-3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42557</v>
      </c>
      <c r="X37" s="10">
        <v>58.75</v>
      </c>
      <c r="Y37" s="10">
        <v>59.73</v>
      </c>
      <c r="Z37" s="10">
        <v>58.25</v>
      </c>
      <c r="AA37" s="10">
        <v>59.48</v>
      </c>
      <c r="AB37" s="95">
        <v>5484400</v>
      </c>
      <c r="AC37" s="10">
        <v>59.48</v>
      </c>
      <c r="AD37" s="2">
        <f t="shared" si="0"/>
        <v>1.4799999999999969</v>
      </c>
      <c r="AE37" s="138">
        <f t="shared" si="1"/>
        <v>5.5790363482670635E-3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42556</v>
      </c>
      <c r="X38" s="10">
        <v>60.22</v>
      </c>
      <c r="Y38" s="10">
        <v>60.39</v>
      </c>
      <c r="Z38" s="10">
        <v>58.96</v>
      </c>
      <c r="AA38" s="10">
        <v>59.15</v>
      </c>
      <c r="AB38" s="95">
        <v>4911800</v>
      </c>
      <c r="AC38" s="10">
        <v>59.15</v>
      </c>
      <c r="AD38" s="2">
        <f t="shared" si="0"/>
        <v>1.4299999999999997</v>
      </c>
      <c r="AE38" s="138">
        <f t="shared" si="1"/>
        <v>-2.5374855824682796E-2</v>
      </c>
    </row>
    <row r="39" spans="2:31" x14ac:dyDescent="0.25">
      <c r="W39" s="133">
        <v>42552</v>
      </c>
      <c r="X39" s="10">
        <v>60.76</v>
      </c>
      <c r="Y39" s="10">
        <v>61.52</v>
      </c>
      <c r="Z39" s="10">
        <v>60.57</v>
      </c>
      <c r="AA39" s="10">
        <v>60.69</v>
      </c>
      <c r="AB39" s="95">
        <v>4166500</v>
      </c>
      <c r="AC39" s="10">
        <v>60.69</v>
      </c>
      <c r="AD39" s="2">
        <f t="shared" si="0"/>
        <v>0.95000000000000284</v>
      </c>
      <c r="AE39" s="138">
        <f t="shared" si="1"/>
        <v>-1.1520737327188613E-3</v>
      </c>
    </row>
    <row r="40" spans="2:31" ht="20.25" thickBot="1" x14ac:dyDescent="0.35">
      <c r="O40" s="535" t="s">
        <v>78</v>
      </c>
      <c r="P40" s="535"/>
      <c r="W40" s="133">
        <v>42551</v>
      </c>
      <c r="X40" s="10">
        <v>59.87</v>
      </c>
      <c r="Y40" s="10">
        <v>60.76</v>
      </c>
      <c r="Z40" s="10">
        <v>58.82</v>
      </c>
      <c r="AA40" s="10">
        <v>60.76</v>
      </c>
      <c r="AB40" s="95">
        <v>8535400</v>
      </c>
      <c r="AC40" s="10">
        <v>60.76</v>
      </c>
      <c r="AD40" s="2">
        <f t="shared" si="0"/>
        <v>1.9399999999999977</v>
      </c>
      <c r="AE40" s="138">
        <f t="shared" si="1"/>
        <v>1.8950192855945014E-2</v>
      </c>
    </row>
    <row r="41" spans="2:31" ht="15.75" thickTop="1" x14ac:dyDescent="0.25">
      <c r="O41" s="83">
        <v>1.1000000000000001</v>
      </c>
      <c r="P41" s="83">
        <f>O41*$Q$4</f>
        <v>71.676000000000002</v>
      </c>
      <c r="Q41" s="2"/>
      <c r="W41" s="133">
        <v>42550</v>
      </c>
      <c r="X41" s="10">
        <v>57.95</v>
      </c>
      <c r="Y41" s="10">
        <v>59.7</v>
      </c>
      <c r="Z41" s="10">
        <v>57.86</v>
      </c>
      <c r="AA41" s="10">
        <v>59.63</v>
      </c>
      <c r="AB41" s="95">
        <v>6281100</v>
      </c>
      <c r="AC41" s="10">
        <v>59.63</v>
      </c>
      <c r="AD41" s="2">
        <f t="shared" si="0"/>
        <v>1.8400000000000034</v>
      </c>
      <c r="AE41" s="138" t="e">
        <f t="shared" si="1"/>
        <v>#DIV/0!</v>
      </c>
    </row>
    <row r="42" spans="2:31" ht="20.25" thickBot="1" x14ac:dyDescent="0.35">
      <c r="O42" s="83">
        <v>1.0900000000000001</v>
      </c>
      <c r="P42" s="83">
        <f t="shared" ref="P42:P61" si="36">O42*$Q$4</f>
        <v>71.0244</v>
      </c>
      <c r="Q42" s="2"/>
      <c r="T42" s="91" t="s">
        <v>113</v>
      </c>
      <c r="W42" s="133">
        <v>42550</v>
      </c>
      <c r="X42" s="10" t="s">
        <v>266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O43" s="83">
        <v>1.08</v>
      </c>
      <c r="P43" s="83">
        <f t="shared" si="36"/>
        <v>70.372799999999998</v>
      </c>
      <c r="Q43" s="2"/>
      <c r="T43" s="128" t="s">
        <v>98</v>
      </c>
      <c r="U43" s="129">
        <v>65.680000000000007</v>
      </c>
      <c r="W43" s="133">
        <v>42549</v>
      </c>
      <c r="X43" s="10">
        <v>58.25</v>
      </c>
      <c r="Y43" s="10">
        <v>58.61</v>
      </c>
      <c r="Z43" s="10">
        <v>57.15</v>
      </c>
      <c r="AA43" s="10">
        <v>57.9</v>
      </c>
      <c r="AB43" s="95">
        <v>8294300</v>
      </c>
      <c r="AC43" s="10">
        <v>57.61</v>
      </c>
      <c r="AD43" s="2">
        <f t="shared" si="0"/>
        <v>1.4600000000000009</v>
      </c>
      <c r="AE43" s="138">
        <f t="shared" si="1"/>
        <v>4.0083652840710027E-3</v>
      </c>
    </row>
    <row r="44" spans="2:31" x14ac:dyDescent="0.25">
      <c r="O44" s="83">
        <v>1.07</v>
      </c>
      <c r="P44" s="83">
        <f t="shared" si="36"/>
        <v>69.721199999999996</v>
      </c>
      <c r="Q44" s="2"/>
      <c r="T44" s="93" t="s">
        <v>99</v>
      </c>
      <c r="U44" s="130">
        <v>65.849999999999994</v>
      </c>
      <c r="W44" s="133">
        <v>42548</v>
      </c>
      <c r="X44" s="10">
        <v>59.34</v>
      </c>
      <c r="Y44" s="10">
        <v>59.34</v>
      </c>
      <c r="Z44" s="10">
        <v>57.33</v>
      </c>
      <c r="AA44" s="10">
        <v>57.67</v>
      </c>
      <c r="AB44" s="95">
        <v>7567600</v>
      </c>
      <c r="AC44" s="10">
        <v>57.38</v>
      </c>
      <c r="AD44" s="2">
        <f t="shared" si="0"/>
        <v>2.0100000000000051</v>
      </c>
      <c r="AE44" s="138">
        <f t="shared" si="1"/>
        <v>-3.9825970548862055E-2</v>
      </c>
    </row>
    <row r="45" spans="2:31" x14ac:dyDescent="0.25">
      <c r="O45" s="83">
        <v>1.06</v>
      </c>
      <c r="P45" s="83">
        <f t="shared" si="36"/>
        <v>69.069599999999994</v>
      </c>
      <c r="Q45" s="2"/>
      <c r="T45" s="93" t="s">
        <v>100</v>
      </c>
      <c r="U45" s="130" t="s">
        <v>533</v>
      </c>
      <c r="W45" s="133">
        <v>42545</v>
      </c>
      <c r="X45" s="10">
        <v>60.48</v>
      </c>
      <c r="Y45" s="10">
        <v>61.7</v>
      </c>
      <c r="Z45" s="10">
        <v>60</v>
      </c>
      <c r="AA45" s="10">
        <v>60.06</v>
      </c>
      <c r="AB45" s="95">
        <v>10798700</v>
      </c>
      <c r="AC45" s="10">
        <v>59.76</v>
      </c>
      <c r="AD45" s="2">
        <f t="shared" si="0"/>
        <v>1.7000000000000028</v>
      </c>
      <c r="AE45" s="138">
        <f t="shared" si="1"/>
        <v>-5.0373430796122665E-2</v>
      </c>
    </row>
    <row r="46" spans="2:31" x14ac:dyDescent="0.25">
      <c r="O46" s="83">
        <v>1.05</v>
      </c>
      <c r="P46" s="83">
        <f t="shared" si="36"/>
        <v>68.418000000000006</v>
      </c>
      <c r="Q46" s="2"/>
      <c r="T46" s="93" t="s">
        <v>101</v>
      </c>
      <c r="U46" s="130" t="s">
        <v>534</v>
      </c>
      <c r="W46" s="133">
        <v>42544</v>
      </c>
      <c r="X46" s="10">
        <v>62.84</v>
      </c>
      <c r="Y46" s="10">
        <v>63.27</v>
      </c>
      <c r="Z46" s="10">
        <v>62.47</v>
      </c>
      <c r="AA46" s="10">
        <v>63.25</v>
      </c>
      <c r="AB46" s="95">
        <v>3624600</v>
      </c>
      <c r="AC46" s="10">
        <v>62.93</v>
      </c>
      <c r="AD46" s="2">
        <f t="shared" si="0"/>
        <v>0.80000000000000426</v>
      </c>
      <c r="AE46" s="138">
        <f t="shared" si="1"/>
        <v>2.0927968851395251E-2</v>
      </c>
    </row>
    <row r="47" spans="2:31" x14ac:dyDescent="0.25">
      <c r="O47" s="83">
        <v>1.04</v>
      </c>
      <c r="P47" s="83">
        <f t="shared" si="36"/>
        <v>67.766400000000004</v>
      </c>
      <c r="Q47" s="2"/>
      <c r="T47" s="93" t="s">
        <v>102</v>
      </c>
      <c r="U47" s="130">
        <v>67.38</v>
      </c>
      <c r="W47" s="133">
        <v>42543</v>
      </c>
      <c r="X47" s="10">
        <v>62.29</v>
      </c>
      <c r="Y47" s="10">
        <v>62.64</v>
      </c>
      <c r="Z47" s="10">
        <v>61.88</v>
      </c>
      <c r="AA47" s="10">
        <v>61.95</v>
      </c>
      <c r="AB47" s="95">
        <v>3462800</v>
      </c>
      <c r="AC47" s="10">
        <v>61.64</v>
      </c>
      <c r="AD47" s="2">
        <f t="shared" si="0"/>
        <v>0.75999999999999801</v>
      </c>
      <c r="AE47" s="138">
        <f t="shared" si="1"/>
        <v>-5.485640529202862E-3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67.114800000000002</v>
      </c>
      <c r="Q48" s="2"/>
      <c r="T48" s="93" t="s">
        <v>103</v>
      </c>
      <c r="U48" s="130">
        <v>1.2746200000000001</v>
      </c>
      <c r="W48" s="133">
        <v>42542</v>
      </c>
      <c r="X48" s="10">
        <v>62.3</v>
      </c>
      <c r="Y48" s="10">
        <v>62.48</v>
      </c>
      <c r="Z48" s="10">
        <v>61.75</v>
      </c>
      <c r="AA48" s="10">
        <v>62.29</v>
      </c>
      <c r="AB48" s="95">
        <v>3360600</v>
      </c>
      <c r="AC48" s="10">
        <v>61.98</v>
      </c>
      <c r="AD48" s="2">
        <f t="shared" si="0"/>
        <v>0.72999999999999687</v>
      </c>
      <c r="AE48" s="138">
        <f t="shared" si="1"/>
        <v>-1.6131634134541883E-4</v>
      </c>
    </row>
    <row r="49" spans="1:31" x14ac:dyDescent="0.25">
      <c r="A49" s="391" t="s">
        <v>1</v>
      </c>
      <c r="B49" s="391" t="s">
        <v>2</v>
      </c>
      <c r="C49" s="391" t="s">
        <v>4</v>
      </c>
      <c r="D49" s="393" t="s">
        <v>5</v>
      </c>
      <c r="E49" s="393" t="s">
        <v>94</v>
      </c>
      <c r="F49" s="393" t="s">
        <v>60</v>
      </c>
      <c r="G49" s="391" t="s">
        <v>3</v>
      </c>
      <c r="H49" s="391" t="s">
        <v>6</v>
      </c>
      <c r="I49" s="393" t="s">
        <v>7</v>
      </c>
      <c r="J49" s="393" t="s">
        <v>95</v>
      </c>
      <c r="K49" s="393" t="s">
        <v>61</v>
      </c>
      <c r="L49" s="391" t="s">
        <v>37</v>
      </c>
      <c r="M49" s="391" t="s">
        <v>38</v>
      </c>
      <c r="O49" s="83">
        <v>1.02</v>
      </c>
      <c r="P49" s="83">
        <f t="shared" si="36"/>
        <v>66.463200000000001</v>
      </c>
      <c r="Q49" s="2"/>
      <c r="T49" s="93" t="s">
        <v>123</v>
      </c>
      <c r="U49" s="130" t="s">
        <v>314</v>
      </c>
      <c r="W49" s="133">
        <v>42541</v>
      </c>
      <c r="X49" s="10">
        <v>62.65</v>
      </c>
      <c r="Y49" s="10">
        <v>63.41</v>
      </c>
      <c r="Z49" s="10">
        <v>62.23</v>
      </c>
      <c r="AA49" s="10">
        <v>62.3</v>
      </c>
      <c r="AB49" s="95">
        <v>4289100</v>
      </c>
      <c r="AC49" s="10">
        <v>61.99</v>
      </c>
      <c r="AD49" s="2">
        <f t="shared" si="0"/>
        <v>1.1799999999999997</v>
      </c>
      <c r="AE49" s="138">
        <f t="shared" si="1"/>
        <v>7.1486596263201641E-3</v>
      </c>
    </row>
    <row r="50" spans="1:31" x14ac:dyDescent="0.25">
      <c r="A50" s="394" t="s">
        <v>264</v>
      </c>
      <c r="B50" s="384">
        <v>42548</v>
      </c>
      <c r="C50" s="385">
        <v>40</v>
      </c>
      <c r="D50" s="386">
        <v>59.08</v>
      </c>
      <c r="E50" s="386">
        <v>0</v>
      </c>
      <c r="F50" s="386">
        <f>D50*C50+E50</f>
        <v>2363.1999999999998</v>
      </c>
      <c r="G50" s="384">
        <v>42580</v>
      </c>
      <c r="H50" s="389">
        <v>40</v>
      </c>
      <c r="I50" s="386">
        <v>64.58</v>
      </c>
      <c r="J50" s="386">
        <v>0.06</v>
      </c>
      <c r="K50" s="386">
        <f>I50*H50-J50</f>
        <v>2583.14</v>
      </c>
      <c r="L50" s="384">
        <v>42592</v>
      </c>
      <c r="M50" s="385">
        <v>11.6</v>
      </c>
      <c r="O50" s="83">
        <v>1.01</v>
      </c>
      <c r="P50" s="83">
        <f t="shared" si="36"/>
        <v>65.811599999999999</v>
      </c>
      <c r="Q50" s="2"/>
      <c r="T50" s="93"/>
      <c r="U50" s="130"/>
      <c r="W50" s="133">
        <v>42538</v>
      </c>
      <c r="X50" s="10">
        <v>61.93</v>
      </c>
      <c r="Y50" s="10">
        <v>62.43</v>
      </c>
      <c r="Z50" s="10">
        <v>61.62</v>
      </c>
      <c r="AA50" s="10">
        <v>61.86</v>
      </c>
      <c r="AB50" s="95">
        <v>6521500</v>
      </c>
      <c r="AC50" s="10">
        <v>61.55</v>
      </c>
      <c r="AD50" s="2">
        <f t="shared" si="0"/>
        <v>0.81000000000000227</v>
      </c>
      <c r="AE50" s="138">
        <f t="shared" si="1"/>
        <v>-1.135994806880869E-3</v>
      </c>
    </row>
    <row r="51" spans="1:31" x14ac:dyDescent="0.25">
      <c r="A51" s="395" t="s">
        <v>71</v>
      </c>
      <c r="B51" s="384"/>
      <c r="C51" s="385"/>
      <c r="D51" s="386"/>
      <c r="E51" s="386"/>
      <c r="F51" s="386"/>
      <c r="G51" s="385"/>
      <c r="H51" s="389"/>
      <c r="I51" s="386"/>
      <c r="J51" s="386"/>
      <c r="K51" s="386"/>
      <c r="L51" s="385"/>
      <c r="M51" s="385"/>
      <c r="O51" s="83">
        <v>1</v>
      </c>
      <c r="P51" s="83">
        <f t="shared" si="36"/>
        <v>65.16</v>
      </c>
      <c r="Q51" s="2"/>
      <c r="T51" s="93" t="s">
        <v>105</v>
      </c>
      <c r="U51" s="130" t="s">
        <v>535</v>
      </c>
      <c r="W51" s="133">
        <v>42537</v>
      </c>
      <c r="X51" s="10">
        <v>60.94</v>
      </c>
      <c r="Y51" s="10">
        <v>62.11</v>
      </c>
      <c r="Z51" s="10">
        <v>60.66</v>
      </c>
      <c r="AA51" s="10">
        <v>61.93</v>
      </c>
      <c r="AB51" s="95">
        <v>5543600</v>
      </c>
      <c r="AC51" s="10">
        <v>61.62</v>
      </c>
      <c r="AD51" s="2">
        <f t="shared" si="0"/>
        <v>1.4500000000000028</v>
      </c>
      <c r="AE51" s="138">
        <f t="shared" si="1"/>
        <v>8.345606283750584E-3</v>
      </c>
    </row>
    <row r="52" spans="1:31" x14ac:dyDescent="0.25">
      <c r="A52" s="385"/>
      <c r="B52" s="384"/>
      <c r="C52" s="385"/>
      <c r="D52" s="386"/>
      <c r="E52" s="386"/>
      <c r="F52" s="386"/>
      <c r="G52" s="385"/>
      <c r="H52" s="389"/>
      <c r="I52" s="386"/>
      <c r="J52" s="386"/>
      <c r="K52" s="386"/>
      <c r="L52" s="385"/>
      <c r="M52" s="385"/>
      <c r="O52" s="83">
        <v>0.99</v>
      </c>
      <c r="P52" s="83">
        <f t="shared" si="36"/>
        <v>64.508399999999995</v>
      </c>
      <c r="Q52" s="2"/>
      <c r="T52" s="93" t="s">
        <v>106</v>
      </c>
      <c r="U52" s="130" t="s">
        <v>381</v>
      </c>
      <c r="W52" s="133">
        <v>42536</v>
      </c>
      <c r="X52" s="10">
        <v>61.47</v>
      </c>
      <c r="Y52" s="10">
        <v>62.16</v>
      </c>
      <c r="Z52" s="10">
        <v>60.86</v>
      </c>
      <c r="AA52" s="10">
        <v>61.42</v>
      </c>
      <c r="AB52" s="95">
        <v>5979900</v>
      </c>
      <c r="AC52" s="10">
        <v>61.11</v>
      </c>
      <c r="AD52" s="2">
        <f t="shared" si="0"/>
        <v>1.2999999999999972</v>
      </c>
      <c r="AE52" s="138">
        <f t="shared" si="1"/>
        <v>5.7603686635945284E-3</v>
      </c>
    </row>
    <row r="53" spans="1:31" x14ac:dyDescent="0.25">
      <c r="A53" s="385"/>
      <c r="B53" s="384"/>
      <c r="C53" s="385"/>
      <c r="D53" s="386"/>
      <c r="E53" s="386"/>
      <c r="F53" s="386"/>
      <c r="G53" s="385"/>
      <c r="H53" s="389"/>
      <c r="I53" s="386"/>
      <c r="J53" s="386"/>
      <c r="K53" s="386"/>
      <c r="L53" s="385"/>
      <c r="M53" s="385"/>
      <c r="O53" s="83">
        <v>0.98</v>
      </c>
      <c r="P53" s="83">
        <f t="shared" si="36"/>
        <v>63.856799999999993</v>
      </c>
      <c r="Q53" s="2"/>
      <c r="T53" s="93" t="s">
        <v>107</v>
      </c>
      <c r="U53" s="131">
        <v>4128222</v>
      </c>
      <c r="W53" s="133">
        <v>42535</v>
      </c>
      <c r="X53" s="10">
        <v>63.59</v>
      </c>
      <c r="Y53" s="10">
        <v>63.66</v>
      </c>
      <c r="Z53" s="10">
        <v>60.38</v>
      </c>
      <c r="AA53" s="10">
        <v>61.07</v>
      </c>
      <c r="AB53" s="95">
        <v>12323200</v>
      </c>
      <c r="AC53" s="10">
        <v>60.76</v>
      </c>
      <c r="AD53" s="2">
        <f t="shared" si="0"/>
        <v>3.279999999999994</v>
      </c>
      <c r="AE53" s="138">
        <f t="shared" si="1"/>
        <v>-4.0883977900552537E-2</v>
      </c>
    </row>
    <row r="54" spans="1:31" x14ac:dyDescent="0.25">
      <c r="A54" s="385"/>
      <c r="B54" s="384"/>
      <c r="C54" s="385"/>
      <c r="D54" s="386"/>
      <c r="E54" s="386"/>
      <c r="F54" s="386"/>
      <c r="G54" s="385"/>
      <c r="H54" s="389"/>
      <c r="I54" s="386"/>
      <c r="J54" s="386"/>
      <c r="K54" s="386"/>
      <c r="L54" s="385"/>
      <c r="M54" s="385"/>
      <c r="O54" s="83">
        <v>0.97</v>
      </c>
      <c r="P54" s="83">
        <f t="shared" si="36"/>
        <v>63.205199999999998</v>
      </c>
      <c r="T54" s="93" t="s">
        <v>110</v>
      </c>
      <c r="U54" s="131">
        <v>4489610</v>
      </c>
      <c r="W54" s="133">
        <v>42534</v>
      </c>
      <c r="X54" s="10">
        <v>64.8</v>
      </c>
      <c r="Y54" s="10">
        <v>64.89</v>
      </c>
      <c r="Z54" s="10">
        <v>63.63</v>
      </c>
      <c r="AA54" s="10">
        <v>63.67</v>
      </c>
      <c r="AB54" s="95">
        <v>5883400</v>
      </c>
      <c r="AC54" s="10">
        <v>63.35</v>
      </c>
      <c r="AD54" s="2">
        <f t="shared" si="0"/>
        <v>1.259999999999998</v>
      </c>
      <c r="AE54" s="138">
        <f t="shared" si="1"/>
        <v>-1.995668316831678E-2</v>
      </c>
    </row>
    <row r="55" spans="1:31" x14ac:dyDescent="0.25">
      <c r="A55" s="385"/>
      <c r="B55" s="385"/>
      <c r="C55" s="385"/>
      <c r="D55" s="386"/>
      <c r="E55" s="386"/>
      <c r="F55" s="386"/>
      <c r="G55" s="385"/>
      <c r="H55" s="389"/>
      <c r="I55" s="386"/>
      <c r="J55" s="386"/>
      <c r="K55" s="386"/>
      <c r="L55" s="385"/>
      <c r="M55" s="385"/>
      <c r="O55" s="83">
        <v>0.96</v>
      </c>
      <c r="P55" s="83">
        <f t="shared" si="36"/>
        <v>62.553599999999996</v>
      </c>
      <c r="T55" s="93" t="s">
        <v>108</v>
      </c>
      <c r="U55" s="130" t="s">
        <v>536</v>
      </c>
      <c r="W55" s="133">
        <v>42531</v>
      </c>
      <c r="X55" s="10">
        <v>65.260000000000005</v>
      </c>
      <c r="Y55" s="10">
        <v>65.48</v>
      </c>
      <c r="Z55" s="10">
        <v>64.709999999999994</v>
      </c>
      <c r="AA55" s="10">
        <v>64.97</v>
      </c>
      <c r="AB55" s="95">
        <v>3939100</v>
      </c>
      <c r="AC55" s="10">
        <v>64.64</v>
      </c>
      <c r="AD55" s="2">
        <f t="shared" si="0"/>
        <v>0.77000000000001023</v>
      </c>
      <c r="AE55" s="138">
        <f t="shared" si="1"/>
        <v>-1.1318446007953398E-2</v>
      </c>
    </row>
    <row r="56" spans="1:31" x14ac:dyDescent="0.25">
      <c r="A56" s="385"/>
      <c r="B56" s="385"/>
      <c r="C56" s="385"/>
      <c r="D56" s="386"/>
      <c r="E56" s="386"/>
      <c r="F56" s="386"/>
      <c r="G56" s="385"/>
      <c r="H56" s="389"/>
      <c r="I56" s="386"/>
      <c r="J56" s="386"/>
      <c r="K56" s="386"/>
      <c r="L56" s="385"/>
      <c r="M56" s="385"/>
      <c r="O56" s="83">
        <v>0.95</v>
      </c>
      <c r="P56" s="83">
        <f t="shared" si="36"/>
        <v>61.901999999999994</v>
      </c>
      <c r="T56" s="93" t="s">
        <v>111</v>
      </c>
      <c r="U56" s="130">
        <v>11.53</v>
      </c>
      <c r="W56" s="133">
        <v>42530</v>
      </c>
      <c r="X56" s="10">
        <v>65.72</v>
      </c>
      <c r="Y56" s="10">
        <v>65.78</v>
      </c>
      <c r="Z56" s="10">
        <v>64.900000000000006</v>
      </c>
      <c r="AA56" s="10">
        <v>65.709999999999994</v>
      </c>
      <c r="AB56" s="95">
        <v>3883800</v>
      </c>
      <c r="AC56" s="10">
        <v>65.38</v>
      </c>
      <c r="AD56" s="2">
        <f t="shared" si="0"/>
        <v>0.87999999999999545</v>
      </c>
      <c r="AE56" s="138">
        <f t="shared" si="1"/>
        <v>-8.3421811011680225E-3</v>
      </c>
    </row>
    <row r="57" spans="1:31" x14ac:dyDescent="0.25">
      <c r="A57" s="385"/>
      <c r="B57" s="385"/>
      <c r="C57" s="385"/>
      <c r="D57" s="386"/>
      <c r="E57" s="386"/>
      <c r="F57" s="386"/>
      <c r="G57" s="385"/>
      <c r="H57" s="389"/>
      <c r="I57" s="386"/>
      <c r="J57" s="386"/>
      <c r="K57" s="386"/>
      <c r="L57" s="385"/>
      <c r="M57" s="385"/>
      <c r="O57" s="83">
        <v>0.94</v>
      </c>
      <c r="P57" s="83">
        <f t="shared" si="36"/>
        <v>61.250399999999992</v>
      </c>
      <c r="T57" s="93" t="s">
        <v>112</v>
      </c>
      <c r="U57" s="130">
        <v>5.65</v>
      </c>
      <c r="W57" s="133">
        <v>42529</v>
      </c>
      <c r="X57" s="10">
        <v>65.94</v>
      </c>
      <c r="Y57" s="10">
        <v>66.58</v>
      </c>
      <c r="Z57" s="10">
        <v>65.94</v>
      </c>
      <c r="AA57" s="10">
        <v>66.260000000000005</v>
      </c>
      <c r="AB57" s="95">
        <v>2601100</v>
      </c>
      <c r="AC57" s="10">
        <v>65.930000000000007</v>
      </c>
      <c r="AD57" s="2">
        <f t="shared" si="0"/>
        <v>0.64000000000000057</v>
      </c>
      <c r="AE57" s="138">
        <f t="shared" si="1"/>
        <v>5.6436851738865812E-3</v>
      </c>
    </row>
    <row r="58" spans="1:31" x14ac:dyDescent="0.25">
      <c r="A58" s="385"/>
      <c r="B58" s="385"/>
      <c r="C58" s="385"/>
      <c r="D58" s="386"/>
      <c r="E58" s="386"/>
      <c r="F58" s="386"/>
      <c r="G58" s="385"/>
      <c r="H58" s="389"/>
      <c r="I58" s="386"/>
      <c r="J58" s="386"/>
      <c r="K58" s="386"/>
      <c r="L58" s="385"/>
      <c r="M58" s="385"/>
      <c r="O58" s="83">
        <v>0.93</v>
      </c>
      <c r="P58" s="83">
        <f t="shared" si="36"/>
        <v>60.598799999999997</v>
      </c>
      <c r="T58" s="93" t="s">
        <v>109</v>
      </c>
      <c r="U58" s="130" t="s">
        <v>382</v>
      </c>
      <c r="W58" s="133">
        <v>42528</v>
      </c>
      <c r="X58" s="10">
        <v>66.150000000000006</v>
      </c>
      <c r="Y58" s="10">
        <v>66.599999999999994</v>
      </c>
      <c r="Z58" s="10">
        <v>65.88</v>
      </c>
      <c r="AA58" s="10">
        <v>65.89</v>
      </c>
      <c r="AB58" s="95">
        <v>3779500</v>
      </c>
      <c r="AC58" s="10">
        <v>65.56</v>
      </c>
      <c r="AD58" s="2">
        <f t="shared" si="0"/>
        <v>0.71999999999999886</v>
      </c>
      <c r="AE58" s="138">
        <f t="shared" si="1"/>
        <v>-7.6207895137936355E-4</v>
      </c>
    </row>
    <row r="59" spans="1:31" x14ac:dyDescent="0.25">
      <c r="A59" s="385"/>
      <c r="B59" s="385"/>
      <c r="C59" s="385"/>
      <c r="D59" s="386"/>
      <c r="E59" s="386"/>
      <c r="F59" s="386"/>
      <c r="G59" s="385"/>
      <c r="H59" s="389"/>
      <c r="I59" s="386"/>
      <c r="J59" s="386"/>
      <c r="K59" s="386"/>
      <c r="L59" s="385"/>
      <c r="M59" s="385"/>
      <c r="O59" s="83">
        <v>0.92</v>
      </c>
      <c r="P59" s="83">
        <f t="shared" si="36"/>
        <v>59.947200000000002</v>
      </c>
      <c r="W59" s="133">
        <v>42527</v>
      </c>
      <c r="X59" s="10">
        <v>65.55</v>
      </c>
      <c r="Y59" s="10">
        <v>66.2</v>
      </c>
      <c r="Z59" s="10">
        <v>65.5</v>
      </c>
      <c r="AA59" s="10">
        <v>65.94</v>
      </c>
      <c r="AB59" s="95">
        <v>3915200</v>
      </c>
      <c r="AC59" s="10">
        <v>65.61</v>
      </c>
      <c r="AD59" s="2">
        <f t="shared" si="0"/>
        <v>0.70000000000000284</v>
      </c>
      <c r="AE59" s="138">
        <f t="shared" si="1"/>
        <v>6.906077348066253E-3</v>
      </c>
    </row>
    <row r="60" spans="1:31" x14ac:dyDescent="0.25">
      <c r="A60" s="385"/>
      <c r="B60" s="385"/>
      <c r="C60" s="385"/>
      <c r="D60" s="386"/>
      <c r="E60" s="386"/>
      <c r="F60" s="386"/>
      <c r="G60" s="385"/>
      <c r="H60" s="389"/>
      <c r="I60" s="386"/>
      <c r="J60" s="386"/>
      <c r="K60" s="386"/>
      <c r="L60" s="385"/>
      <c r="M60" s="385"/>
      <c r="O60" s="83">
        <v>0.91</v>
      </c>
      <c r="P60" s="83">
        <f t="shared" si="36"/>
        <v>59.2956</v>
      </c>
      <c r="W60" s="133">
        <v>42524</v>
      </c>
      <c r="X60" s="10">
        <v>65.53</v>
      </c>
      <c r="Y60" s="10">
        <v>65.819999999999993</v>
      </c>
      <c r="Z60" s="10">
        <v>64.77</v>
      </c>
      <c r="AA60" s="10">
        <v>65.489999999999995</v>
      </c>
      <c r="AB60" s="95">
        <v>4352000</v>
      </c>
      <c r="AC60" s="10">
        <v>65.16</v>
      </c>
      <c r="AD60" s="2">
        <f t="shared" si="0"/>
        <v>1.0499999999999972</v>
      </c>
      <c r="AE60" s="138">
        <f t="shared" si="1"/>
        <v>-1.3922518159806274E-2</v>
      </c>
    </row>
    <row r="61" spans="1:31" x14ac:dyDescent="0.25">
      <c r="A61" s="385"/>
      <c r="B61" s="385"/>
      <c r="C61" s="385"/>
      <c r="D61" s="386"/>
      <c r="E61" s="386"/>
      <c r="F61" s="386"/>
      <c r="G61" s="385"/>
      <c r="H61" s="389"/>
      <c r="I61" s="386"/>
      <c r="J61" s="386"/>
      <c r="K61" s="386"/>
      <c r="L61" s="385"/>
      <c r="M61" s="385"/>
      <c r="O61" s="83">
        <v>0.9</v>
      </c>
      <c r="P61" s="83">
        <f t="shared" si="36"/>
        <v>58.643999999999998</v>
      </c>
      <c r="W61" s="133">
        <v>42523</v>
      </c>
      <c r="X61" s="10">
        <v>65.86</v>
      </c>
      <c r="Y61" s="10">
        <v>66.41</v>
      </c>
      <c r="Z61" s="10">
        <v>65.599999999999994</v>
      </c>
      <c r="AA61" s="10">
        <v>66.41</v>
      </c>
      <c r="AB61" s="95">
        <v>3052200</v>
      </c>
      <c r="AC61" s="10">
        <v>66.08</v>
      </c>
      <c r="AD61" s="2">
        <f t="shared" si="0"/>
        <v>0.81000000000000227</v>
      </c>
      <c r="AE61" s="138">
        <f t="shared" si="1"/>
        <v>7.6242756938091905E-3</v>
      </c>
    </row>
    <row r="62" spans="1:31" x14ac:dyDescent="0.25">
      <c r="A62" s="385"/>
      <c r="B62" s="385"/>
      <c r="C62" s="385"/>
      <c r="D62" s="386"/>
      <c r="E62" s="386"/>
      <c r="F62" s="386"/>
      <c r="G62" s="385"/>
      <c r="H62" s="389"/>
      <c r="I62" s="386"/>
      <c r="J62" s="386"/>
      <c r="K62" s="386"/>
      <c r="L62" s="385"/>
      <c r="M62" s="385"/>
      <c r="W62" s="133">
        <v>42522</v>
      </c>
      <c r="X62" s="10">
        <v>65.760000000000005</v>
      </c>
      <c r="Y62" s="10">
        <v>65.959999999999994</v>
      </c>
      <c r="Z62" s="10">
        <v>65.180000000000007</v>
      </c>
      <c r="AA62" s="10">
        <v>65.91</v>
      </c>
      <c r="AB62" s="95">
        <v>3816000</v>
      </c>
      <c r="AC62" s="10">
        <v>65.58</v>
      </c>
      <c r="AD62" s="2">
        <f t="shared" si="0"/>
        <v>0.77999999999998693</v>
      </c>
      <c r="AE62" s="138">
        <f t="shared" si="1"/>
        <v>2.2925263640529714E-3</v>
      </c>
    </row>
    <row r="63" spans="1:31" x14ac:dyDescent="0.25">
      <c r="A63" s="385"/>
      <c r="B63" s="385"/>
      <c r="C63" s="385"/>
      <c r="D63" s="386"/>
      <c r="E63" s="386"/>
      <c r="F63" s="386"/>
      <c r="G63" s="385"/>
      <c r="H63" s="389"/>
      <c r="I63" s="386"/>
      <c r="J63" s="386"/>
      <c r="K63" s="386"/>
      <c r="L63" s="385"/>
      <c r="M63" s="385"/>
      <c r="W63" s="133">
        <v>42521</v>
      </c>
      <c r="X63" s="10">
        <v>65.7</v>
      </c>
      <c r="Y63" s="10">
        <v>65.92</v>
      </c>
      <c r="Z63" s="10">
        <v>65.400000000000006</v>
      </c>
      <c r="AA63" s="10">
        <v>65.760000000000005</v>
      </c>
      <c r="AB63" s="95">
        <v>5256000</v>
      </c>
      <c r="AC63" s="10">
        <v>65.430000000000007</v>
      </c>
      <c r="AD63" s="2">
        <f t="shared" si="0"/>
        <v>0.51999999999999602</v>
      </c>
      <c r="AE63" s="138">
        <f t="shared" si="1"/>
        <v>3.6815462494248496E-3</v>
      </c>
    </row>
    <row r="64" spans="1:31" x14ac:dyDescent="0.25">
      <c r="A64" s="385"/>
      <c r="B64" s="385"/>
      <c r="C64" s="385"/>
      <c r="D64" s="386"/>
      <c r="E64" s="386"/>
      <c r="F64" s="386"/>
      <c r="G64" s="385"/>
      <c r="H64" s="389"/>
      <c r="I64" s="386"/>
      <c r="J64" s="386"/>
      <c r="K64" s="386"/>
      <c r="L64" s="385"/>
      <c r="M64" s="385"/>
      <c r="W64" s="133">
        <v>42517</v>
      </c>
      <c r="X64" s="10">
        <v>65.39</v>
      </c>
      <c r="Y64" s="10">
        <v>65.7</v>
      </c>
      <c r="Z64" s="10">
        <v>65.33</v>
      </c>
      <c r="AA64" s="10">
        <v>65.52</v>
      </c>
      <c r="AB64" s="95">
        <v>3957100</v>
      </c>
      <c r="AC64" s="10">
        <v>65.19</v>
      </c>
      <c r="AD64" s="2">
        <f t="shared" si="0"/>
        <v>0.37000000000000455</v>
      </c>
      <c r="AE64" s="138">
        <f t="shared" si="1"/>
        <v>4.4684129429890529E-3</v>
      </c>
    </row>
    <row r="65" spans="1:31" x14ac:dyDescent="0.25">
      <c r="A65" s="385"/>
      <c r="B65" s="385"/>
      <c r="C65" s="385"/>
      <c r="D65" s="386"/>
      <c r="E65" s="386"/>
      <c r="F65" s="386"/>
      <c r="G65" s="385"/>
      <c r="H65" s="385"/>
      <c r="I65" s="386"/>
      <c r="J65" s="386"/>
      <c r="K65" s="386"/>
      <c r="L65" s="385"/>
      <c r="M65" s="385"/>
      <c r="W65" s="133">
        <v>42516</v>
      </c>
      <c r="X65" s="10">
        <v>65.290000000000006</v>
      </c>
      <c r="Y65" s="10">
        <v>65.37</v>
      </c>
      <c r="Z65" s="10">
        <v>64.95</v>
      </c>
      <c r="AA65" s="10">
        <v>65.23</v>
      </c>
      <c r="AB65" s="95">
        <v>3593500</v>
      </c>
      <c r="AC65" s="10">
        <v>64.900000000000006</v>
      </c>
      <c r="AD65" s="2">
        <f t="shared" si="0"/>
        <v>0.42000000000000171</v>
      </c>
      <c r="AE65" s="138">
        <f t="shared" si="1"/>
        <v>-1.2311480455524659E-3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42515</v>
      </c>
      <c r="X66" s="10">
        <v>65.040000000000006</v>
      </c>
      <c r="Y66" s="10">
        <v>65.760000000000005</v>
      </c>
      <c r="Z66" s="10">
        <v>65.010000000000005</v>
      </c>
      <c r="AA66" s="10">
        <v>65.31</v>
      </c>
      <c r="AB66" s="95">
        <v>5755900</v>
      </c>
      <c r="AC66" s="10">
        <v>64.98</v>
      </c>
      <c r="AD66" s="2">
        <f t="shared" si="0"/>
        <v>0.75</v>
      </c>
      <c r="AE66" s="138">
        <f t="shared" si="1"/>
        <v>6.6615027110767944E-3</v>
      </c>
    </row>
    <row r="67" spans="1:31" ht="15.75" thickBot="1" x14ac:dyDescent="0.3">
      <c r="A67" s="498" t="s">
        <v>204</v>
      </c>
      <c r="B67" s="499"/>
      <c r="C67" s="500">
        <f>SumByColor($A$19,C50:C65)</f>
        <v>0</v>
      </c>
      <c r="D67" s="500"/>
      <c r="E67" s="500"/>
      <c r="F67" s="501">
        <f>SumByColor($A$19,F50:F65)</f>
        <v>0</v>
      </c>
      <c r="G67" s="500"/>
      <c r="H67" s="500">
        <f>SumByColor($A$19,H50:H65)</f>
        <v>0</v>
      </c>
      <c r="I67" s="500"/>
      <c r="J67" s="500"/>
      <c r="K67" s="501">
        <f>SumByColor($A$19,K50:K65)</f>
        <v>0</v>
      </c>
      <c r="L67" s="500"/>
      <c r="M67" s="501">
        <f t="shared" ref="M67" si="37">SumByColor($A$19,M50:M65)</f>
        <v>0</v>
      </c>
      <c r="W67" s="133">
        <v>42514</v>
      </c>
      <c r="X67" s="10">
        <v>63.79</v>
      </c>
      <c r="Y67" s="10">
        <v>65.099999999999994</v>
      </c>
      <c r="Z67" s="10">
        <v>63.79</v>
      </c>
      <c r="AA67" s="10">
        <v>64.87</v>
      </c>
      <c r="AB67" s="95">
        <v>3946100</v>
      </c>
      <c r="AC67" s="10">
        <v>64.55</v>
      </c>
      <c r="AD67" s="2">
        <f>Y67-Z67</f>
        <v>1.3099999999999952</v>
      </c>
      <c r="AE67" s="138" t="e">
        <f>AC67/#REF!-1</f>
        <v>#REF!</v>
      </c>
    </row>
    <row r="68" spans="1:31" x14ac:dyDescent="0.25">
      <c r="W68" s="133">
        <v>42513</v>
      </c>
      <c r="X68" s="10">
        <v>63.86</v>
      </c>
      <c r="Y68" s="10">
        <v>64.099999999999994</v>
      </c>
      <c r="Z68" s="10">
        <v>63.56</v>
      </c>
      <c r="AA68" s="10">
        <v>63.59</v>
      </c>
      <c r="AB68" s="95">
        <v>3074100</v>
      </c>
      <c r="AC68" s="10">
        <v>63.27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93" priority="9">
      <formula>F36&gt;0</formula>
    </cfRule>
    <cfRule type="expression" dxfId="592" priority="10">
      <formula>F36&lt;0</formula>
    </cfRule>
  </conditionalFormatting>
  <conditionalFormatting sqref="F25:F35">
    <cfRule type="expression" dxfId="591" priority="7">
      <formula>F25&gt;0</formula>
    </cfRule>
    <cfRule type="expression" dxfId="590" priority="8">
      <formula>F25&lt;0</formula>
    </cfRule>
  </conditionalFormatting>
  <conditionalFormatting sqref="H25:H35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3" activePane="bottomLeft" state="frozen"/>
      <selection activeCell="A2" sqref="A2"/>
      <selection pane="bottomLeft" activeCell="K37" sqref="K37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261</v>
      </c>
      <c r="B2" s="477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7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303</v>
      </c>
      <c r="W2" s="133">
        <v>42606</v>
      </c>
      <c r="X2" s="10">
        <v>24.93</v>
      </c>
      <c r="Y2" s="10">
        <v>24.95</v>
      </c>
      <c r="Z2" s="10">
        <v>23.97</v>
      </c>
      <c r="AA2" s="10">
        <v>24.04</v>
      </c>
      <c r="AB2" s="95">
        <v>6309900</v>
      </c>
      <c r="AC2" s="10">
        <v>24.04</v>
      </c>
      <c r="AD2" s="2">
        <f>Y2-Z2</f>
        <v>0.98000000000000043</v>
      </c>
      <c r="AE2" s="138">
        <f>AC2/AC3-1</f>
        <v>-3.1816351188078906E-2</v>
      </c>
    </row>
    <row r="3" spans="1:31" x14ac:dyDescent="0.25">
      <c r="A3" s="23" t="s">
        <v>71</v>
      </c>
      <c r="B3" s="477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7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304</v>
      </c>
      <c r="W3" s="133">
        <v>42605</v>
      </c>
      <c r="X3" s="10">
        <v>24.39</v>
      </c>
      <c r="Y3" s="10">
        <v>25.55</v>
      </c>
      <c r="Z3" s="10">
        <v>24.36</v>
      </c>
      <c r="AA3" s="10">
        <v>24.83</v>
      </c>
      <c r="AB3" s="95">
        <v>7825300</v>
      </c>
      <c r="AC3" s="10">
        <v>24.83</v>
      </c>
      <c r="AD3" s="2">
        <f t="shared" ref="AD3:AD66" si="0">Y3-Z3</f>
        <v>1.1900000000000013</v>
      </c>
      <c r="AE3" s="138">
        <f t="shared" ref="AE3:AE66" si="1">AC3/AC4-1</f>
        <v>4.8121570282819714E-2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7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24.04</v>
      </c>
      <c r="T4" s="163"/>
      <c r="U4" s="1"/>
      <c r="W4" s="133">
        <v>42604</v>
      </c>
      <c r="X4" s="10">
        <v>23.03</v>
      </c>
      <c r="Y4" s="10">
        <v>23.72</v>
      </c>
      <c r="Z4" s="10">
        <v>22.8</v>
      </c>
      <c r="AA4" s="10">
        <v>23.69</v>
      </c>
      <c r="AB4" s="95">
        <v>3705700</v>
      </c>
      <c r="AC4" s="10">
        <v>23.69</v>
      </c>
      <c r="AD4" s="2">
        <f t="shared" si="0"/>
        <v>0.91999999999999815</v>
      </c>
      <c r="AE4" s="138">
        <f t="shared" si="1"/>
        <v>2.9105125977411106E-2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4808</v>
      </c>
      <c r="W5" s="133">
        <v>42601</v>
      </c>
      <c r="X5" s="10">
        <v>22.54</v>
      </c>
      <c r="Y5" s="10">
        <v>23.17</v>
      </c>
      <c r="Z5" s="10">
        <v>22.33</v>
      </c>
      <c r="AA5" s="10">
        <v>23.02</v>
      </c>
      <c r="AB5" s="95">
        <v>5068300</v>
      </c>
      <c r="AC5" s="10">
        <v>23.02</v>
      </c>
      <c r="AD5" s="2">
        <f t="shared" si="0"/>
        <v>0.84000000000000341</v>
      </c>
      <c r="AE5" s="138">
        <f t="shared" si="1"/>
        <v>1.2313104661389573E-2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42600</v>
      </c>
      <c r="X6" s="10">
        <v>23.27</v>
      </c>
      <c r="Y6" s="10">
        <v>23.33</v>
      </c>
      <c r="Z6" s="10">
        <v>22.58</v>
      </c>
      <c r="AA6" s="10">
        <v>22.74</v>
      </c>
      <c r="AB6" s="95">
        <v>5635100</v>
      </c>
      <c r="AC6" s="10">
        <v>22.74</v>
      </c>
      <c r="AD6" s="2">
        <f t="shared" si="0"/>
        <v>0.75</v>
      </c>
      <c r="AE6" s="138">
        <f t="shared" si="1"/>
        <v>-2.4453024453024441E-2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297.18000000000029</v>
      </c>
      <c r="R7" s="30">
        <v>42617</v>
      </c>
      <c r="W7" s="133">
        <v>42599</v>
      </c>
      <c r="X7" s="10">
        <v>23.49</v>
      </c>
      <c r="Y7" s="10">
        <v>23.97</v>
      </c>
      <c r="Z7" s="10">
        <v>22.94</v>
      </c>
      <c r="AA7" s="10">
        <v>23.31</v>
      </c>
      <c r="AB7" s="95">
        <v>5654300</v>
      </c>
      <c r="AC7" s="10">
        <v>23.31</v>
      </c>
      <c r="AD7" s="2">
        <f t="shared" si="0"/>
        <v>1.0299999999999976</v>
      </c>
      <c r="AE7" s="138">
        <f t="shared" si="1"/>
        <v>4.7413793103447954E-3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297.18000000000029</v>
      </c>
      <c r="W8" s="133">
        <v>42598</v>
      </c>
      <c r="X8" s="10">
        <v>23.29</v>
      </c>
      <c r="Y8" s="10">
        <v>23.44</v>
      </c>
      <c r="Z8" s="10">
        <v>23.05</v>
      </c>
      <c r="AA8" s="10">
        <v>23.2</v>
      </c>
      <c r="AB8" s="95">
        <v>6010200</v>
      </c>
      <c r="AC8" s="10">
        <v>23.2</v>
      </c>
      <c r="AD8" s="2">
        <f t="shared" si="0"/>
        <v>0.39000000000000057</v>
      </c>
      <c r="AE8" s="138">
        <f t="shared" si="1"/>
        <v>0</v>
      </c>
    </row>
    <row r="9" spans="1:31" x14ac:dyDescent="0.25">
      <c r="H9" s="72"/>
      <c r="O9" s="11" t="s">
        <v>225</v>
      </c>
      <c r="Q9" s="138">
        <f>IF(Q2=0, 0, Q8/Q6)</f>
        <v>6.5881591373630588E-2</v>
      </c>
      <c r="W9" s="133">
        <v>42597</v>
      </c>
      <c r="X9" s="10">
        <v>22.57</v>
      </c>
      <c r="Y9" s="10">
        <v>23.22</v>
      </c>
      <c r="Z9" s="10">
        <v>22.54</v>
      </c>
      <c r="AA9" s="10">
        <v>23.2</v>
      </c>
      <c r="AB9" s="95">
        <v>4954400</v>
      </c>
      <c r="AC9" s="10">
        <v>23.2</v>
      </c>
      <c r="AD9" s="2">
        <f t="shared" si="0"/>
        <v>0.67999999999999972</v>
      </c>
      <c r="AE9" s="138">
        <f t="shared" si="1"/>
        <v>3.8031319910514449E-2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42594</v>
      </c>
      <c r="X10" s="10">
        <v>22.22</v>
      </c>
      <c r="Y10" s="10">
        <v>22.76</v>
      </c>
      <c r="Z10" s="10">
        <v>21.99</v>
      </c>
      <c r="AA10" s="10">
        <v>22.35</v>
      </c>
      <c r="AB10" s="95">
        <v>9086300</v>
      </c>
      <c r="AC10" s="10">
        <v>22.35</v>
      </c>
      <c r="AD10" s="2">
        <f t="shared" si="0"/>
        <v>0.77000000000000313</v>
      </c>
      <c r="AE10" s="138">
        <f t="shared" si="1"/>
        <v>4.0431266846361336E-3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5.21E-2</v>
      </c>
      <c r="W11" s="133">
        <v>42593</v>
      </c>
      <c r="X11" s="10">
        <v>21.37</v>
      </c>
      <c r="Y11" s="10">
        <v>22.27</v>
      </c>
      <c r="Z11" s="10">
        <v>21.23</v>
      </c>
      <c r="AA11" s="10">
        <v>22.26</v>
      </c>
      <c r="AB11" s="95">
        <v>6181100</v>
      </c>
      <c r="AC11" s="10">
        <v>22.26</v>
      </c>
      <c r="AD11" s="2">
        <f t="shared" si="0"/>
        <v>1.0399999999999991</v>
      </c>
      <c r="AE11" s="138" t="e">
        <f t="shared" si="1"/>
        <v>#DIV/0!</v>
      </c>
    </row>
    <row r="12" spans="1:31" x14ac:dyDescent="0.25">
      <c r="H12" s="72"/>
      <c r="W12" s="133">
        <v>42593</v>
      </c>
      <c r="X12" s="10" t="s">
        <v>263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42592</v>
      </c>
      <c r="X13" s="10">
        <v>22.11</v>
      </c>
      <c r="Y13" s="10">
        <v>22.32</v>
      </c>
      <c r="Z13" s="10">
        <v>21.48</v>
      </c>
      <c r="AA13" s="10">
        <v>21.57</v>
      </c>
      <c r="AB13" s="95">
        <v>8197500</v>
      </c>
      <c r="AC13" s="10">
        <v>21.27</v>
      </c>
      <c r="AD13" s="2">
        <f t="shared" si="0"/>
        <v>0.83999999999999986</v>
      </c>
      <c r="AE13" s="138">
        <f t="shared" si="1"/>
        <v>-2.4759284731774356E-2</v>
      </c>
    </row>
    <row r="14" spans="1:31" x14ac:dyDescent="0.25">
      <c r="H14" s="72"/>
      <c r="W14" s="133">
        <v>42591</v>
      </c>
      <c r="X14" s="10">
        <v>23.15</v>
      </c>
      <c r="Y14" s="10">
        <v>23.37</v>
      </c>
      <c r="Z14" s="10">
        <v>22</v>
      </c>
      <c r="AA14" s="10">
        <v>22.12</v>
      </c>
      <c r="AB14" s="95">
        <v>7150500</v>
      </c>
      <c r="AC14" s="10">
        <v>21.81</v>
      </c>
      <c r="AD14" s="2">
        <f t="shared" si="0"/>
        <v>1.370000000000001</v>
      </c>
      <c r="AE14" s="138">
        <f t="shared" si="1"/>
        <v>-4.6348928727590777E-2</v>
      </c>
    </row>
    <row r="15" spans="1:31" x14ac:dyDescent="0.25">
      <c r="H15" s="72"/>
      <c r="W15" s="133">
        <v>42590</v>
      </c>
      <c r="X15" s="10">
        <v>22.24</v>
      </c>
      <c r="Y15" s="10">
        <v>23.28</v>
      </c>
      <c r="Z15" s="10">
        <v>22.16</v>
      </c>
      <c r="AA15" s="10">
        <v>23.19</v>
      </c>
      <c r="AB15" s="95">
        <v>6405100</v>
      </c>
      <c r="AC15" s="10">
        <v>22.87</v>
      </c>
      <c r="AD15" s="2">
        <f t="shared" si="0"/>
        <v>1.120000000000001</v>
      </c>
      <c r="AE15" s="138">
        <f t="shared" si="1"/>
        <v>5.0045913682277288E-2</v>
      </c>
    </row>
    <row r="16" spans="1:31" x14ac:dyDescent="0.25">
      <c r="H16" s="72"/>
      <c r="W16" s="133">
        <v>42587</v>
      </c>
      <c r="X16" s="10">
        <v>21.28</v>
      </c>
      <c r="Y16" s="10">
        <v>22.16</v>
      </c>
      <c r="Z16" s="10">
        <v>21.05</v>
      </c>
      <c r="AA16" s="10">
        <v>22.09</v>
      </c>
      <c r="AB16" s="95">
        <v>8896600</v>
      </c>
      <c r="AC16" s="10">
        <v>21.78</v>
      </c>
      <c r="AD16" s="2">
        <f t="shared" si="0"/>
        <v>1.1099999999999994</v>
      </c>
      <c r="AE16" s="138">
        <f t="shared" si="1"/>
        <v>3.0761949834358759E-2</v>
      </c>
    </row>
    <row r="17" spans="1:31" x14ac:dyDescent="0.25">
      <c r="W17" s="133">
        <v>42586</v>
      </c>
      <c r="X17" s="10">
        <v>22.72</v>
      </c>
      <c r="Y17" s="10">
        <v>22.95</v>
      </c>
      <c r="Z17" s="10">
        <v>20.77</v>
      </c>
      <c r="AA17" s="10">
        <v>21.43</v>
      </c>
      <c r="AB17" s="95">
        <v>25849300</v>
      </c>
      <c r="AC17" s="10">
        <v>21.13</v>
      </c>
      <c r="AD17" s="2">
        <f t="shared" si="0"/>
        <v>2.1799999999999997</v>
      </c>
      <c r="AE17" s="138">
        <f t="shared" si="1"/>
        <v>-0.12613730355665842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42585</v>
      </c>
      <c r="X18" s="10">
        <v>24.49</v>
      </c>
      <c r="Y18" s="10">
        <v>25.15</v>
      </c>
      <c r="Z18" s="10">
        <v>24.29</v>
      </c>
      <c r="AA18" s="10">
        <v>24.52</v>
      </c>
      <c r="AB18" s="95">
        <v>3937200</v>
      </c>
      <c r="AC18" s="10">
        <v>24.18</v>
      </c>
      <c r="AD18" s="2">
        <f t="shared" si="0"/>
        <v>0.85999999999999943</v>
      </c>
      <c r="AE18" s="138">
        <f t="shared" si="1"/>
        <v>1.242236024844745E-3</v>
      </c>
    </row>
    <row r="19" spans="1:31" ht="15.75" thickBot="1" x14ac:dyDescent="0.3">
      <c r="A19" s="360" t="s">
        <v>204</v>
      </c>
      <c r="B19" s="361"/>
      <c r="C19" s="362">
        <f>SumByColor($A$19,C2:C17)</f>
        <v>130</v>
      </c>
      <c r="D19" s="362"/>
      <c r="E19" s="362"/>
      <c r="F19" s="363">
        <f>SumByColor($A$19,F2:F17)</f>
        <v>2978</v>
      </c>
      <c r="G19" s="362"/>
      <c r="H19" s="362">
        <f>SumByColor($A$19,H2:H17)</f>
        <v>130</v>
      </c>
      <c r="I19" s="362"/>
      <c r="J19" s="362"/>
      <c r="K19" s="363">
        <f>SumByColor($A$19,K2:K17)</f>
        <v>3083</v>
      </c>
      <c r="L19" s="362"/>
      <c r="M19" s="363">
        <f t="shared" ref="M19" si="2">SumByColor($A$19,M2:M17)</f>
        <v>0</v>
      </c>
      <c r="W19" s="133">
        <v>42584</v>
      </c>
      <c r="X19" s="10">
        <v>24.35</v>
      </c>
      <c r="Y19" s="10">
        <v>25.12</v>
      </c>
      <c r="Z19" s="10">
        <v>24.05</v>
      </c>
      <c r="AA19" s="10">
        <v>24.49</v>
      </c>
      <c r="AB19" s="95">
        <v>3772600</v>
      </c>
      <c r="AC19" s="10">
        <v>24.15</v>
      </c>
      <c r="AD19" s="2">
        <f t="shared" si="0"/>
        <v>1.0700000000000003</v>
      </c>
      <c r="AE19" s="138">
        <f t="shared" si="1"/>
        <v>2.9069767441860517E-3</v>
      </c>
    </row>
    <row r="20" spans="1:31" x14ac:dyDescent="0.25">
      <c r="W20" s="133">
        <v>42583</v>
      </c>
      <c r="X20" s="10">
        <v>24.46</v>
      </c>
      <c r="Y20" s="10">
        <v>24.78</v>
      </c>
      <c r="Z20" s="10">
        <v>23.98</v>
      </c>
      <c r="AA20" s="10">
        <v>24.42</v>
      </c>
      <c r="AB20" s="95">
        <v>3612200</v>
      </c>
      <c r="AC20" s="10">
        <v>24.08</v>
      </c>
      <c r="AD20" s="2">
        <f t="shared" si="0"/>
        <v>0.80000000000000071</v>
      </c>
      <c r="AE20" s="138">
        <f t="shared" si="1"/>
        <v>-1.0682004930156141E-2</v>
      </c>
    </row>
    <row r="21" spans="1:31" x14ac:dyDescent="0.25">
      <c r="W21" s="133">
        <v>42580</v>
      </c>
      <c r="X21" s="10">
        <v>24.55</v>
      </c>
      <c r="Y21" s="10">
        <v>24.75</v>
      </c>
      <c r="Z21" s="10">
        <v>23.75</v>
      </c>
      <c r="AA21" s="10">
        <v>24.68</v>
      </c>
      <c r="AB21" s="95">
        <v>4340600</v>
      </c>
      <c r="AC21" s="10">
        <v>24.34</v>
      </c>
      <c r="AD21" s="2">
        <f t="shared" si="0"/>
        <v>1</v>
      </c>
      <c r="AE21" s="138">
        <f t="shared" si="1"/>
        <v>8.2236842105265495E-4</v>
      </c>
    </row>
    <row r="22" spans="1:31" x14ac:dyDescent="0.25">
      <c r="W22" s="133">
        <v>42579</v>
      </c>
      <c r="X22" s="10">
        <v>25.12</v>
      </c>
      <c r="Y22" s="10">
        <v>25.18</v>
      </c>
      <c r="Z22" s="10">
        <v>24.35</v>
      </c>
      <c r="AA22" s="10">
        <v>24.66</v>
      </c>
      <c r="AB22" s="95">
        <v>3735700</v>
      </c>
      <c r="AC22" s="10">
        <v>24.32</v>
      </c>
      <c r="AD22" s="2">
        <f t="shared" si="0"/>
        <v>0.82999999999999829</v>
      </c>
      <c r="AE22" s="138">
        <f t="shared" si="1"/>
        <v>-2.9529130087789235E-2</v>
      </c>
    </row>
    <row r="23" spans="1:31" x14ac:dyDescent="0.25">
      <c r="W23" s="133">
        <v>42578</v>
      </c>
      <c r="X23" s="10">
        <v>25.86</v>
      </c>
      <c r="Y23" s="10">
        <v>26.33</v>
      </c>
      <c r="Z23" s="10">
        <v>25.19</v>
      </c>
      <c r="AA23" s="10">
        <v>25.41</v>
      </c>
      <c r="AB23" s="95">
        <v>3841800</v>
      </c>
      <c r="AC23" s="10">
        <v>25.06</v>
      </c>
      <c r="AD23" s="2">
        <f t="shared" si="0"/>
        <v>1.139999999999997</v>
      </c>
      <c r="AE23" s="138">
        <f t="shared" si="1"/>
        <v>-1.4937106918239129E-2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42577</v>
      </c>
      <c r="X24" s="10">
        <v>25.3</v>
      </c>
      <c r="Y24" s="10">
        <v>25.93</v>
      </c>
      <c r="Z24" s="10">
        <v>25.06</v>
      </c>
      <c r="AA24" s="10">
        <v>25.8</v>
      </c>
      <c r="AB24" s="95">
        <v>2880600</v>
      </c>
      <c r="AC24" s="10">
        <v>25.44</v>
      </c>
      <c r="AD24" s="2">
        <f t="shared" si="0"/>
        <v>0.87000000000000099</v>
      </c>
      <c r="AE24" s="138">
        <f t="shared" si="1"/>
        <v>1.8414731785428406E-2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42576</v>
      </c>
      <c r="X25" s="10">
        <v>25.16</v>
      </c>
      <c r="Y25" s="10">
        <v>25.42</v>
      </c>
      <c r="Z25" s="10">
        <v>24.54</v>
      </c>
      <c r="AA25" s="10">
        <v>25.33</v>
      </c>
      <c r="AB25" s="95">
        <v>5723900</v>
      </c>
      <c r="AC25" s="10">
        <v>24.98</v>
      </c>
      <c r="AD25" s="2">
        <f t="shared" si="0"/>
        <v>0.88000000000000256</v>
      </c>
      <c r="AE25" s="138">
        <f t="shared" si="1"/>
        <v>6.0410793395087037E-3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42573</v>
      </c>
      <c r="X26" s="10">
        <v>26.19</v>
      </c>
      <c r="Y26" s="10">
        <v>26.41</v>
      </c>
      <c r="Z26" s="10">
        <v>25.15</v>
      </c>
      <c r="AA26" s="10">
        <v>25.18</v>
      </c>
      <c r="AB26" s="95">
        <v>4531400</v>
      </c>
      <c r="AC26" s="10">
        <v>24.83</v>
      </c>
      <c r="AD26" s="2">
        <f t="shared" si="0"/>
        <v>1.2600000000000016</v>
      </c>
      <c r="AE26" s="138">
        <f t="shared" si="1"/>
        <v>-4.2052469135802628E-2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42572</v>
      </c>
      <c r="X27" s="10">
        <v>26.74</v>
      </c>
      <c r="Y27" s="10">
        <v>27.07</v>
      </c>
      <c r="Z27" s="10">
        <v>26.2</v>
      </c>
      <c r="AA27" s="10">
        <v>26.29</v>
      </c>
      <c r="AB27" s="95">
        <v>3071900</v>
      </c>
      <c r="AC27" s="10">
        <v>25.92</v>
      </c>
      <c r="AD27" s="2">
        <f t="shared" si="0"/>
        <v>0.87000000000000099</v>
      </c>
      <c r="AE27" s="138">
        <f t="shared" si="1"/>
        <v>-1.2195121951219412E-2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42571</v>
      </c>
      <c r="X28" s="10">
        <v>26.59</v>
      </c>
      <c r="Y28" s="10">
        <v>27.1</v>
      </c>
      <c r="Z28" s="10">
        <v>26.19</v>
      </c>
      <c r="AA28" s="10">
        <v>26.61</v>
      </c>
      <c r="AB28" s="95">
        <v>4148300</v>
      </c>
      <c r="AC28" s="10">
        <v>26.24</v>
      </c>
      <c r="AD28" s="2">
        <f t="shared" si="0"/>
        <v>0.91000000000000014</v>
      </c>
      <c r="AE28" s="138">
        <f t="shared" si="1"/>
        <v>2.2918258212374365E-3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42570</v>
      </c>
      <c r="X29" s="10">
        <v>27.2</v>
      </c>
      <c r="Y29" s="10">
        <v>27.28</v>
      </c>
      <c r="Z29" s="10">
        <v>26.35</v>
      </c>
      <c r="AA29" s="10">
        <v>26.55</v>
      </c>
      <c r="AB29" s="95">
        <v>5392000</v>
      </c>
      <c r="AC29" s="10">
        <v>26.18</v>
      </c>
      <c r="AD29" s="2">
        <f t="shared" si="0"/>
        <v>0.92999999999999972</v>
      </c>
      <c r="AE29" s="138">
        <f t="shared" si="1"/>
        <v>-4.1025641025641102E-2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42569</v>
      </c>
      <c r="X30" s="10">
        <v>27.34</v>
      </c>
      <c r="Y30" s="10">
        <v>27.82</v>
      </c>
      <c r="Z30" s="10">
        <v>26.41</v>
      </c>
      <c r="AA30" s="10">
        <v>27.69</v>
      </c>
      <c r="AB30" s="95">
        <v>3904700</v>
      </c>
      <c r="AC30" s="10">
        <v>27.3</v>
      </c>
      <c r="AD30" s="2">
        <f t="shared" si="0"/>
        <v>1.4100000000000001</v>
      </c>
      <c r="AE30" s="138">
        <f t="shared" si="1"/>
        <v>8.8691796008870671E-3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42566</v>
      </c>
      <c r="X31" s="10">
        <v>27.99</v>
      </c>
      <c r="Y31" s="10">
        <v>28.02</v>
      </c>
      <c r="Z31" s="10">
        <v>27.03</v>
      </c>
      <c r="AA31" s="10">
        <v>27.44</v>
      </c>
      <c r="AB31" s="95">
        <v>4032100</v>
      </c>
      <c r="AC31" s="10">
        <v>27.06</v>
      </c>
      <c r="AD31" s="2">
        <f t="shared" si="0"/>
        <v>0.98999999999999844</v>
      </c>
      <c r="AE31" s="138">
        <f t="shared" si="1"/>
        <v>-1.5283842794759916E-2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42565</v>
      </c>
      <c r="X32" s="10">
        <v>27.46</v>
      </c>
      <c r="Y32" s="10">
        <v>28.32</v>
      </c>
      <c r="Z32" s="10">
        <v>27.33</v>
      </c>
      <c r="AA32" s="10">
        <v>27.87</v>
      </c>
      <c r="AB32" s="95">
        <v>7391400</v>
      </c>
      <c r="AC32" s="10">
        <v>27.48</v>
      </c>
      <c r="AD32" s="2">
        <f t="shared" si="0"/>
        <v>0.99000000000000199</v>
      </c>
      <c r="AE32" s="138">
        <f t="shared" si="1"/>
        <v>3.5028248587570587E-2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42564</v>
      </c>
      <c r="X33" s="10">
        <v>26.07</v>
      </c>
      <c r="Y33" s="10">
        <v>27.01</v>
      </c>
      <c r="Z33" s="10">
        <v>25.63</v>
      </c>
      <c r="AA33" s="10">
        <v>26.92</v>
      </c>
      <c r="AB33" s="95">
        <v>4906700</v>
      </c>
      <c r="AC33" s="10">
        <v>26.55</v>
      </c>
      <c r="AD33" s="2">
        <f t="shared" si="0"/>
        <v>1.3800000000000026</v>
      </c>
      <c r="AE33" s="138">
        <f t="shared" si="1"/>
        <v>3.428126217374361E-2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42563</v>
      </c>
      <c r="X34" s="10">
        <v>25</v>
      </c>
      <c r="Y34" s="10">
        <v>26.49</v>
      </c>
      <c r="Z34" s="10">
        <v>24.88</v>
      </c>
      <c r="AA34" s="10">
        <v>26.03</v>
      </c>
      <c r="AB34" s="95">
        <v>4371900</v>
      </c>
      <c r="AC34" s="10">
        <v>25.67</v>
      </c>
      <c r="AD34" s="2">
        <f t="shared" si="0"/>
        <v>1.6099999999999994</v>
      </c>
      <c r="AE34" s="138">
        <f t="shared" si="1"/>
        <v>5.5076037813399203E-2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42562</v>
      </c>
      <c r="X35" s="10">
        <v>25.02</v>
      </c>
      <c r="Y35" s="10">
        <v>25.36</v>
      </c>
      <c r="Z35" s="10">
        <v>24.62</v>
      </c>
      <c r="AA35" s="10">
        <v>24.67</v>
      </c>
      <c r="AB35" s="95">
        <v>3699000</v>
      </c>
      <c r="AC35" s="10">
        <v>24.33</v>
      </c>
      <c r="AD35" s="2">
        <f t="shared" si="0"/>
        <v>0.73999999999999844</v>
      </c>
      <c r="AE35" s="138">
        <f t="shared" si="1"/>
        <v>-7.3439412484701538E-3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42559</v>
      </c>
      <c r="X36" s="10">
        <v>24.15</v>
      </c>
      <c r="Y36" s="10">
        <v>24.97</v>
      </c>
      <c r="Z36" s="10">
        <v>23.85</v>
      </c>
      <c r="AA36" s="10">
        <v>24.86</v>
      </c>
      <c r="AB36" s="95">
        <v>3839000</v>
      </c>
      <c r="AC36" s="10">
        <v>24.51</v>
      </c>
      <c r="AD36" s="2">
        <f t="shared" si="0"/>
        <v>1.1199999999999974</v>
      </c>
      <c r="AE36" s="138">
        <f t="shared" si="1"/>
        <v>5.7833405265429461E-2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42558</v>
      </c>
      <c r="X37" s="10">
        <v>23.91</v>
      </c>
      <c r="Y37" s="10">
        <v>24.32</v>
      </c>
      <c r="Z37" s="10">
        <v>23.38</v>
      </c>
      <c r="AA37" s="10">
        <v>23.5</v>
      </c>
      <c r="AB37" s="95">
        <v>3029800</v>
      </c>
      <c r="AC37" s="10">
        <v>23.17</v>
      </c>
      <c r="AD37" s="2">
        <f t="shared" si="0"/>
        <v>0.94000000000000128</v>
      </c>
      <c r="AE37" s="138">
        <f t="shared" si="1"/>
        <v>-1.0674637062339842E-2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42557</v>
      </c>
      <c r="X38" s="10">
        <v>23.32</v>
      </c>
      <c r="Y38" s="10">
        <v>23.78</v>
      </c>
      <c r="Z38" s="10">
        <v>22.75</v>
      </c>
      <c r="AA38" s="10">
        <v>23.75</v>
      </c>
      <c r="AB38" s="95">
        <v>4798300</v>
      </c>
      <c r="AC38" s="10">
        <v>23.42</v>
      </c>
      <c r="AD38" s="2">
        <f t="shared" si="0"/>
        <v>1.0300000000000011</v>
      </c>
      <c r="AE38" s="138">
        <f t="shared" si="1"/>
        <v>9.0478242137010945E-3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42556</v>
      </c>
      <c r="X39" s="10">
        <v>24.09</v>
      </c>
      <c r="Y39" s="10">
        <v>24.24</v>
      </c>
      <c r="Z39" s="10">
        <v>23.25</v>
      </c>
      <c r="AA39" s="10">
        <v>23.54</v>
      </c>
      <c r="AB39" s="95">
        <v>3709800</v>
      </c>
      <c r="AC39" s="10">
        <v>23.21</v>
      </c>
      <c r="AD39" s="2">
        <f t="shared" si="0"/>
        <v>0.98999999999999844</v>
      </c>
      <c r="AE39" s="138">
        <f t="shared" si="1"/>
        <v>-2.8056951423785503E-2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5" t="s">
        <v>78</v>
      </c>
      <c r="P40" s="535"/>
      <c r="W40" s="133">
        <v>42552</v>
      </c>
      <c r="X40" s="10">
        <v>23.92</v>
      </c>
      <c r="Y40" s="10">
        <v>24.42</v>
      </c>
      <c r="Z40" s="10">
        <v>23.76</v>
      </c>
      <c r="AA40" s="10">
        <v>24.22</v>
      </c>
      <c r="AB40" s="95">
        <v>4839400</v>
      </c>
      <c r="AC40" s="10">
        <v>23.88</v>
      </c>
      <c r="AD40" s="2">
        <f t="shared" si="0"/>
        <v>0.66000000000000014</v>
      </c>
      <c r="AE40" s="138">
        <f t="shared" si="1"/>
        <v>5.050505050504972E-3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26.444000000000003</v>
      </c>
      <c r="Q41" s="2"/>
      <c r="W41" s="133">
        <v>42551</v>
      </c>
      <c r="X41" s="10">
        <v>24.36</v>
      </c>
      <c r="Y41" s="10">
        <v>24.84</v>
      </c>
      <c r="Z41" s="10">
        <v>23.63</v>
      </c>
      <c r="AA41" s="10">
        <v>24.1</v>
      </c>
      <c r="AB41" s="95">
        <v>4517800</v>
      </c>
      <c r="AC41" s="10">
        <v>23.76</v>
      </c>
      <c r="AD41" s="2">
        <f t="shared" si="0"/>
        <v>1.2100000000000009</v>
      </c>
      <c r="AE41" s="138">
        <f t="shared" si="1"/>
        <v>-9.9999999999998979E-3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26.203600000000002</v>
      </c>
      <c r="Q42" s="2"/>
      <c r="T42" s="91" t="s">
        <v>113</v>
      </c>
      <c r="W42" s="133">
        <v>42550</v>
      </c>
      <c r="X42" s="10">
        <v>24.47</v>
      </c>
      <c r="Y42" s="10">
        <v>24.63</v>
      </c>
      <c r="Z42" s="10">
        <v>23.96</v>
      </c>
      <c r="AA42" s="10">
        <v>24.34</v>
      </c>
      <c r="AB42" s="95">
        <v>5769300</v>
      </c>
      <c r="AC42" s="10">
        <v>24</v>
      </c>
      <c r="AD42" s="2">
        <f t="shared" si="0"/>
        <v>0.66999999999999815</v>
      </c>
      <c r="AE42" s="138">
        <f t="shared" si="1"/>
        <v>1.1378002528444897E-2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25.963200000000001</v>
      </c>
      <c r="Q43" s="2"/>
      <c r="T43" s="128" t="s">
        <v>98</v>
      </c>
      <c r="U43" s="129">
        <v>24.83</v>
      </c>
      <c r="W43" s="133">
        <v>42549</v>
      </c>
      <c r="X43" s="10">
        <v>23.86</v>
      </c>
      <c r="Y43" s="10">
        <v>24.48</v>
      </c>
      <c r="Z43" s="10">
        <v>23.6</v>
      </c>
      <c r="AA43" s="10">
        <v>24.06</v>
      </c>
      <c r="AB43" s="95">
        <v>6589500</v>
      </c>
      <c r="AC43" s="10">
        <v>23.73</v>
      </c>
      <c r="AD43" s="2">
        <f t="shared" si="0"/>
        <v>0.87999999999999901</v>
      </c>
      <c r="AE43" s="138">
        <f t="shared" si="1"/>
        <v>2.505399568034572E-2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25.722799999999999</v>
      </c>
      <c r="Q44" s="2"/>
      <c r="T44" s="93" t="s">
        <v>99</v>
      </c>
      <c r="U44" s="130">
        <v>24.93</v>
      </c>
      <c r="W44" s="133">
        <v>42548</v>
      </c>
      <c r="X44" s="10">
        <v>24.94</v>
      </c>
      <c r="Y44" s="10">
        <v>24.97</v>
      </c>
      <c r="Z44" s="10">
        <v>23.15</v>
      </c>
      <c r="AA44" s="10">
        <v>23.48</v>
      </c>
      <c r="AB44" s="95">
        <v>7575800</v>
      </c>
      <c r="AC44" s="10">
        <v>23.15</v>
      </c>
      <c r="AD44" s="2">
        <f t="shared" si="0"/>
        <v>1.8200000000000003</v>
      </c>
      <c r="AE44" s="138">
        <f t="shared" si="1"/>
        <v>-7.6953748006379552E-2</v>
      </c>
    </row>
    <row r="45" spans="2:31" x14ac:dyDescent="0.25">
      <c r="B45" s="193">
        <v>42593</v>
      </c>
      <c r="C45" s="520">
        <v>300</v>
      </c>
      <c r="D45" s="524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25.482400000000002</v>
      </c>
      <c r="Q45" s="2"/>
      <c r="T45" s="93" t="s">
        <v>100</v>
      </c>
      <c r="U45" s="130" t="s">
        <v>537</v>
      </c>
      <c r="W45" s="133">
        <v>42545</v>
      </c>
      <c r="X45" s="10">
        <v>26.54</v>
      </c>
      <c r="Y45" s="10">
        <v>26.62</v>
      </c>
      <c r="Z45" s="10">
        <v>24.76</v>
      </c>
      <c r="AA45" s="10">
        <v>25.43</v>
      </c>
      <c r="AB45" s="95">
        <v>11112200</v>
      </c>
      <c r="AC45" s="10">
        <v>25.08</v>
      </c>
      <c r="AD45" s="2">
        <f t="shared" si="0"/>
        <v>1.8599999999999994</v>
      </c>
      <c r="AE45" s="138">
        <f t="shared" si="1"/>
        <v>-7.9970652971386724E-2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25.242000000000001</v>
      </c>
      <c r="Q46" s="2"/>
      <c r="T46" s="93" t="s">
        <v>101</v>
      </c>
      <c r="U46" s="130" t="s">
        <v>538</v>
      </c>
      <c r="W46" s="133">
        <v>42544</v>
      </c>
      <c r="X46" s="10">
        <v>27.19</v>
      </c>
      <c r="Y46" s="10">
        <v>27.66</v>
      </c>
      <c r="Z46" s="10">
        <v>26.83</v>
      </c>
      <c r="AA46" s="10">
        <v>27.64</v>
      </c>
      <c r="AB46" s="95">
        <v>4862500</v>
      </c>
      <c r="AC46" s="10">
        <v>27.26</v>
      </c>
      <c r="AD46" s="2">
        <f t="shared" si="0"/>
        <v>0.83000000000000185</v>
      </c>
      <c r="AE46" s="138">
        <f t="shared" si="1"/>
        <v>2.3273273273273221E-2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25.0016</v>
      </c>
      <c r="Q47" s="2"/>
      <c r="T47" s="93" t="s">
        <v>102</v>
      </c>
      <c r="U47" s="130">
        <v>25.2</v>
      </c>
      <c r="W47" s="133">
        <v>42543</v>
      </c>
      <c r="X47" s="10">
        <v>27.5</v>
      </c>
      <c r="Y47" s="10">
        <v>27.77</v>
      </c>
      <c r="Z47" s="10">
        <v>26.97</v>
      </c>
      <c r="AA47" s="10">
        <v>27.02</v>
      </c>
      <c r="AB47" s="95">
        <v>3785900</v>
      </c>
      <c r="AC47" s="10">
        <v>26.64</v>
      </c>
      <c r="AD47" s="2">
        <f t="shared" si="0"/>
        <v>0.80000000000000071</v>
      </c>
      <c r="AE47" s="138">
        <f t="shared" si="1"/>
        <v>-1.0768659487560339E-2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24.761199999999999</v>
      </c>
      <c r="Q48" s="2"/>
      <c r="T48" s="93" t="s">
        <v>103</v>
      </c>
      <c r="U48" s="130">
        <v>0.85068200000000005</v>
      </c>
      <c r="W48" s="133">
        <v>42542</v>
      </c>
      <c r="X48" s="10">
        <v>27.87</v>
      </c>
      <c r="Y48" s="10">
        <v>28.05</v>
      </c>
      <c r="Z48" s="10">
        <v>27.15</v>
      </c>
      <c r="AA48" s="10">
        <v>27.31</v>
      </c>
      <c r="AB48" s="95">
        <v>4617900</v>
      </c>
      <c r="AC48" s="10">
        <v>26.93</v>
      </c>
      <c r="AD48" s="2">
        <f t="shared" si="0"/>
        <v>0.90000000000000213</v>
      </c>
      <c r="AE48" s="138">
        <f t="shared" si="1"/>
        <v>-2.3213638012332227E-2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24.520800000000001</v>
      </c>
      <c r="Q49" s="2"/>
      <c r="T49" s="93" t="s">
        <v>123</v>
      </c>
      <c r="U49" s="130" t="s">
        <v>344</v>
      </c>
      <c r="W49" s="133">
        <v>42541</v>
      </c>
      <c r="X49" s="10">
        <v>28.54</v>
      </c>
      <c r="Y49" s="10">
        <v>29.25</v>
      </c>
      <c r="Z49" s="10">
        <v>27.91</v>
      </c>
      <c r="AA49" s="10">
        <v>27.96</v>
      </c>
      <c r="AB49" s="95">
        <v>3462700</v>
      </c>
      <c r="AC49" s="10">
        <v>27.57</v>
      </c>
      <c r="AD49" s="2">
        <f t="shared" si="0"/>
        <v>1.3399999999999999</v>
      </c>
      <c r="AE49" s="138">
        <f t="shared" si="1"/>
        <v>-1.3948497854077258E-2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24.2804</v>
      </c>
      <c r="Q50" s="2"/>
      <c r="T50" s="93"/>
      <c r="U50" s="130"/>
      <c r="W50" s="133">
        <v>42538</v>
      </c>
      <c r="X50" s="10">
        <v>27.65</v>
      </c>
      <c r="Y50" s="10">
        <v>28.73</v>
      </c>
      <c r="Z50" s="10">
        <v>27.63</v>
      </c>
      <c r="AA50" s="10">
        <v>28.35</v>
      </c>
      <c r="AB50" s="95">
        <v>6613200</v>
      </c>
      <c r="AC50" s="10">
        <v>27.96</v>
      </c>
      <c r="AD50" s="2">
        <f t="shared" si="0"/>
        <v>1.1000000000000014</v>
      </c>
      <c r="AE50" s="138">
        <f t="shared" si="1"/>
        <v>2.7563395810363822E-2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24.04</v>
      </c>
      <c r="Q51" s="2"/>
      <c r="T51" s="93" t="s">
        <v>105</v>
      </c>
      <c r="U51" s="130" t="s">
        <v>539</v>
      </c>
      <c r="W51" s="133">
        <v>42537</v>
      </c>
      <c r="X51" s="10">
        <v>27.4</v>
      </c>
      <c r="Y51" s="10">
        <v>27.8</v>
      </c>
      <c r="Z51" s="10">
        <v>26.55</v>
      </c>
      <c r="AA51" s="10">
        <v>27.59</v>
      </c>
      <c r="AB51" s="95">
        <v>4312900</v>
      </c>
      <c r="AC51" s="10">
        <v>27.21</v>
      </c>
      <c r="AD51" s="2">
        <f t="shared" si="0"/>
        <v>1.25</v>
      </c>
      <c r="AE51" s="138">
        <f t="shared" si="1"/>
        <v>-3.296703296703285E-3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23.799599999999998</v>
      </c>
      <c r="Q52" s="2"/>
      <c r="T52" s="93" t="s">
        <v>106</v>
      </c>
      <c r="U52" s="130" t="s">
        <v>417</v>
      </c>
      <c r="W52" s="133">
        <v>42536</v>
      </c>
      <c r="X52" s="10">
        <v>27.82</v>
      </c>
      <c r="Y52" s="10">
        <v>28.33</v>
      </c>
      <c r="Z52" s="10">
        <v>27.25</v>
      </c>
      <c r="AA52" s="10">
        <v>27.68</v>
      </c>
      <c r="AB52" s="95">
        <v>4606300</v>
      </c>
      <c r="AC52" s="10">
        <v>27.3</v>
      </c>
      <c r="AD52" s="2">
        <f t="shared" si="0"/>
        <v>1.0799999999999983</v>
      </c>
      <c r="AE52" s="138">
        <f t="shared" si="1"/>
        <v>-1.4630577907827069E-3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42"/>
        <v>23.559199999999997</v>
      </c>
      <c r="Q53" s="2"/>
      <c r="T53" s="93" t="s">
        <v>107</v>
      </c>
      <c r="U53" s="131">
        <v>6321226</v>
      </c>
      <c r="W53" s="133">
        <v>42535</v>
      </c>
      <c r="X53" s="10">
        <v>28.58</v>
      </c>
      <c r="Y53" s="10">
        <v>29.17</v>
      </c>
      <c r="Z53" s="10">
        <v>27.43</v>
      </c>
      <c r="AA53" s="10">
        <v>27.73</v>
      </c>
      <c r="AB53" s="95">
        <v>4068000</v>
      </c>
      <c r="AC53" s="10">
        <v>27.34</v>
      </c>
      <c r="AD53" s="2">
        <f t="shared" si="0"/>
        <v>1.740000000000002</v>
      </c>
      <c r="AE53" s="138">
        <f t="shared" si="1"/>
        <v>-3.1183557760453562E-2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42"/>
        <v>23.3188</v>
      </c>
      <c r="T54" s="93" t="s">
        <v>110</v>
      </c>
      <c r="U54" s="131">
        <v>5603200</v>
      </c>
      <c r="W54" s="133">
        <v>42534</v>
      </c>
      <c r="X54" s="10">
        <v>29.43</v>
      </c>
      <c r="Y54" s="10">
        <v>30.07</v>
      </c>
      <c r="Z54" s="10">
        <v>28.58</v>
      </c>
      <c r="AA54" s="10">
        <v>28.62</v>
      </c>
      <c r="AB54" s="95">
        <v>3452300</v>
      </c>
      <c r="AC54" s="10">
        <v>28.22</v>
      </c>
      <c r="AD54" s="2">
        <f t="shared" si="0"/>
        <v>1.490000000000002</v>
      </c>
      <c r="AE54" s="138">
        <f t="shared" si="1"/>
        <v>-2.0818875780707846E-2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42"/>
        <v>23.078399999999998</v>
      </c>
      <c r="T55" s="93" t="s">
        <v>108</v>
      </c>
      <c r="U55" s="130" t="s">
        <v>540</v>
      </c>
      <c r="W55" s="133">
        <v>42531</v>
      </c>
      <c r="X55" s="10">
        <v>29.4</v>
      </c>
      <c r="Y55" s="10">
        <v>30.03</v>
      </c>
      <c r="Z55" s="10">
        <v>28.83</v>
      </c>
      <c r="AA55" s="10">
        <v>29.23</v>
      </c>
      <c r="AB55" s="95">
        <v>4878800</v>
      </c>
      <c r="AC55" s="10">
        <v>28.82</v>
      </c>
      <c r="AD55" s="2">
        <f t="shared" si="0"/>
        <v>1.2000000000000028</v>
      </c>
      <c r="AE55" s="138">
        <f t="shared" si="1"/>
        <v>-1.9060585432266852E-2</v>
      </c>
    </row>
    <row r="56" spans="2:31" x14ac:dyDescent="0.25">
      <c r="O56" s="83">
        <v>0.95</v>
      </c>
      <c r="P56" s="83">
        <f t="shared" si="42"/>
        <v>22.837999999999997</v>
      </c>
      <c r="T56" s="93" t="s">
        <v>111</v>
      </c>
      <c r="U56" s="130">
        <v>29.61</v>
      </c>
      <c r="W56" s="133">
        <v>42530</v>
      </c>
      <c r="X56" s="10">
        <v>30.59</v>
      </c>
      <c r="Y56" s="10">
        <v>30.59</v>
      </c>
      <c r="Z56" s="10">
        <v>29.47</v>
      </c>
      <c r="AA56" s="10">
        <v>29.79</v>
      </c>
      <c r="AB56" s="95">
        <v>4885900</v>
      </c>
      <c r="AC56" s="10">
        <v>29.38</v>
      </c>
      <c r="AD56" s="2">
        <f t="shared" si="0"/>
        <v>1.120000000000001</v>
      </c>
      <c r="AE56" s="138">
        <f t="shared" si="1"/>
        <v>-4.1435562805872794E-2</v>
      </c>
    </row>
    <row r="57" spans="2:31" x14ac:dyDescent="0.25">
      <c r="O57" s="83">
        <v>0.94</v>
      </c>
      <c r="P57" s="83">
        <f t="shared" si="42"/>
        <v>22.597599999999996</v>
      </c>
      <c r="T57" s="93" t="s">
        <v>112</v>
      </c>
      <c r="U57" s="130">
        <v>0.81</v>
      </c>
      <c r="W57" s="133">
        <v>42529</v>
      </c>
      <c r="X57" s="10">
        <v>31.97</v>
      </c>
      <c r="Y57" s="10">
        <v>32.08</v>
      </c>
      <c r="Z57" s="10">
        <v>30.58</v>
      </c>
      <c r="AA57" s="10">
        <v>31.08</v>
      </c>
      <c r="AB57" s="95">
        <v>3669000</v>
      </c>
      <c r="AC57" s="10">
        <v>30.65</v>
      </c>
      <c r="AD57" s="2">
        <f t="shared" si="0"/>
        <v>1.5</v>
      </c>
      <c r="AE57" s="138">
        <f t="shared" si="1"/>
        <v>-2.7601522842639614E-2</v>
      </c>
    </row>
    <row r="58" spans="2:31" x14ac:dyDescent="0.25">
      <c r="O58" s="83">
        <v>0.93</v>
      </c>
      <c r="P58" s="83">
        <f t="shared" si="42"/>
        <v>22.357199999999999</v>
      </c>
      <c r="T58" s="93" t="s">
        <v>109</v>
      </c>
      <c r="U58" s="130" t="s">
        <v>384</v>
      </c>
      <c r="W58" s="133">
        <v>42528</v>
      </c>
      <c r="X58" s="10">
        <v>31.39</v>
      </c>
      <c r="Y58" s="10">
        <v>32.42</v>
      </c>
      <c r="Z58" s="10">
        <v>31.3</v>
      </c>
      <c r="AA58" s="10">
        <v>31.96</v>
      </c>
      <c r="AB58" s="95">
        <v>6240700</v>
      </c>
      <c r="AC58" s="10">
        <v>31.52</v>
      </c>
      <c r="AD58" s="2">
        <f t="shared" si="0"/>
        <v>1.120000000000001</v>
      </c>
      <c r="AE58" s="138">
        <f t="shared" si="1"/>
        <v>2.6041666666666741E-2</v>
      </c>
    </row>
    <row r="59" spans="2:31" x14ac:dyDescent="0.25">
      <c r="O59" s="83">
        <v>0.92</v>
      </c>
      <c r="P59" s="83">
        <f t="shared" si="42"/>
        <v>22.116800000000001</v>
      </c>
      <c r="W59" s="133">
        <v>42527</v>
      </c>
      <c r="X59" s="10">
        <v>29.45</v>
      </c>
      <c r="Y59" s="10">
        <v>31.16</v>
      </c>
      <c r="Z59" s="10">
        <v>29.2</v>
      </c>
      <c r="AA59" s="10">
        <v>31.15</v>
      </c>
      <c r="AB59" s="95">
        <v>7725100</v>
      </c>
      <c r="AC59" s="10">
        <v>30.72</v>
      </c>
      <c r="AD59" s="2">
        <f t="shared" si="0"/>
        <v>1.9600000000000009</v>
      </c>
      <c r="AE59" s="138">
        <f t="shared" si="1"/>
        <v>8.8975540588443813E-2</v>
      </c>
    </row>
    <row r="60" spans="2:31" x14ac:dyDescent="0.25">
      <c r="O60" s="83">
        <v>0.91</v>
      </c>
      <c r="P60" s="83">
        <f t="shared" si="42"/>
        <v>21.8764</v>
      </c>
      <c r="W60" s="133">
        <v>42524</v>
      </c>
      <c r="X60" s="10">
        <v>27.93</v>
      </c>
      <c r="Y60" s="10">
        <v>28.7</v>
      </c>
      <c r="Z60" s="10">
        <v>27.61</v>
      </c>
      <c r="AA60" s="10">
        <v>28.61</v>
      </c>
      <c r="AB60" s="95">
        <v>4223300</v>
      </c>
      <c r="AC60" s="10">
        <v>28.21</v>
      </c>
      <c r="AD60" s="2">
        <f t="shared" si="0"/>
        <v>1.0899999999999999</v>
      </c>
      <c r="AE60" s="138">
        <f t="shared" si="1"/>
        <v>2.2471910112359605E-2</v>
      </c>
    </row>
    <row r="61" spans="2:31" x14ac:dyDescent="0.25">
      <c r="O61" s="83">
        <v>0.9</v>
      </c>
      <c r="P61" s="83">
        <f t="shared" si="42"/>
        <v>21.635999999999999</v>
      </c>
      <c r="W61" s="133">
        <v>42523</v>
      </c>
      <c r="X61" s="10">
        <v>27.64</v>
      </c>
      <c r="Y61" s="10">
        <v>28.27</v>
      </c>
      <c r="Z61" s="10">
        <v>27.5</v>
      </c>
      <c r="AA61" s="10">
        <v>27.98</v>
      </c>
      <c r="AB61" s="95">
        <v>6262400</v>
      </c>
      <c r="AC61" s="10">
        <v>27.59</v>
      </c>
      <c r="AD61" s="2">
        <f t="shared" si="0"/>
        <v>0.76999999999999957</v>
      </c>
      <c r="AE61" s="138">
        <f t="shared" si="1"/>
        <v>1.2105649303008059E-2</v>
      </c>
    </row>
    <row r="62" spans="2:31" x14ac:dyDescent="0.25">
      <c r="W62" s="133">
        <v>42522</v>
      </c>
      <c r="X62" s="10">
        <v>27.66</v>
      </c>
      <c r="Y62" s="10">
        <v>27.73</v>
      </c>
      <c r="Z62" s="10">
        <v>27</v>
      </c>
      <c r="AA62" s="10">
        <v>27.64</v>
      </c>
      <c r="AB62" s="95">
        <v>3921000</v>
      </c>
      <c r="AC62" s="10">
        <v>27.26</v>
      </c>
      <c r="AD62" s="2">
        <f t="shared" si="0"/>
        <v>0.73000000000000043</v>
      </c>
      <c r="AE62" s="138">
        <f t="shared" si="1"/>
        <v>-7.3313782991202281E-4</v>
      </c>
    </row>
    <row r="63" spans="2:31" x14ac:dyDescent="0.25">
      <c r="W63" s="133">
        <v>42521</v>
      </c>
      <c r="X63" s="10">
        <v>27.7</v>
      </c>
      <c r="Y63" s="10">
        <v>27.74</v>
      </c>
      <c r="Z63" s="10">
        <v>27</v>
      </c>
      <c r="AA63" s="10">
        <v>27.66</v>
      </c>
      <c r="AB63" s="95">
        <v>6090900</v>
      </c>
      <c r="AC63" s="10">
        <v>27.28</v>
      </c>
      <c r="AD63" s="2">
        <f t="shared" si="0"/>
        <v>0.73999999999999844</v>
      </c>
      <c r="AE63" s="138">
        <f t="shared" si="1"/>
        <v>-1.0984987184180506E-3</v>
      </c>
    </row>
    <row r="64" spans="2:31" x14ac:dyDescent="0.25">
      <c r="W64" s="133">
        <v>42517</v>
      </c>
      <c r="X64" s="10">
        <v>28.9</v>
      </c>
      <c r="Y64" s="10">
        <v>29.36</v>
      </c>
      <c r="Z64" s="10">
        <v>27.52</v>
      </c>
      <c r="AA64" s="10">
        <v>27.7</v>
      </c>
      <c r="AB64" s="95">
        <v>6984100</v>
      </c>
      <c r="AC64" s="10">
        <v>27.31</v>
      </c>
      <c r="AD64" s="2">
        <f t="shared" si="0"/>
        <v>1.8399999999999999</v>
      </c>
      <c r="AE64" s="138">
        <f t="shared" si="1"/>
        <v>-4.3767507002801076E-2</v>
      </c>
    </row>
    <row r="65" spans="23:31" x14ac:dyDescent="0.25">
      <c r="W65" s="133">
        <v>42516</v>
      </c>
      <c r="X65" s="10">
        <v>29.96</v>
      </c>
      <c r="Y65" s="10">
        <v>30.15</v>
      </c>
      <c r="Z65" s="10">
        <v>28.86</v>
      </c>
      <c r="AA65" s="10">
        <v>28.96</v>
      </c>
      <c r="AB65" s="95">
        <v>6052400</v>
      </c>
      <c r="AC65" s="10">
        <v>28.56</v>
      </c>
      <c r="AD65" s="2">
        <f t="shared" si="0"/>
        <v>1.2899999999999991</v>
      </c>
      <c r="AE65" s="138">
        <f t="shared" si="1"/>
        <v>-1.8893850910340126E-2</v>
      </c>
    </row>
    <row r="66" spans="23:31" x14ac:dyDescent="0.25">
      <c r="W66" s="133">
        <v>42515</v>
      </c>
      <c r="X66" s="10">
        <v>28</v>
      </c>
      <c r="Y66" s="10">
        <v>29.7</v>
      </c>
      <c r="Z66" s="10">
        <v>27.9</v>
      </c>
      <c r="AA66" s="10">
        <v>29.52</v>
      </c>
      <c r="AB66" s="95">
        <v>7885300</v>
      </c>
      <c r="AC66" s="10">
        <v>29.11</v>
      </c>
      <c r="AD66" s="2">
        <f t="shared" si="0"/>
        <v>1.8000000000000007</v>
      </c>
      <c r="AE66" s="138">
        <f t="shared" si="1"/>
        <v>6.9041498347410801E-2</v>
      </c>
    </row>
    <row r="67" spans="23:31" x14ac:dyDescent="0.25">
      <c r="W67" s="133">
        <v>42514</v>
      </c>
      <c r="X67" s="10">
        <v>29.51</v>
      </c>
      <c r="Y67" s="10">
        <v>29.6</v>
      </c>
      <c r="Z67" s="10">
        <v>27.38</v>
      </c>
      <c r="AA67" s="10">
        <v>27.61</v>
      </c>
      <c r="AB67" s="95">
        <v>12225600</v>
      </c>
      <c r="AC67" s="10">
        <v>27.23</v>
      </c>
      <c r="AD67" s="2">
        <f>Y67-Z67</f>
        <v>2.2200000000000024</v>
      </c>
      <c r="AE67" s="138" t="e">
        <f>AC67/#REF!-1</f>
        <v>#REF!</v>
      </c>
    </row>
    <row r="68" spans="23:31" x14ac:dyDescent="0.25">
      <c r="W68" s="133">
        <v>42513</v>
      </c>
      <c r="X68" s="10">
        <v>30.06</v>
      </c>
      <c r="Y68" s="10">
        <v>30.76</v>
      </c>
      <c r="Z68" s="10">
        <v>29.5</v>
      </c>
      <c r="AA68" s="10">
        <v>29.85</v>
      </c>
      <c r="AB68" s="95">
        <v>8479100</v>
      </c>
      <c r="AC68" s="10">
        <v>29.43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55 H33:H55">
    <cfRule type="expression" dxfId="583" priority="13">
      <formula>F33&gt;0</formula>
    </cfRule>
    <cfRule type="expression" dxfId="582" priority="14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42606</v>
      </c>
      <c r="X2" s="10">
        <v>36.6</v>
      </c>
      <c r="Y2" s="10">
        <v>36.840000000000003</v>
      </c>
      <c r="Z2" s="10">
        <v>36.42</v>
      </c>
      <c r="AA2" s="10">
        <v>36.659999999999997</v>
      </c>
      <c r="AB2" s="95">
        <v>4471500</v>
      </c>
      <c r="AC2" s="10">
        <v>36.659999999999997</v>
      </c>
      <c r="AD2">
        <f>Y2-Z2</f>
        <v>0.42000000000000171</v>
      </c>
      <c r="AE2" s="138">
        <f>AC2/AC3-1</f>
        <v>-8.1766148814399475E-4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42605</v>
      </c>
      <c r="X3" s="10">
        <v>36.46</v>
      </c>
      <c r="Y3" s="10">
        <v>36.799999999999997</v>
      </c>
      <c r="Z3" s="10">
        <v>36.450000000000003</v>
      </c>
      <c r="AA3" s="10">
        <v>36.69</v>
      </c>
      <c r="AB3" s="95">
        <v>4564500</v>
      </c>
      <c r="AC3" s="10">
        <v>36.69</v>
      </c>
      <c r="AD3">
        <f t="shared" ref="AD3:AD4" si="1">Y3-Z3</f>
        <v>0.34999999999999432</v>
      </c>
      <c r="AE3" s="138">
        <f t="shared" ref="AE3:AE4" si="2">AC3/AC4-1</f>
        <v>1.1300992282249123E-2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36.659999999999997</v>
      </c>
      <c r="T4" s="163"/>
      <c r="U4" s="1"/>
      <c r="W4" s="133">
        <v>42604</v>
      </c>
      <c r="X4" s="10">
        <v>36.340000000000003</v>
      </c>
      <c r="Y4" s="10">
        <v>36.54</v>
      </c>
      <c r="Z4" s="10">
        <v>36.130000000000003</v>
      </c>
      <c r="AA4" s="10">
        <v>36.28</v>
      </c>
      <c r="AB4" s="95">
        <v>4829500</v>
      </c>
      <c r="AC4" s="10">
        <v>36.28</v>
      </c>
      <c r="AD4">
        <f t="shared" si="1"/>
        <v>0.40999999999999659</v>
      </c>
      <c r="AE4" s="138">
        <f t="shared" si="2"/>
        <v>-1.9257221458046647E-3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7331.9999999999991</v>
      </c>
      <c r="W5" s="133">
        <v>42601</v>
      </c>
      <c r="X5" s="10">
        <v>36.71</v>
      </c>
      <c r="Y5" s="10">
        <v>36.799999999999997</v>
      </c>
      <c r="Z5" s="10">
        <v>36.299999999999997</v>
      </c>
      <c r="AA5" s="10">
        <v>36.35</v>
      </c>
      <c r="AB5" s="95">
        <v>7517200</v>
      </c>
      <c r="AC5" s="10">
        <v>36.35</v>
      </c>
      <c r="AD5">
        <f t="shared" ref="AD5:AD68" si="3">Y5-Z5</f>
        <v>0.5</v>
      </c>
      <c r="AE5" s="138">
        <f t="shared" ref="AE5:AE67" si="4">AC5/AC6-1</f>
        <v>-1.3300760043431059E-2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42600</v>
      </c>
      <c r="X6" s="10">
        <v>36.85</v>
      </c>
      <c r="Y6" s="10">
        <v>36.9</v>
      </c>
      <c r="Z6" s="10">
        <v>36.520000000000003</v>
      </c>
      <c r="AA6" s="10">
        <v>36.840000000000003</v>
      </c>
      <c r="AB6" s="95">
        <v>4370500</v>
      </c>
      <c r="AC6" s="10">
        <v>36.840000000000003</v>
      </c>
      <c r="AD6">
        <f t="shared" si="3"/>
        <v>0.37999999999999545</v>
      </c>
      <c r="AE6" s="138">
        <f t="shared" si="4"/>
        <v>-2.7137042062408412E-4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-273.10000000000036</v>
      </c>
      <c r="R7">
        <v>140</v>
      </c>
      <c r="W7" s="133">
        <v>42599</v>
      </c>
      <c r="X7" s="10">
        <v>36.549999999999997</v>
      </c>
      <c r="Y7" s="10">
        <v>36.950000000000003</v>
      </c>
      <c r="Z7" s="10">
        <v>36.479999999999997</v>
      </c>
      <c r="AA7" s="10">
        <v>36.85</v>
      </c>
      <c r="AB7" s="95">
        <v>5891900</v>
      </c>
      <c r="AC7" s="10">
        <v>36.85</v>
      </c>
      <c r="AD7">
        <f t="shared" si="3"/>
        <v>0.47000000000000597</v>
      </c>
      <c r="AE7" s="138">
        <f t="shared" si="4"/>
        <v>9.0361445783131433E-3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-273.10000000000036</v>
      </c>
      <c r="W8" s="133">
        <v>42598</v>
      </c>
      <c r="X8" s="10">
        <v>36.700000000000003</v>
      </c>
      <c r="Y8" s="10">
        <v>36.79</v>
      </c>
      <c r="Z8" s="10">
        <v>36.409999999999997</v>
      </c>
      <c r="AA8" s="10">
        <v>36.520000000000003</v>
      </c>
      <c r="AB8" s="95">
        <v>5773000</v>
      </c>
      <c r="AC8" s="10">
        <v>36.520000000000003</v>
      </c>
      <c r="AD8">
        <f t="shared" si="3"/>
        <v>0.38000000000000256</v>
      </c>
      <c r="AE8" s="138" t="e">
        <f t="shared" si="4"/>
        <v>#DIV/0!</v>
      </c>
    </row>
    <row r="9" spans="1:31" x14ac:dyDescent="0.25">
      <c r="H9" s="72"/>
      <c r="O9" s="11" t="s">
        <v>225</v>
      </c>
      <c r="Q9" s="138">
        <f>IF(Q2=0, 0, Q8/Q6)</f>
        <v>-3.5910112950520101E-2</v>
      </c>
      <c r="W9" s="133">
        <v>42598</v>
      </c>
      <c r="X9" s="10" t="s">
        <v>312</v>
      </c>
      <c r="Y9" s="10"/>
      <c r="Z9" s="10"/>
      <c r="AA9" s="10"/>
      <c r="AB9" s="95"/>
      <c r="AC9" s="10"/>
      <c r="AD9">
        <f t="shared" si="3"/>
        <v>0</v>
      </c>
      <c r="AE9" s="138">
        <f t="shared" si="4"/>
        <v>-1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42597</v>
      </c>
      <c r="X10" s="10">
        <v>36.5</v>
      </c>
      <c r="Y10" s="10">
        <v>36.950000000000003</v>
      </c>
      <c r="Z10" s="10">
        <v>36.33</v>
      </c>
      <c r="AA10" s="10">
        <v>36.880000000000003</v>
      </c>
      <c r="AB10" s="95">
        <v>5617800</v>
      </c>
      <c r="AC10" s="10">
        <v>36.78</v>
      </c>
      <c r="AD10">
        <f t="shared" si="3"/>
        <v>0.62000000000000455</v>
      </c>
      <c r="AE10" s="138">
        <f t="shared" si="4"/>
        <v>9.884678747940745E-3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42594</v>
      </c>
      <c r="X11" s="10">
        <v>37.07</v>
      </c>
      <c r="Y11" s="10">
        <v>37.21</v>
      </c>
      <c r="Z11" s="10">
        <v>36.42</v>
      </c>
      <c r="AA11" s="10">
        <v>36.520000000000003</v>
      </c>
      <c r="AB11" s="95">
        <v>7717800</v>
      </c>
      <c r="AC11" s="10">
        <v>36.42</v>
      </c>
      <c r="AD11">
        <f t="shared" si="3"/>
        <v>0.78999999999999915</v>
      </c>
      <c r="AE11" s="138">
        <f t="shared" si="4"/>
        <v>-1.9386106623586419E-2</v>
      </c>
    </row>
    <row r="12" spans="1:31" x14ac:dyDescent="0.25">
      <c r="H12" s="72"/>
      <c r="W12" s="133">
        <v>42593</v>
      </c>
      <c r="X12" s="10">
        <v>36.96</v>
      </c>
      <c r="Y12" s="10">
        <v>37.53</v>
      </c>
      <c r="Z12" s="10">
        <v>36.799999999999997</v>
      </c>
      <c r="AA12" s="10">
        <v>37.24</v>
      </c>
      <c r="AB12" s="95">
        <v>5974600</v>
      </c>
      <c r="AC12" s="10">
        <v>37.14</v>
      </c>
      <c r="AD12">
        <f t="shared" si="3"/>
        <v>0.73000000000000398</v>
      </c>
      <c r="AE12" s="138">
        <f t="shared" si="4"/>
        <v>6.7769043101111315E-3</v>
      </c>
    </row>
    <row r="13" spans="1:31" x14ac:dyDescent="0.25">
      <c r="H13" s="72"/>
      <c r="W13" s="133">
        <v>42592</v>
      </c>
      <c r="X13" s="10">
        <v>37.18</v>
      </c>
      <c r="Y13" s="10">
        <v>37.35</v>
      </c>
      <c r="Z13" s="10">
        <v>36.6</v>
      </c>
      <c r="AA13" s="10">
        <v>36.99</v>
      </c>
      <c r="AB13" s="95">
        <v>6507100</v>
      </c>
      <c r="AC13" s="10">
        <v>36.89</v>
      </c>
      <c r="AD13">
        <f t="shared" si="3"/>
        <v>0.75</v>
      </c>
      <c r="AE13" s="138">
        <f t="shared" si="4"/>
        <v>-1.2580299785867166E-2</v>
      </c>
    </row>
    <row r="14" spans="1:31" x14ac:dyDescent="0.25">
      <c r="H14" s="72"/>
      <c r="W14" s="133">
        <v>42591</v>
      </c>
      <c r="X14" s="10">
        <v>37.75</v>
      </c>
      <c r="Y14" s="10">
        <v>37.950000000000003</v>
      </c>
      <c r="Z14" s="10">
        <v>37.299999999999997</v>
      </c>
      <c r="AA14" s="10">
        <v>37.46</v>
      </c>
      <c r="AB14" s="95">
        <v>4827300</v>
      </c>
      <c r="AC14" s="10">
        <v>37.36</v>
      </c>
      <c r="AD14">
        <f t="shared" si="3"/>
        <v>0.65000000000000568</v>
      </c>
      <c r="AE14" s="138">
        <f t="shared" si="4"/>
        <v>2.6773761713516642E-4</v>
      </c>
    </row>
    <row r="15" spans="1:31" x14ac:dyDescent="0.25">
      <c r="H15" s="72"/>
      <c r="W15" s="133">
        <v>42590</v>
      </c>
      <c r="X15" s="10">
        <v>37.770000000000003</v>
      </c>
      <c r="Y15" s="10">
        <v>38.03</v>
      </c>
      <c r="Z15" s="10">
        <v>37.270000000000003</v>
      </c>
      <c r="AA15" s="10">
        <v>37.450000000000003</v>
      </c>
      <c r="AB15" s="95">
        <v>5918400</v>
      </c>
      <c r="AC15" s="10">
        <v>37.35</v>
      </c>
      <c r="AD15">
        <f t="shared" si="3"/>
        <v>0.75999999999999801</v>
      </c>
      <c r="AE15" s="138">
        <f t="shared" si="4"/>
        <v>-1.059602649006619E-2</v>
      </c>
    </row>
    <row r="16" spans="1:31" x14ac:dyDescent="0.25">
      <c r="H16" s="72"/>
      <c r="W16" s="133">
        <v>42587</v>
      </c>
      <c r="X16" s="10">
        <v>36.799999999999997</v>
      </c>
      <c r="Y16" s="10">
        <v>37.869999999999997</v>
      </c>
      <c r="Z16" s="10">
        <v>36.770000000000003</v>
      </c>
      <c r="AA16" s="10">
        <v>37.85</v>
      </c>
      <c r="AB16" s="95">
        <v>9160400</v>
      </c>
      <c r="AC16" s="10">
        <v>37.75</v>
      </c>
      <c r="AD16">
        <f t="shared" si="3"/>
        <v>1.0999999999999943</v>
      </c>
      <c r="AE16" s="138">
        <f t="shared" si="4"/>
        <v>3.937224669603534E-2</v>
      </c>
    </row>
    <row r="17" spans="1:31" x14ac:dyDescent="0.25">
      <c r="W17" s="133">
        <v>42586</v>
      </c>
      <c r="X17" s="10">
        <v>36.21</v>
      </c>
      <c r="Y17" s="10">
        <v>36.81</v>
      </c>
      <c r="Z17" s="10">
        <v>36.090000000000003</v>
      </c>
      <c r="AA17" s="10">
        <v>36.42</v>
      </c>
      <c r="AB17" s="95">
        <v>7366200</v>
      </c>
      <c r="AC17" s="10">
        <v>36.32</v>
      </c>
      <c r="AD17">
        <f t="shared" si="3"/>
        <v>0.71999999999999886</v>
      </c>
      <c r="AE17" s="138">
        <f t="shared" si="4"/>
        <v>1.5092230296254838E-2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42585</v>
      </c>
      <c r="X18" s="10">
        <v>35.5</v>
      </c>
      <c r="Y18" s="10">
        <v>36</v>
      </c>
      <c r="Z18" s="10">
        <v>35.43</v>
      </c>
      <c r="AA18" s="10">
        <v>35.880000000000003</v>
      </c>
      <c r="AB18" s="95">
        <v>6992300</v>
      </c>
      <c r="AC18" s="10">
        <v>35.78</v>
      </c>
      <c r="AD18">
        <f t="shared" si="3"/>
        <v>0.57000000000000028</v>
      </c>
      <c r="AE18" s="138">
        <f t="shared" si="4"/>
        <v>9.5936794582394125E-3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5">SumByColor($A$19,M2:M17)</f>
        <v>0</v>
      </c>
      <c r="W19" s="133">
        <v>42584</v>
      </c>
      <c r="X19" s="10">
        <v>36.85</v>
      </c>
      <c r="Y19" s="10">
        <v>36.94</v>
      </c>
      <c r="Z19" s="10">
        <v>35.42</v>
      </c>
      <c r="AA19" s="10">
        <v>35.54</v>
      </c>
      <c r="AB19" s="95">
        <v>9579900</v>
      </c>
      <c r="AC19" s="10">
        <v>35.44</v>
      </c>
      <c r="AD19">
        <f t="shared" si="3"/>
        <v>1.519999999999996</v>
      </c>
      <c r="AE19" s="138">
        <f t="shared" si="4"/>
        <v>-4.060638873849487E-2</v>
      </c>
    </row>
    <row r="20" spans="1:31" x14ac:dyDescent="0.25">
      <c r="W20" s="133">
        <v>42583</v>
      </c>
      <c r="X20" s="10">
        <v>37.159999999999997</v>
      </c>
      <c r="Y20" s="10">
        <v>37.369999999999997</v>
      </c>
      <c r="Z20" s="10">
        <v>36.65</v>
      </c>
      <c r="AA20" s="10">
        <v>37.04</v>
      </c>
      <c r="AB20" s="95">
        <v>6787800</v>
      </c>
      <c r="AC20" s="10">
        <v>36.94</v>
      </c>
      <c r="AD20">
        <f t="shared" si="3"/>
        <v>0.71999999999999886</v>
      </c>
      <c r="AE20" s="138">
        <f t="shared" si="4"/>
        <v>8.1278786236804734E-4</v>
      </c>
    </row>
    <row r="21" spans="1:31" x14ac:dyDescent="0.25">
      <c r="W21" s="133">
        <v>42580</v>
      </c>
      <c r="X21" s="10">
        <v>37.49</v>
      </c>
      <c r="Y21" s="10">
        <v>37.880000000000003</v>
      </c>
      <c r="Z21" s="10">
        <v>37.01</v>
      </c>
      <c r="AA21" s="10">
        <v>37.01</v>
      </c>
      <c r="AB21" s="95">
        <v>6760800</v>
      </c>
      <c r="AC21" s="10">
        <v>36.909999999999997</v>
      </c>
      <c r="AD21">
        <f t="shared" si="3"/>
        <v>0.87000000000000455</v>
      </c>
      <c r="AE21" s="138">
        <f t="shared" si="4"/>
        <v>-1.2309339042012368E-2</v>
      </c>
    </row>
    <row r="22" spans="1:31" x14ac:dyDescent="0.25">
      <c r="W22" s="133">
        <v>42579</v>
      </c>
      <c r="X22" s="10">
        <v>37.47</v>
      </c>
      <c r="Y22" s="10">
        <v>37.64</v>
      </c>
      <c r="Z22" s="10">
        <v>37.14</v>
      </c>
      <c r="AA22" s="10">
        <v>37.47</v>
      </c>
      <c r="AB22" s="95">
        <v>6339300</v>
      </c>
      <c r="AC22" s="10">
        <v>37.369999999999997</v>
      </c>
      <c r="AD22">
        <f t="shared" si="3"/>
        <v>0.5</v>
      </c>
      <c r="AE22" s="138">
        <f t="shared" si="4"/>
        <v>-2.6752273943297933E-4</v>
      </c>
    </row>
    <row r="23" spans="1:31" x14ac:dyDescent="0.25">
      <c r="W23" s="133">
        <v>42578</v>
      </c>
      <c r="X23" s="10">
        <v>37.590000000000003</v>
      </c>
      <c r="Y23" s="10">
        <v>37.79</v>
      </c>
      <c r="Z23" s="10">
        <v>37.200000000000003</v>
      </c>
      <c r="AA23" s="10">
        <v>37.479999999999997</v>
      </c>
      <c r="AB23" s="95">
        <v>8619800</v>
      </c>
      <c r="AC23" s="10">
        <v>37.380000000000003</v>
      </c>
      <c r="AD23">
        <f t="shared" si="3"/>
        <v>0.58999999999999631</v>
      </c>
      <c r="AE23" s="138">
        <f t="shared" si="4"/>
        <v>-2.0953378732320505E-2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42577</v>
      </c>
      <c r="X24" s="10">
        <v>37.81</v>
      </c>
      <c r="Y24" s="10">
        <v>38.299999999999997</v>
      </c>
      <c r="Z24" s="10">
        <v>37.51</v>
      </c>
      <c r="AA24" s="10">
        <v>38.28</v>
      </c>
      <c r="AB24" s="95">
        <v>10525600</v>
      </c>
      <c r="AC24" s="10">
        <v>38.18</v>
      </c>
      <c r="AD24">
        <f t="shared" si="3"/>
        <v>0.78999999999999915</v>
      </c>
      <c r="AE24" s="138">
        <f t="shared" si="4"/>
        <v>2.4691358024691468E-2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42576</v>
      </c>
      <c r="X25" s="10">
        <v>37.840000000000003</v>
      </c>
      <c r="Y25" s="10">
        <v>38</v>
      </c>
      <c r="Z25" s="10">
        <v>37.020000000000003</v>
      </c>
      <c r="AA25" s="10">
        <v>37.36</v>
      </c>
      <c r="AB25" s="95">
        <v>11389000</v>
      </c>
      <c r="AC25" s="10">
        <v>37.26</v>
      </c>
      <c r="AD25">
        <f t="shared" si="3"/>
        <v>0.97999999999999687</v>
      </c>
      <c r="AE25" s="138">
        <f t="shared" si="4"/>
        <v>-1.2456930824277679E-2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42573</v>
      </c>
      <c r="X26" s="10">
        <v>37.909999999999997</v>
      </c>
      <c r="Y26" s="10">
        <v>38.049999999999997</v>
      </c>
      <c r="Z26" s="10">
        <v>37.01</v>
      </c>
      <c r="AA26" s="10">
        <v>37.83</v>
      </c>
      <c r="AB26" s="95">
        <v>18313200</v>
      </c>
      <c r="AC26" s="10">
        <v>37.729999999999997</v>
      </c>
      <c r="AD26">
        <f t="shared" si="3"/>
        <v>1.0399999999999991</v>
      </c>
      <c r="AE26" s="138">
        <f t="shared" si="4"/>
        <v>1.370231058570659E-2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42572</v>
      </c>
      <c r="X27" s="10">
        <v>39.08</v>
      </c>
      <c r="Y27" s="10">
        <v>39.270000000000003</v>
      </c>
      <c r="Z27" s="10">
        <v>37.22</v>
      </c>
      <c r="AA27" s="10">
        <v>37.32</v>
      </c>
      <c r="AB27" s="95">
        <v>33749100</v>
      </c>
      <c r="AC27" s="10">
        <v>37.22</v>
      </c>
      <c r="AD27">
        <f t="shared" si="3"/>
        <v>2.0500000000000043</v>
      </c>
      <c r="AE27" s="138">
        <f t="shared" si="4"/>
        <v>-0.11211832061068705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42571</v>
      </c>
      <c r="X28" s="10">
        <v>43.02</v>
      </c>
      <c r="Y28" s="10">
        <v>43.03</v>
      </c>
      <c r="Z28" s="10">
        <v>41.94</v>
      </c>
      <c r="AA28" s="10">
        <v>42.03</v>
      </c>
      <c r="AB28" s="95">
        <v>8225100</v>
      </c>
      <c r="AC28" s="10">
        <v>41.92</v>
      </c>
      <c r="AD28">
        <f t="shared" si="3"/>
        <v>1.0900000000000034</v>
      </c>
      <c r="AE28" s="138">
        <f t="shared" si="4"/>
        <v>-1.5962441314553932E-2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42570</v>
      </c>
      <c r="X29" s="10">
        <v>42.88</v>
      </c>
      <c r="Y29" s="10">
        <v>43.17</v>
      </c>
      <c r="Z29" s="10">
        <v>42.57</v>
      </c>
      <c r="AA29" s="10">
        <v>42.72</v>
      </c>
      <c r="AB29" s="95">
        <v>5526300</v>
      </c>
      <c r="AC29" s="10">
        <v>42.6</v>
      </c>
      <c r="AD29">
        <f t="shared" si="3"/>
        <v>0.60000000000000142</v>
      </c>
      <c r="AE29" s="138">
        <f t="shared" si="4"/>
        <v>-1.0682768230376283E-2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42569</v>
      </c>
      <c r="X30" s="10">
        <v>43.29</v>
      </c>
      <c r="Y30" s="10">
        <v>43.56</v>
      </c>
      <c r="Z30" s="10">
        <v>43.12</v>
      </c>
      <c r="AA30" s="10">
        <v>43.18</v>
      </c>
      <c r="AB30" s="95">
        <v>4805700</v>
      </c>
      <c r="AC30" s="10">
        <v>43.06</v>
      </c>
      <c r="AD30">
        <f t="shared" si="3"/>
        <v>0.44000000000000483</v>
      </c>
      <c r="AE30" s="138">
        <f t="shared" si="4"/>
        <v>4.6468401486987609E-4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42566</v>
      </c>
      <c r="X31" s="10">
        <v>43.12</v>
      </c>
      <c r="Y31" s="10">
        <v>43.57</v>
      </c>
      <c r="Z31" s="10">
        <v>42.7</v>
      </c>
      <c r="AA31" s="10">
        <v>43.16</v>
      </c>
      <c r="AB31" s="95">
        <v>5868500</v>
      </c>
      <c r="AC31" s="10">
        <v>43.04</v>
      </c>
      <c r="AD31">
        <f t="shared" si="3"/>
        <v>0.86999999999999744</v>
      </c>
      <c r="AE31" s="138">
        <f t="shared" si="4"/>
        <v>-2.3228803716601742E-4</v>
      </c>
    </row>
    <row r="32" spans="1:31" x14ac:dyDescent="0.25">
      <c r="B32" s="193">
        <v>42598</v>
      </c>
      <c r="C32" s="520">
        <v>200</v>
      </c>
      <c r="D32" s="524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42565</v>
      </c>
      <c r="X32" s="10">
        <v>42.87</v>
      </c>
      <c r="Y32" s="10">
        <v>43.34</v>
      </c>
      <c r="Z32" s="10">
        <v>42.43</v>
      </c>
      <c r="AA32" s="10">
        <v>43.17</v>
      </c>
      <c r="AB32" s="95">
        <v>6168700</v>
      </c>
      <c r="AC32" s="10">
        <v>43.05</v>
      </c>
      <c r="AD32">
        <f t="shared" si="3"/>
        <v>0.91000000000000369</v>
      </c>
      <c r="AE32" s="138">
        <f t="shared" si="4"/>
        <v>1.7971151572475641E-2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42564</v>
      </c>
      <c r="X33" s="10">
        <v>43.22</v>
      </c>
      <c r="Y33" s="10">
        <v>43.3</v>
      </c>
      <c r="Z33" s="10">
        <v>42.16</v>
      </c>
      <c r="AA33" s="10">
        <v>42.4</v>
      </c>
      <c r="AB33" s="95">
        <v>6268000</v>
      </c>
      <c r="AC33" s="10">
        <v>42.29</v>
      </c>
      <c r="AD33">
        <f t="shared" si="3"/>
        <v>1.1400000000000006</v>
      </c>
      <c r="AE33" s="138">
        <f t="shared" si="4"/>
        <v>-1.0065543071161032E-2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42563</v>
      </c>
      <c r="X34" s="10">
        <v>41.64</v>
      </c>
      <c r="Y34" s="10">
        <v>45</v>
      </c>
      <c r="Z34" s="10">
        <v>41.63</v>
      </c>
      <c r="AA34" s="10">
        <v>42.84</v>
      </c>
      <c r="AB34" s="95">
        <v>8662000</v>
      </c>
      <c r="AC34" s="10">
        <v>42.72</v>
      </c>
      <c r="AD34">
        <f t="shared" si="3"/>
        <v>3.3699999999999974</v>
      </c>
      <c r="AE34" s="138">
        <f t="shared" si="4"/>
        <v>4.3733203029562739E-2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42562</v>
      </c>
      <c r="X35" s="10">
        <v>40.94</v>
      </c>
      <c r="Y35" s="10">
        <v>41.34</v>
      </c>
      <c r="Z35" s="10">
        <v>40.81</v>
      </c>
      <c r="AA35" s="10">
        <v>41.04</v>
      </c>
      <c r="AB35" s="95">
        <v>5849200</v>
      </c>
      <c r="AC35" s="10">
        <v>40.93</v>
      </c>
      <c r="AD35">
        <f t="shared" si="3"/>
        <v>0.53000000000000114</v>
      </c>
      <c r="AE35" s="138">
        <f t="shared" si="4"/>
        <v>1.2367054167697233E-2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42559</v>
      </c>
      <c r="X36" s="10">
        <v>40.06</v>
      </c>
      <c r="Y36" s="10">
        <v>40.909999999999997</v>
      </c>
      <c r="Z36" s="10">
        <v>40.049999999999997</v>
      </c>
      <c r="AA36" s="10">
        <v>40.54</v>
      </c>
      <c r="AB36" s="95">
        <v>4747700</v>
      </c>
      <c r="AC36" s="10">
        <v>40.43</v>
      </c>
      <c r="AD36">
        <f t="shared" si="3"/>
        <v>0.85999999999999943</v>
      </c>
      <c r="AE36" s="138">
        <f t="shared" si="4"/>
        <v>1.736285858077502E-2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42558</v>
      </c>
      <c r="X37" s="10">
        <v>39</v>
      </c>
      <c r="Y37" s="10">
        <v>39.950000000000003</v>
      </c>
      <c r="Z37" s="10">
        <v>39</v>
      </c>
      <c r="AA37" s="10">
        <v>39.85</v>
      </c>
      <c r="AB37" s="95">
        <v>3774300</v>
      </c>
      <c r="AC37" s="10">
        <v>39.74</v>
      </c>
      <c r="AD37">
        <f t="shared" si="3"/>
        <v>0.95000000000000284</v>
      </c>
      <c r="AE37" s="138">
        <f t="shared" si="4"/>
        <v>1.8452075858534034E-2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42557</v>
      </c>
      <c r="X38" s="10">
        <v>38.68</v>
      </c>
      <c r="Y38" s="10">
        <v>39.159999999999997</v>
      </c>
      <c r="Z38" s="10">
        <v>38.15</v>
      </c>
      <c r="AA38" s="10">
        <v>39.130000000000003</v>
      </c>
      <c r="AB38" s="95">
        <v>5409500</v>
      </c>
      <c r="AC38" s="10">
        <v>39.020000000000003</v>
      </c>
      <c r="AD38">
        <f t="shared" si="3"/>
        <v>1.009999999999998</v>
      </c>
      <c r="AE38" s="138">
        <f t="shared" si="4"/>
        <v>-2.0460358056265671E-3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42556</v>
      </c>
      <c r="X39" s="10">
        <v>39.74</v>
      </c>
      <c r="Y39" s="10">
        <v>39.75</v>
      </c>
      <c r="Z39" s="10">
        <v>38.659999999999997</v>
      </c>
      <c r="AA39" s="10">
        <v>39.21</v>
      </c>
      <c r="AB39" s="95">
        <v>5302400</v>
      </c>
      <c r="AC39" s="10">
        <v>39.1</v>
      </c>
      <c r="AD39">
        <f t="shared" si="3"/>
        <v>1.0900000000000034</v>
      </c>
      <c r="AE39" s="138">
        <f t="shared" si="4"/>
        <v>-9.8759179539124053E-3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42552</v>
      </c>
      <c r="X40" s="10">
        <v>39.26</v>
      </c>
      <c r="Y40" s="10">
        <v>39.770000000000003</v>
      </c>
      <c r="Z40" s="10">
        <v>39.21</v>
      </c>
      <c r="AA40" s="10">
        <v>39.6</v>
      </c>
      <c r="AB40" s="95">
        <v>6490500</v>
      </c>
      <c r="AC40" s="10">
        <v>39.49</v>
      </c>
      <c r="AD40">
        <f t="shared" si="3"/>
        <v>0.56000000000000227</v>
      </c>
      <c r="AE40" s="138">
        <f t="shared" si="4"/>
        <v>9.9744245524295838E-3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40.326000000000001</v>
      </c>
      <c r="Q41" s="2"/>
      <c r="W41" s="133">
        <v>42551</v>
      </c>
      <c r="X41" s="10">
        <v>38.96</v>
      </c>
      <c r="Y41" s="10">
        <v>39.21</v>
      </c>
      <c r="Z41" s="10">
        <v>38.54</v>
      </c>
      <c r="AA41" s="10">
        <v>39.21</v>
      </c>
      <c r="AB41" s="95">
        <v>5333300</v>
      </c>
      <c r="AC41" s="10">
        <v>39.1</v>
      </c>
      <c r="AD41">
        <f t="shared" si="3"/>
        <v>0.67000000000000171</v>
      </c>
      <c r="AE41" s="138">
        <f t="shared" si="4"/>
        <v>8.2516761217121815E-3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39.959400000000002</v>
      </c>
      <c r="Q42" s="2"/>
      <c r="T42" s="91" t="s">
        <v>113</v>
      </c>
      <c r="W42" s="133">
        <v>42550</v>
      </c>
      <c r="X42" s="10">
        <v>38.200000000000003</v>
      </c>
      <c r="Y42" s="10">
        <v>39.159999999999997</v>
      </c>
      <c r="Z42" s="10">
        <v>37.76</v>
      </c>
      <c r="AA42" s="10">
        <v>38.89</v>
      </c>
      <c r="AB42" s="95">
        <v>8616200</v>
      </c>
      <c r="AC42" s="10">
        <v>38.78</v>
      </c>
      <c r="AD42">
        <f t="shared" si="3"/>
        <v>1.3999999999999986</v>
      </c>
      <c r="AE42" s="138">
        <f t="shared" si="4"/>
        <v>3.8842753817305287E-2</v>
      </c>
    </row>
    <row r="43" spans="2:31" ht="15.75" thickTop="1" x14ac:dyDescent="0.25">
      <c r="O43" s="83">
        <v>1.08</v>
      </c>
      <c r="P43" s="83">
        <f t="shared" si="32"/>
        <v>39.592799999999997</v>
      </c>
      <c r="Q43" s="2"/>
      <c r="T43" s="128" t="s">
        <v>98</v>
      </c>
      <c r="U43" s="129">
        <v>36.69</v>
      </c>
      <c r="W43" s="133">
        <v>42549</v>
      </c>
      <c r="X43" s="10">
        <v>37.72</v>
      </c>
      <c r="Y43" s="10">
        <v>37.83</v>
      </c>
      <c r="Z43" s="10">
        <v>36.75</v>
      </c>
      <c r="AA43" s="10">
        <v>37.43</v>
      </c>
      <c r="AB43" s="95">
        <v>8281900</v>
      </c>
      <c r="AC43" s="10">
        <v>37.33</v>
      </c>
      <c r="AD43">
        <f t="shared" si="3"/>
        <v>1.0799999999999983</v>
      </c>
      <c r="AE43" s="138">
        <f t="shared" si="4"/>
        <v>1.8276050190943804E-2</v>
      </c>
    </row>
    <row r="44" spans="2:31" x14ac:dyDescent="0.25">
      <c r="O44" s="83">
        <v>1.07</v>
      </c>
      <c r="P44" s="83">
        <f t="shared" si="32"/>
        <v>39.226199999999999</v>
      </c>
      <c r="Q44" s="2"/>
      <c r="T44" s="93" t="s">
        <v>99</v>
      </c>
      <c r="U44" s="130">
        <v>36.6</v>
      </c>
      <c r="W44" s="133">
        <v>42548</v>
      </c>
      <c r="X44" s="10">
        <v>37.979999999999997</v>
      </c>
      <c r="Y44" s="10">
        <v>38.01</v>
      </c>
      <c r="Z44" s="10">
        <v>36.479999999999997</v>
      </c>
      <c r="AA44" s="10">
        <v>36.76</v>
      </c>
      <c r="AB44" s="95">
        <v>12934600</v>
      </c>
      <c r="AC44" s="10">
        <v>36.659999999999997</v>
      </c>
      <c r="AD44">
        <f t="shared" si="3"/>
        <v>1.5300000000000011</v>
      </c>
      <c r="AE44" s="138">
        <f t="shared" si="4"/>
        <v>-4.0565297042659099E-2</v>
      </c>
    </row>
    <row r="45" spans="2:31" x14ac:dyDescent="0.25">
      <c r="O45" s="83">
        <v>1.06</v>
      </c>
      <c r="P45" s="83">
        <f t="shared" si="32"/>
        <v>38.8596</v>
      </c>
      <c r="Q45" s="2"/>
      <c r="T45" s="93" t="s">
        <v>100</v>
      </c>
      <c r="U45" s="130" t="s">
        <v>541</v>
      </c>
      <c r="W45" s="133">
        <v>42545</v>
      </c>
      <c r="X45" s="10">
        <v>37.880000000000003</v>
      </c>
      <c r="Y45" s="10">
        <v>39.24</v>
      </c>
      <c r="Z45" s="10">
        <v>37.74</v>
      </c>
      <c r="AA45" s="10">
        <v>38.31</v>
      </c>
      <c r="AB45" s="95">
        <v>19699900</v>
      </c>
      <c r="AC45" s="10">
        <v>38.21</v>
      </c>
      <c r="AD45">
        <f t="shared" si="3"/>
        <v>1.5</v>
      </c>
      <c r="AE45" s="138">
        <f t="shared" si="4"/>
        <v>-3.2168186423505496E-2</v>
      </c>
    </row>
    <row r="46" spans="2:31" x14ac:dyDescent="0.25">
      <c r="O46" s="83">
        <v>1.05</v>
      </c>
      <c r="P46" s="83">
        <f t="shared" si="32"/>
        <v>38.492999999999995</v>
      </c>
      <c r="Q46" s="2"/>
      <c r="T46" s="93" t="s">
        <v>101</v>
      </c>
      <c r="U46" s="130" t="s">
        <v>542</v>
      </c>
      <c r="W46" s="133">
        <v>42544</v>
      </c>
      <c r="X46" s="10">
        <v>40.72</v>
      </c>
      <c r="Y46" s="10">
        <v>40.75</v>
      </c>
      <c r="Z46" s="10">
        <v>38.200000000000003</v>
      </c>
      <c r="AA46" s="10">
        <v>39.590000000000003</v>
      </c>
      <c r="AB46" s="95">
        <v>16781900</v>
      </c>
      <c r="AC46" s="10">
        <v>39.479999999999997</v>
      </c>
      <c r="AD46">
        <f t="shared" si="3"/>
        <v>2.5499999999999972</v>
      </c>
      <c r="AE46" s="138">
        <f t="shared" si="4"/>
        <v>-1.6687422166874244E-2</v>
      </c>
    </row>
    <row r="47" spans="2:31" x14ac:dyDescent="0.25">
      <c r="O47" s="83">
        <v>1.04</v>
      </c>
      <c r="P47" s="83">
        <f t="shared" si="32"/>
        <v>38.126399999999997</v>
      </c>
      <c r="Q47" s="2"/>
      <c r="T47" s="93" t="s">
        <v>102</v>
      </c>
      <c r="U47" s="130">
        <v>48.27</v>
      </c>
      <c r="W47" s="133">
        <v>42543</v>
      </c>
      <c r="X47" s="10">
        <v>40.520000000000003</v>
      </c>
      <c r="Y47" s="10">
        <v>40.72</v>
      </c>
      <c r="Z47" s="10">
        <v>40</v>
      </c>
      <c r="AA47" s="10">
        <v>40.26</v>
      </c>
      <c r="AB47" s="95">
        <v>4816700</v>
      </c>
      <c r="AC47" s="10">
        <v>40.15</v>
      </c>
      <c r="AD47">
        <f t="shared" si="3"/>
        <v>0.71999999999999886</v>
      </c>
      <c r="AE47" s="138">
        <f t="shared" si="4"/>
        <v>-6.434050977480732E-3</v>
      </c>
    </row>
    <row r="48" spans="2:31" x14ac:dyDescent="0.25">
      <c r="O48" s="83">
        <v>1.03</v>
      </c>
      <c r="P48" s="83">
        <f t="shared" si="32"/>
        <v>37.759799999999998</v>
      </c>
      <c r="Q48" s="2"/>
      <c r="T48" s="93" t="s">
        <v>103</v>
      </c>
      <c r="U48" s="130">
        <v>1.16414</v>
      </c>
      <c r="W48" s="133">
        <v>42542</v>
      </c>
      <c r="X48" s="10">
        <v>40.47</v>
      </c>
      <c r="Y48" s="10">
        <v>40.880000000000003</v>
      </c>
      <c r="Z48" s="10">
        <v>39.979999999999997</v>
      </c>
      <c r="AA48" s="10">
        <v>40.520000000000003</v>
      </c>
      <c r="AB48" s="95">
        <v>6376300</v>
      </c>
      <c r="AC48" s="10">
        <v>40.409999999999997</v>
      </c>
      <c r="AD48">
        <f t="shared" si="3"/>
        <v>0.90000000000000568</v>
      </c>
      <c r="AE48" s="138">
        <f t="shared" si="4"/>
        <v>1.2528188423953868E-2</v>
      </c>
    </row>
    <row r="49" spans="15:31" x14ac:dyDescent="0.25">
      <c r="O49" s="83">
        <v>1.02</v>
      </c>
      <c r="P49" s="83">
        <f t="shared" si="32"/>
        <v>37.3932</v>
      </c>
      <c r="Q49" s="2"/>
      <c r="T49" s="93" t="s">
        <v>104</v>
      </c>
      <c r="U49" s="130" t="s">
        <v>324</v>
      </c>
      <c r="W49" s="133">
        <v>42541</v>
      </c>
      <c r="X49" s="10">
        <v>40.049999999999997</v>
      </c>
      <c r="Y49" s="10">
        <v>40.479999999999997</v>
      </c>
      <c r="Z49" s="10">
        <v>39.9</v>
      </c>
      <c r="AA49" s="10">
        <v>40.020000000000003</v>
      </c>
      <c r="AB49" s="95">
        <v>4190600</v>
      </c>
      <c r="AC49" s="10">
        <v>39.909999999999997</v>
      </c>
      <c r="AD49">
        <f t="shared" si="3"/>
        <v>0.57999999999999829</v>
      </c>
      <c r="AE49" s="138">
        <f t="shared" si="4"/>
        <v>7.0653545293968278E-3</v>
      </c>
    </row>
    <row r="50" spans="15:31" x14ac:dyDescent="0.25">
      <c r="O50" s="83">
        <v>1.01</v>
      </c>
      <c r="P50" s="83">
        <f t="shared" si="32"/>
        <v>37.026599999999995</v>
      </c>
      <c r="Q50" s="2"/>
      <c r="T50" s="93"/>
      <c r="U50" s="130"/>
      <c r="W50" s="133">
        <v>42538</v>
      </c>
      <c r="X50" s="10">
        <v>39.6</v>
      </c>
      <c r="Y50" s="10">
        <v>40.18</v>
      </c>
      <c r="Z50" s="10">
        <v>39.58</v>
      </c>
      <c r="AA50" s="10">
        <v>39.74</v>
      </c>
      <c r="AB50" s="95">
        <v>5633700</v>
      </c>
      <c r="AC50" s="10">
        <v>39.630000000000003</v>
      </c>
      <c r="AD50">
        <f t="shared" si="3"/>
        <v>0.60000000000000142</v>
      </c>
      <c r="AE50" s="138">
        <f t="shared" si="4"/>
        <v>-1.0083186286866663E-3</v>
      </c>
    </row>
    <row r="51" spans="15:31" x14ac:dyDescent="0.25">
      <c r="O51" s="83">
        <v>1</v>
      </c>
      <c r="P51" s="83">
        <f t="shared" si="32"/>
        <v>36.659999999999997</v>
      </c>
      <c r="Q51" s="2"/>
      <c r="T51" s="93" t="s">
        <v>105</v>
      </c>
      <c r="U51" s="130" t="s">
        <v>543</v>
      </c>
      <c r="W51" s="133">
        <v>42537</v>
      </c>
      <c r="X51" s="10">
        <v>39.450000000000003</v>
      </c>
      <c r="Y51" s="10">
        <v>40.090000000000003</v>
      </c>
      <c r="Z51" s="10">
        <v>39.18</v>
      </c>
      <c r="AA51" s="10">
        <v>39.78</v>
      </c>
      <c r="AB51" s="95">
        <v>6621500</v>
      </c>
      <c r="AC51" s="10">
        <v>39.67</v>
      </c>
      <c r="AD51">
        <f t="shared" si="3"/>
        <v>0.91000000000000369</v>
      </c>
      <c r="AE51" s="138">
        <f t="shared" si="4"/>
        <v>-4.0170725583730249E-3</v>
      </c>
    </row>
    <row r="52" spans="15:31" x14ac:dyDescent="0.25">
      <c r="O52" s="83">
        <v>0.99</v>
      </c>
      <c r="P52" s="83">
        <f t="shared" si="32"/>
        <v>36.293399999999998</v>
      </c>
      <c r="Q52" s="2"/>
      <c r="T52" s="93" t="s">
        <v>106</v>
      </c>
      <c r="U52" s="130" t="s">
        <v>405</v>
      </c>
      <c r="W52" s="133">
        <v>42536</v>
      </c>
      <c r="X52" s="10">
        <v>40.25</v>
      </c>
      <c r="Y52" s="10">
        <v>40.67</v>
      </c>
      <c r="Z52" s="10">
        <v>39.76</v>
      </c>
      <c r="AA52" s="10">
        <v>39.94</v>
      </c>
      <c r="AB52" s="95">
        <v>7023400</v>
      </c>
      <c r="AC52" s="10">
        <v>39.83</v>
      </c>
      <c r="AD52">
        <f t="shared" si="3"/>
        <v>0.91000000000000369</v>
      </c>
      <c r="AE52" s="138">
        <f t="shared" si="4"/>
        <v>1.5086748805630545E-3</v>
      </c>
    </row>
    <row r="53" spans="15:31" x14ac:dyDescent="0.25">
      <c r="O53" s="83">
        <v>0.98</v>
      </c>
      <c r="P53" s="83">
        <f t="shared" si="32"/>
        <v>35.926799999999993</v>
      </c>
      <c r="Q53" s="2"/>
      <c r="T53" s="93" t="s">
        <v>107</v>
      </c>
      <c r="U53" s="131">
        <v>4473329</v>
      </c>
      <c r="W53" s="133">
        <v>42535</v>
      </c>
      <c r="X53" s="10">
        <v>41.95</v>
      </c>
      <c r="Y53" s="10">
        <v>42.22</v>
      </c>
      <c r="Z53" s="10">
        <v>39.6</v>
      </c>
      <c r="AA53" s="10">
        <v>39.880000000000003</v>
      </c>
      <c r="AB53" s="95">
        <v>15154200</v>
      </c>
      <c r="AC53" s="10">
        <v>39.770000000000003</v>
      </c>
      <c r="AD53">
        <f t="shared" si="3"/>
        <v>2.6199999999999974</v>
      </c>
      <c r="AE53" s="138">
        <f t="shared" si="4"/>
        <v>-5.4221165279429107E-2</v>
      </c>
    </row>
    <row r="54" spans="15:31" x14ac:dyDescent="0.25">
      <c r="O54" s="83">
        <v>0.97</v>
      </c>
      <c r="P54" s="83">
        <f t="shared" si="32"/>
        <v>35.560199999999995</v>
      </c>
      <c r="T54" s="93" t="s">
        <v>110</v>
      </c>
      <c r="U54" s="131">
        <v>7384960</v>
      </c>
      <c r="W54" s="133">
        <v>42534</v>
      </c>
      <c r="X54" s="10">
        <v>43.22</v>
      </c>
      <c r="Y54" s="10">
        <v>43.49</v>
      </c>
      <c r="Z54" s="10">
        <v>41.91</v>
      </c>
      <c r="AA54" s="10">
        <v>42.16</v>
      </c>
      <c r="AB54" s="95">
        <v>6586700</v>
      </c>
      <c r="AC54" s="10">
        <v>42.05</v>
      </c>
      <c r="AD54">
        <f t="shared" si="3"/>
        <v>1.5800000000000054</v>
      </c>
      <c r="AE54" s="138">
        <f t="shared" si="4"/>
        <v>-3.3555504481728393E-2</v>
      </c>
    </row>
    <row r="55" spans="15:31" x14ac:dyDescent="0.25">
      <c r="O55" s="83">
        <v>0.96</v>
      </c>
      <c r="P55" s="83">
        <f t="shared" si="32"/>
        <v>35.193599999999996</v>
      </c>
      <c r="T55" s="93" t="s">
        <v>108</v>
      </c>
      <c r="U55" s="130" t="s">
        <v>544</v>
      </c>
      <c r="W55" s="133">
        <v>42531</v>
      </c>
      <c r="X55" s="10">
        <v>43.91</v>
      </c>
      <c r="Y55" s="10">
        <v>44.05</v>
      </c>
      <c r="Z55" s="10">
        <v>43.23</v>
      </c>
      <c r="AA55" s="10">
        <v>43.63</v>
      </c>
      <c r="AB55" s="95">
        <v>4661100</v>
      </c>
      <c r="AC55" s="10">
        <v>43.51</v>
      </c>
      <c r="AD55">
        <f t="shared" si="3"/>
        <v>0.82000000000000028</v>
      </c>
      <c r="AE55" s="138">
        <f t="shared" si="4"/>
        <v>-1.2707056954844642E-2</v>
      </c>
    </row>
    <row r="56" spans="15:31" x14ac:dyDescent="0.25">
      <c r="O56" s="83">
        <v>0.95</v>
      </c>
      <c r="P56" s="83">
        <f t="shared" si="32"/>
        <v>34.826999999999998</v>
      </c>
      <c r="T56" s="93" t="s">
        <v>111</v>
      </c>
      <c r="U56" s="130">
        <v>9.7200000000000006</v>
      </c>
      <c r="W56" s="133">
        <v>42530</v>
      </c>
      <c r="X56" s="10">
        <v>43.46</v>
      </c>
      <c r="Y56" s="10">
        <v>44.33</v>
      </c>
      <c r="Z56" s="10">
        <v>43.35</v>
      </c>
      <c r="AA56" s="10">
        <v>44.19</v>
      </c>
      <c r="AB56" s="95">
        <v>5605200</v>
      </c>
      <c r="AC56" s="10">
        <v>44.07</v>
      </c>
      <c r="AD56">
        <f t="shared" si="3"/>
        <v>0.97999999999999687</v>
      </c>
      <c r="AE56" s="138">
        <f t="shared" si="4"/>
        <v>1.5905947441217094E-2</v>
      </c>
    </row>
    <row r="57" spans="15:31" x14ac:dyDescent="0.25">
      <c r="O57" s="83">
        <v>0.94</v>
      </c>
      <c r="P57" s="83">
        <f t="shared" si="32"/>
        <v>34.460399999999993</v>
      </c>
      <c r="T57" s="93" t="s">
        <v>112</v>
      </c>
      <c r="U57" s="130">
        <v>3.77</v>
      </c>
      <c r="W57" s="133">
        <v>42529</v>
      </c>
      <c r="X57" s="10">
        <v>43.27</v>
      </c>
      <c r="Y57" s="10">
        <v>43.9</v>
      </c>
      <c r="Z57" s="10">
        <v>43.05</v>
      </c>
      <c r="AA57" s="10">
        <v>43.5</v>
      </c>
      <c r="AB57" s="95">
        <v>6527000</v>
      </c>
      <c r="AC57" s="10">
        <v>43.38</v>
      </c>
      <c r="AD57">
        <f t="shared" si="3"/>
        <v>0.85000000000000142</v>
      </c>
      <c r="AE57" s="138">
        <f t="shared" si="4"/>
        <v>1.0011641443538943E-2</v>
      </c>
    </row>
    <row r="58" spans="15:31" x14ac:dyDescent="0.25">
      <c r="O58" s="83">
        <v>0.93</v>
      </c>
      <c r="P58" s="83">
        <f t="shared" si="32"/>
        <v>34.093800000000002</v>
      </c>
      <c r="T58" s="93" t="s">
        <v>109</v>
      </c>
      <c r="U58" s="130" t="s">
        <v>406</v>
      </c>
      <c r="W58" s="133">
        <v>42528</v>
      </c>
      <c r="X58" s="10">
        <v>41.71</v>
      </c>
      <c r="Y58" s="10">
        <v>43.46</v>
      </c>
      <c r="Z58" s="10">
        <v>41.57</v>
      </c>
      <c r="AA58" s="10">
        <v>43.07</v>
      </c>
      <c r="AB58" s="95">
        <v>6401500</v>
      </c>
      <c r="AC58" s="10">
        <v>42.95</v>
      </c>
      <c r="AD58">
        <f t="shared" si="3"/>
        <v>1.8900000000000006</v>
      </c>
      <c r="AE58" s="138">
        <f t="shared" si="4"/>
        <v>3.0964954392703081E-2</v>
      </c>
    </row>
    <row r="59" spans="15:31" x14ac:dyDescent="0.25">
      <c r="O59" s="83">
        <v>0.92</v>
      </c>
      <c r="P59" s="83">
        <f t="shared" si="32"/>
        <v>33.727199999999996</v>
      </c>
      <c r="W59" s="133">
        <v>42527</v>
      </c>
      <c r="X59" s="10">
        <v>41.5</v>
      </c>
      <c r="Y59" s="10">
        <v>41.86</v>
      </c>
      <c r="Z59" s="10">
        <v>41.21</v>
      </c>
      <c r="AA59" s="10">
        <v>41.77</v>
      </c>
      <c r="AB59" s="95">
        <v>3516500</v>
      </c>
      <c r="AC59" s="10">
        <v>41.66</v>
      </c>
      <c r="AD59">
        <f t="shared" si="3"/>
        <v>0.64999999999999858</v>
      </c>
      <c r="AE59" s="138" t="e">
        <f t="shared" si="4"/>
        <v>#DIV/0!</v>
      </c>
    </row>
    <row r="60" spans="15:31" x14ac:dyDescent="0.25">
      <c r="O60" s="83">
        <v>0.91</v>
      </c>
      <c r="P60" s="83">
        <f t="shared" si="32"/>
        <v>33.360599999999998</v>
      </c>
      <c r="W60" s="133">
        <v>42527</v>
      </c>
      <c r="X60" s="10" t="s">
        <v>312</v>
      </c>
      <c r="Y60" s="10"/>
      <c r="Z60" s="10"/>
      <c r="AA60" s="10"/>
      <c r="AB60" s="95"/>
      <c r="AC60" s="10"/>
      <c r="AD60">
        <f t="shared" si="3"/>
        <v>0</v>
      </c>
      <c r="AE60" s="138">
        <f t="shared" si="4"/>
        <v>-1</v>
      </c>
    </row>
    <row r="61" spans="15:31" x14ac:dyDescent="0.25">
      <c r="O61" s="83">
        <v>0.9</v>
      </c>
      <c r="P61" s="83">
        <f t="shared" si="32"/>
        <v>32.994</v>
      </c>
      <c r="W61" s="133">
        <v>42524</v>
      </c>
      <c r="X61" s="10">
        <v>41.91</v>
      </c>
      <c r="Y61" s="10">
        <v>41.97</v>
      </c>
      <c r="Z61" s="10">
        <v>41.11</v>
      </c>
      <c r="AA61" s="10">
        <v>41.69</v>
      </c>
      <c r="AB61" s="95">
        <v>5081800</v>
      </c>
      <c r="AC61" s="10">
        <v>41.48</v>
      </c>
      <c r="AD61">
        <f t="shared" si="3"/>
        <v>0.85999999999999943</v>
      </c>
      <c r="AE61" s="138">
        <f t="shared" si="4"/>
        <v>-1.1203814064362438E-2</v>
      </c>
    </row>
    <row r="62" spans="15:31" x14ac:dyDescent="0.25">
      <c r="W62" s="133">
        <v>42523</v>
      </c>
      <c r="X62" s="10">
        <v>42.32</v>
      </c>
      <c r="Y62" s="10">
        <v>42.62</v>
      </c>
      <c r="Z62" s="10">
        <v>42.03</v>
      </c>
      <c r="AA62" s="10">
        <v>42.17</v>
      </c>
      <c r="AB62" s="95">
        <v>4390900</v>
      </c>
      <c r="AC62" s="10">
        <v>41.95</v>
      </c>
      <c r="AD62">
        <f t="shared" si="3"/>
        <v>0.58999999999999631</v>
      </c>
      <c r="AE62" s="138">
        <f t="shared" si="4"/>
        <v>-8.7429111531189818E-3</v>
      </c>
    </row>
    <row r="63" spans="15:31" x14ac:dyDescent="0.25">
      <c r="W63" s="133">
        <v>42522</v>
      </c>
      <c r="X63" s="10">
        <v>42.48</v>
      </c>
      <c r="Y63" s="10">
        <v>42.65</v>
      </c>
      <c r="Z63" s="10">
        <v>42.09</v>
      </c>
      <c r="AA63" s="10">
        <v>42.54</v>
      </c>
      <c r="AB63" s="95">
        <v>4083100</v>
      </c>
      <c r="AC63" s="10">
        <v>42.32</v>
      </c>
      <c r="AD63">
        <f t="shared" si="3"/>
        <v>0.55999999999999517</v>
      </c>
      <c r="AE63" s="138">
        <f t="shared" si="4"/>
        <v>1.4197823000474674E-3</v>
      </c>
    </row>
    <row r="64" spans="15:31" x14ac:dyDescent="0.25">
      <c r="W64" s="133">
        <v>42521</v>
      </c>
      <c r="X64" s="10">
        <v>42.35</v>
      </c>
      <c r="Y64" s="10">
        <v>42.54</v>
      </c>
      <c r="Z64" s="10">
        <v>42.04</v>
      </c>
      <c r="AA64" s="10">
        <v>42.48</v>
      </c>
      <c r="AB64" s="95">
        <v>4878500</v>
      </c>
      <c r="AC64" s="10">
        <v>42.26</v>
      </c>
      <c r="AD64">
        <f t="shared" si="3"/>
        <v>0.5</v>
      </c>
      <c r="AE64" s="138">
        <f t="shared" si="4"/>
        <v>3.5620992638327742E-3</v>
      </c>
    </row>
    <row r="65" spans="23:31" x14ac:dyDescent="0.25">
      <c r="W65" s="133">
        <v>42517</v>
      </c>
      <c r="X65" s="10">
        <v>41.82</v>
      </c>
      <c r="Y65" s="10">
        <v>42.39</v>
      </c>
      <c r="Z65" s="10">
        <v>41.82</v>
      </c>
      <c r="AA65" s="10">
        <v>42.33</v>
      </c>
      <c r="AB65" s="95">
        <v>3315900</v>
      </c>
      <c r="AC65" s="10">
        <v>42.11</v>
      </c>
      <c r="AD65">
        <f t="shared" si="3"/>
        <v>0.57000000000000028</v>
      </c>
      <c r="AE65" s="138">
        <f t="shared" si="4"/>
        <v>1.2746512746512728E-2</v>
      </c>
    </row>
    <row r="66" spans="23:31" x14ac:dyDescent="0.25">
      <c r="W66" s="133">
        <v>42516</v>
      </c>
      <c r="X66" s="10">
        <v>42.57</v>
      </c>
      <c r="Y66" s="10">
        <v>42.69</v>
      </c>
      <c r="Z66" s="10">
        <v>41.57</v>
      </c>
      <c r="AA66" s="10">
        <v>41.79</v>
      </c>
      <c r="AB66" s="95">
        <v>5019900</v>
      </c>
      <c r="AC66" s="10">
        <v>41.58</v>
      </c>
      <c r="AD66">
        <f t="shared" si="3"/>
        <v>1.1199999999999974</v>
      </c>
      <c r="AE66" s="138">
        <f t="shared" si="4"/>
        <v>-1.7253604348853813E-2</v>
      </c>
    </row>
    <row r="67" spans="23:31" x14ac:dyDescent="0.25">
      <c r="W67" s="133">
        <v>42515</v>
      </c>
      <c r="X67" s="10">
        <v>42.82</v>
      </c>
      <c r="Y67" s="10">
        <v>43.29</v>
      </c>
      <c r="Z67" s="10">
        <v>42.42</v>
      </c>
      <c r="AA67" s="10">
        <v>42.53</v>
      </c>
      <c r="AB67" s="95">
        <v>4441000</v>
      </c>
      <c r="AC67" s="10">
        <v>42.31</v>
      </c>
      <c r="AD67">
        <f t="shared" si="3"/>
        <v>0.86999999999999744</v>
      </c>
      <c r="AE67" s="138">
        <f t="shared" si="4"/>
        <v>-6.3410051667448508E-3</v>
      </c>
    </row>
    <row r="68" spans="23:31" x14ac:dyDescent="0.25">
      <c r="W68" s="133">
        <v>42514</v>
      </c>
      <c r="X68" s="10">
        <v>42.3</v>
      </c>
      <c r="Y68" s="10">
        <v>43</v>
      </c>
      <c r="Z68" s="10">
        <v>42.18</v>
      </c>
      <c r="AA68" s="10">
        <v>42.8</v>
      </c>
      <c r="AB68" s="95">
        <v>3513800</v>
      </c>
      <c r="AC68" s="10">
        <v>42.58</v>
      </c>
      <c r="AD68">
        <f t="shared" si="3"/>
        <v>0.82000000000000028</v>
      </c>
      <c r="AE68" s="138" t="e">
        <f>AC68/AC70-1</f>
        <v>#DIV/0!</v>
      </c>
    </row>
    <row r="69" spans="23:31" x14ac:dyDescent="0.25">
      <c r="W69" s="133">
        <v>42513</v>
      </c>
      <c r="X69" s="10">
        <v>42.19</v>
      </c>
      <c r="Y69" s="10">
        <v>42.56</v>
      </c>
      <c r="Z69" s="10">
        <v>42.12</v>
      </c>
      <c r="AA69" s="10">
        <v>42.21</v>
      </c>
      <c r="AB69" s="95">
        <v>3850100</v>
      </c>
      <c r="AC69" s="10">
        <v>41.99</v>
      </c>
      <c r="AD69">
        <f t="shared" ref="AD69" si="33">Y70-Z70</f>
        <v>0</v>
      </c>
      <c r="AE69" s="138" t="e">
        <f t="shared" ref="AE69" si="34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:F42 H36:H42">
    <cfRule type="expression" dxfId="573" priority="11">
      <formula>F36&gt;0</formula>
    </cfRule>
    <cfRule type="expression" dxfId="572" priority="12">
      <formula>F36&lt;0</formula>
    </cfRule>
  </conditionalFormatting>
  <conditionalFormatting sqref="Q7">
    <cfRule type="expression" dxfId="571" priority="9">
      <formula>Q7&gt;0</formula>
    </cfRule>
    <cfRule type="expression" dxfId="570" priority="10">
      <formula>Q7&lt;0</formula>
    </cfRule>
  </conditionalFormatting>
  <conditionalFormatting sqref="Q8">
    <cfRule type="expression" dxfId="569" priority="7">
      <formula>Q8&gt;0</formula>
    </cfRule>
    <cfRule type="expression" dxfId="568" priority="8">
      <formula>Q8&lt;0</formula>
    </cfRule>
  </conditionalFormatting>
  <conditionalFormatting sqref="F25:F35">
    <cfRule type="expression" dxfId="567" priority="5">
      <formula>F25&gt;0</formula>
    </cfRule>
    <cfRule type="expression" dxfId="566" priority="6">
      <formula>F25&lt;0</formula>
    </cfRule>
  </conditionalFormatting>
  <conditionalFormatting sqref="H25:H35">
    <cfRule type="expression" dxfId="565" priority="3">
      <formula>H25&gt;0</formula>
    </cfRule>
    <cfRule type="expression" dxfId="56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318</v>
      </c>
      <c r="B2" s="477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77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42606</v>
      </c>
      <c r="X2" s="10">
        <v>53.68</v>
      </c>
      <c r="Y2" s="10">
        <v>54.44</v>
      </c>
      <c r="Z2" s="10">
        <v>53.63</v>
      </c>
      <c r="AA2" s="10">
        <v>53.98</v>
      </c>
      <c r="AB2" s="95">
        <v>1984600</v>
      </c>
      <c r="AC2" s="10">
        <v>53.98</v>
      </c>
      <c r="AD2" s="2">
        <f>Y2-Z2</f>
        <v>0.80999999999999517</v>
      </c>
      <c r="AE2" s="138">
        <f>AC2/AC3-1</f>
        <v>7.0895522388059184E-3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50.396500000000003</v>
      </c>
      <c r="T3" s="1"/>
      <c r="W3" s="133">
        <v>42605</v>
      </c>
      <c r="X3" s="10">
        <v>53.06</v>
      </c>
      <c r="Y3" s="10">
        <v>54.28</v>
      </c>
      <c r="Z3" s="10">
        <v>52.95</v>
      </c>
      <c r="AA3" s="10">
        <v>53.6</v>
      </c>
      <c r="AB3" s="95">
        <v>1379100</v>
      </c>
      <c r="AC3" s="10">
        <v>53.6</v>
      </c>
      <c r="AD3" s="2">
        <f t="shared" ref="AD3:AD66" si="0">Y3-Z3</f>
        <v>1.3299999999999983</v>
      </c>
      <c r="AE3" s="138">
        <f t="shared" ref="AE3:AE66" si="1">AC3/AC4-1</f>
        <v>1.1702529256323313E-2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53.98</v>
      </c>
      <c r="T4" s="163"/>
      <c r="U4" s="1"/>
      <c r="W4" s="133">
        <v>42604</v>
      </c>
      <c r="X4" s="10">
        <v>52.81</v>
      </c>
      <c r="Y4" s="10">
        <v>53</v>
      </c>
      <c r="Z4" s="10">
        <v>52.25</v>
      </c>
      <c r="AA4" s="10">
        <v>52.98</v>
      </c>
      <c r="AB4" s="95">
        <v>1286100</v>
      </c>
      <c r="AC4" s="10">
        <v>52.98</v>
      </c>
      <c r="AD4" s="2">
        <f t="shared" si="0"/>
        <v>0.75</v>
      </c>
      <c r="AE4" s="138">
        <f t="shared" si="1"/>
        <v>5.6657223796019451E-4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1079.5999999999999</v>
      </c>
      <c r="W5" s="133">
        <v>42601</v>
      </c>
      <c r="X5" s="10">
        <v>52.3</v>
      </c>
      <c r="Y5" s="10">
        <v>52.96</v>
      </c>
      <c r="Z5" s="10">
        <v>52</v>
      </c>
      <c r="AA5" s="10">
        <v>52.95</v>
      </c>
      <c r="AB5" s="95">
        <v>1390800</v>
      </c>
      <c r="AC5" s="10">
        <v>52.95</v>
      </c>
      <c r="AD5" s="2">
        <f t="shared" si="0"/>
        <v>0.96000000000000085</v>
      </c>
      <c r="AE5" s="138">
        <f t="shared" si="1"/>
        <v>1.1461318051575908E-2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42600</v>
      </c>
      <c r="X6" s="10">
        <v>52.35</v>
      </c>
      <c r="Y6" s="10">
        <v>52.64</v>
      </c>
      <c r="Z6" s="10">
        <v>52</v>
      </c>
      <c r="AA6" s="10">
        <v>52.35</v>
      </c>
      <c r="AB6" s="95">
        <v>1108100</v>
      </c>
      <c r="AC6" s="10">
        <v>52.35</v>
      </c>
      <c r="AD6" s="2">
        <f t="shared" si="0"/>
        <v>0.64000000000000057</v>
      </c>
      <c r="AE6" s="138">
        <f t="shared" si="1"/>
        <v>1.9105846389000369E-4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71.669999999999845</v>
      </c>
      <c r="R7" s="30">
        <v>42609</v>
      </c>
      <c r="W7" s="133">
        <v>42599</v>
      </c>
      <c r="X7" s="10">
        <v>52.24</v>
      </c>
      <c r="Y7" s="10">
        <v>52.4</v>
      </c>
      <c r="Z7" s="10">
        <v>51.98</v>
      </c>
      <c r="AA7" s="10">
        <v>52.34</v>
      </c>
      <c r="AB7" s="95">
        <v>1608500</v>
      </c>
      <c r="AC7" s="10">
        <v>52.34</v>
      </c>
      <c r="AD7" s="2">
        <f t="shared" si="0"/>
        <v>0.42000000000000171</v>
      </c>
      <c r="AE7" s="138">
        <f t="shared" si="1"/>
        <v>6.5384615384616041E-3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71.669999999999845</v>
      </c>
      <c r="W8" s="133">
        <v>42598</v>
      </c>
      <c r="X8" s="10">
        <v>52.07</v>
      </c>
      <c r="Y8" s="10">
        <v>52.63</v>
      </c>
      <c r="Z8" s="10">
        <v>52</v>
      </c>
      <c r="AA8" s="10">
        <v>52</v>
      </c>
      <c r="AB8" s="95">
        <v>1241000</v>
      </c>
      <c r="AC8" s="10">
        <v>52</v>
      </c>
      <c r="AD8" s="2">
        <f t="shared" si="0"/>
        <v>0.63000000000000256</v>
      </c>
      <c r="AE8" s="138">
        <f t="shared" si="1"/>
        <v>-9.6061479346776224E-4</v>
      </c>
    </row>
    <row r="9" spans="1:31" x14ac:dyDescent="0.25">
      <c r="H9" s="72"/>
      <c r="O9" s="11" t="s">
        <v>225</v>
      </c>
      <c r="Q9" s="138">
        <f>IF(Q2=0, 0, Q8/Q6)</f>
        <v>7.1106128401773772E-2</v>
      </c>
      <c r="W9" s="133">
        <v>42597</v>
      </c>
      <c r="X9" s="10">
        <v>52.05</v>
      </c>
      <c r="Y9" s="10">
        <v>53.01</v>
      </c>
      <c r="Z9" s="10">
        <v>52.02</v>
      </c>
      <c r="AA9" s="10">
        <v>52.05</v>
      </c>
      <c r="AB9" s="95">
        <v>1960700</v>
      </c>
      <c r="AC9" s="10">
        <v>52.05</v>
      </c>
      <c r="AD9" s="2">
        <f t="shared" si="0"/>
        <v>0.98999999999999488</v>
      </c>
      <c r="AE9" s="138">
        <f t="shared" si="1"/>
        <v>1.5393496247835259E-3</v>
      </c>
    </row>
    <row r="10" spans="1:31" x14ac:dyDescent="0.25">
      <c r="H10" s="72"/>
      <c r="O10" s="11" t="s">
        <v>224</v>
      </c>
      <c r="P10" s="34"/>
      <c r="Q10" s="2">
        <v>0</v>
      </c>
      <c r="W10" s="133">
        <v>42594</v>
      </c>
      <c r="X10" s="10">
        <v>52.19</v>
      </c>
      <c r="Y10" s="10">
        <v>52.57</v>
      </c>
      <c r="Z10" s="10">
        <v>51.96</v>
      </c>
      <c r="AA10" s="10">
        <v>51.97</v>
      </c>
      <c r="AB10" s="95">
        <v>1978800</v>
      </c>
      <c r="AC10" s="10">
        <v>51.97</v>
      </c>
      <c r="AD10" s="2">
        <f t="shared" si="0"/>
        <v>0.60999999999999943</v>
      </c>
      <c r="AE10" s="138">
        <f t="shared" si="1"/>
        <v>1.0892822408091751E-2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42593</v>
      </c>
      <c r="X11" s="10">
        <v>52.15</v>
      </c>
      <c r="Y11" s="10">
        <v>52.3</v>
      </c>
      <c r="Z11" s="10">
        <v>51.3</v>
      </c>
      <c r="AA11" s="10">
        <v>51.41</v>
      </c>
      <c r="AB11" s="95">
        <v>1580400</v>
      </c>
      <c r="AC11" s="10">
        <v>51.41</v>
      </c>
      <c r="AD11" s="2">
        <f t="shared" si="0"/>
        <v>1</v>
      </c>
      <c r="AE11" s="138">
        <f t="shared" si="1"/>
        <v>-1.1726259131103589E-2</v>
      </c>
    </row>
    <row r="12" spans="1:31" x14ac:dyDescent="0.25">
      <c r="H12" s="72"/>
      <c r="W12" s="133">
        <v>42592</v>
      </c>
      <c r="X12" s="10">
        <v>50.35</v>
      </c>
      <c r="Y12" s="10">
        <v>52.06</v>
      </c>
      <c r="Z12" s="10">
        <v>50.35</v>
      </c>
      <c r="AA12" s="10">
        <v>52.02</v>
      </c>
      <c r="AB12" s="95">
        <v>2996400</v>
      </c>
      <c r="AC12" s="10">
        <v>52.02</v>
      </c>
      <c r="AD12" s="2">
        <f t="shared" si="0"/>
        <v>1.7100000000000009</v>
      </c>
      <c r="AE12" s="138">
        <f t="shared" si="1"/>
        <v>3.5842293906810152E-2</v>
      </c>
    </row>
    <row r="13" spans="1:31" x14ac:dyDescent="0.25">
      <c r="H13" s="72"/>
      <c r="W13" s="133">
        <v>42591</v>
      </c>
      <c r="X13" s="10">
        <v>50.17</v>
      </c>
      <c r="Y13" s="10">
        <v>50.95</v>
      </c>
      <c r="Z13" s="10">
        <v>50.16</v>
      </c>
      <c r="AA13" s="10">
        <v>50.22</v>
      </c>
      <c r="AB13" s="95">
        <v>1800900</v>
      </c>
      <c r="AC13" s="10">
        <v>50.22</v>
      </c>
      <c r="AD13" s="2">
        <f t="shared" si="0"/>
        <v>0.79000000000000625</v>
      </c>
      <c r="AE13" s="138">
        <f t="shared" si="1"/>
        <v>1.9916351324433812E-4</v>
      </c>
    </row>
    <row r="14" spans="1:31" x14ac:dyDescent="0.25">
      <c r="H14" s="72"/>
      <c r="W14" s="133">
        <v>42590</v>
      </c>
      <c r="X14" s="10">
        <v>50.78</v>
      </c>
      <c r="Y14" s="10">
        <v>50.94</v>
      </c>
      <c r="Z14" s="10">
        <v>50.05</v>
      </c>
      <c r="AA14" s="10">
        <v>50.21</v>
      </c>
      <c r="AB14" s="95">
        <v>1405300</v>
      </c>
      <c r="AC14" s="10">
        <v>50.21</v>
      </c>
      <c r="AD14" s="2">
        <f t="shared" si="0"/>
        <v>0.89000000000000057</v>
      </c>
      <c r="AE14" s="138">
        <f t="shared" si="1"/>
        <v>-8.8827477299643354E-3</v>
      </c>
    </row>
    <row r="15" spans="1:31" x14ac:dyDescent="0.25">
      <c r="H15" s="72"/>
      <c r="W15" s="133">
        <v>42587</v>
      </c>
      <c r="X15" s="10">
        <v>49.73</v>
      </c>
      <c r="Y15" s="10">
        <v>50.87</v>
      </c>
      <c r="Z15" s="10">
        <v>49.16</v>
      </c>
      <c r="AA15" s="10">
        <v>50.66</v>
      </c>
      <c r="AB15" s="95">
        <v>2085000</v>
      </c>
      <c r="AC15" s="10">
        <v>50.66</v>
      </c>
      <c r="AD15" s="2">
        <f t="shared" si="0"/>
        <v>1.7100000000000009</v>
      </c>
      <c r="AE15" s="138">
        <f t="shared" si="1"/>
        <v>2.4883673882257762E-2</v>
      </c>
    </row>
    <row r="16" spans="1:31" x14ac:dyDescent="0.25">
      <c r="H16" s="72"/>
      <c r="W16" s="133">
        <v>42586</v>
      </c>
      <c r="X16" s="10">
        <v>49.28</v>
      </c>
      <c r="Y16" s="10">
        <v>49.71</v>
      </c>
      <c r="Z16" s="10">
        <v>48.92</v>
      </c>
      <c r="AA16" s="10">
        <v>49.43</v>
      </c>
      <c r="AB16" s="95">
        <v>1938500</v>
      </c>
      <c r="AC16" s="10">
        <v>49.43</v>
      </c>
      <c r="AD16" s="2">
        <f t="shared" si="0"/>
        <v>0.78999999999999915</v>
      </c>
      <c r="AE16" s="138">
        <f t="shared" si="1"/>
        <v>-2.0226537216827545E-4</v>
      </c>
    </row>
    <row r="17" spans="1:31" x14ac:dyDescent="0.25">
      <c r="W17" s="133">
        <v>42585</v>
      </c>
      <c r="X17" s="10">
        <v>49.86</v>
      </c>
      <c r="Y17" s="10">
        <v>49.98</v>
      </c>
      <c r="Z17" s="10">
        <v>49.16</v>
      </c>
      <c r="AA17" s="10">
        <v>49.44</v>
      </c>
      <c r="AB17" s="95">
        <v>1909000</v>
      </c>
      <c r="AC17" s="10">
        <v>49.44</v>
      </c>
      <c r="AD17" s="2">
        <f t="shared" si="0"/>
        <v>0.82000000000000028</v>
      </c>
      <c r="AE17" s="138">
        <f t="shared" si="1"/>
        <v>-1.040832666132907E-2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42584</v>
      </c>
      <c r="X18" s="10">
        <v>50.46</v>
      </c>
      <c r="Y18" s="10">
        <v>50.69</v>
      </c>
      <c r="Z18" s="10">
        <v>49.21</v>
      </c>
      <c r="AA18" s="10">
        <v>49.96</v>
      </c>
      <c r="AB18" s="95">
        <v>3083500</v>
      </c>
      <c r="AC18" s="10">
        <v>49.96</v>
      </c>
      <c r="AD18" s="2">
        <f t="shared" si="0"/>
        <v>1.4799999999999969</v>
      </c>
      <c r="AE18" s="138">
        <f t="shared" si="1"/>
        <v>-1.2648221343873556E-2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42583</v>
      </c>
      <c r="X19" s="10">
        <v>50.56</v>
      </c>
      <c r="Y19" s="10">
        <v>50.71</v>
      </c>
      <c r="Z19" s="10">
        <v>50.19</v>
      </c>
      <c r="AA19" s="10">
        <v>50.6</v>
      </c>
      <c r="AB19" s="95">
        <v>3028300</v>
      </c>
      <c r="AC19" s="10">
        <v>50.6</v>
      </c>
      <c r="AD19" s="2">
        <f t="shared" si="0"/>
        <v>0.52000000000000313</v>
      </c>
      <c r="AE19" s="138">
        <f t="shared" si="1"/>
        <v>1.3853156540668543E-3</v>
      </c>
    </row>
    <row r="20" spans="1:31" x14ac:dyDescent="0.25">
      <c r="W20" s="133">
        <v>42580</v>
      </c>
      <c r="X20" s="10">
        <v>50.64</v>
      </c>
      <c r="Y20" s="10">
        <v>50.83</v>
      </c>
      <c r="Z20" s="10">
        <v>49.76</v>
      </c>
      <c r="AA20" s="10">
        <v>50.53</v>
      </c>
      <c r="AB20" s="95">
        <v>3622500</v>
      </c>
      <c r="AC20" s="10">
        <v>50.53</v>
      </c>
      <c r="AD20" s="2">
        <f t="shared" si="0"/>
        <v>1.0700000000000003</v>
      </c>
      <c r="AE20" s="138">
        <f t="shared" si="1"/>
        <v>-3.1564411126454583E-3</v>
      </c>
    </row>
    <row r="21" spans="1:31" x14ac:dyDescent="0.25">
      <c r="W21" s="133">
        <v>42579</v>
      </c>
      <c r="X21" s="10">
        <v>50.45</v>
      </c>
      <c r="Y21" s="10">
        <v>51.13</v>
      </c>
      <c r="Z21" s="10">
        <v>50.21</v>
      </c>
      <c r="AA21" s="10">
        <v>50.69</v>
      </c>
      <c r="AB21" s="95">
        <v>4725000</v>
      </c>
      <c r="AC21" s="10">
        <v>50.69</v>
      </c>
      <c r="AD21" s="2">
        <f t="shared" si="0"/>
        <v>0.92000000000000171</v>
      </c>
      <c r="AE21" s="138">
        <f t="shared" si="1"/>
        <v>3.5636507622252012E-3</v>
      </c>
    </row>
    <row r="22" spans="1:31" x14ac:dyDescent="0.25">
      <c r="W22" s="133">
        <v>42578</v>
      </c>
      <c r="X22" s="10">
        <v>51.23</v>
      </c>
      <c r="Y22" s="10">
        <v>51.44</v>
      </c>
      <c r="Z22" s="10">
        <v>47.8</v>
      </c>
      <c r="AA22" s="10">
        <v>50.51</v>
      </c>
      <c r="AB22" s="95">
        <v>19372300</v>
      </c>
      <c r="AC22" s="10">
        <v>50.51</v>
      </c>
      <c r="AD22" s="2">
        <f t="shared" si="0"/>
        <v>3.6400000000000006</v>
      </c>
      <c r="AE22" s="138">
        <f t="shared" si="1"/>
        <v>-0.13048717507316243</v>
      </c>
    </row>
    <row r="23" spans="1:31" x14ac:dyDescent="0.25">
      <c r="W23" s="133">
        <v>42577</v>
      </c>
      <c r="X23" s="10">
        <v>58</v>
      </c>
      <c r="Y23" s="10">
        <v>58.47</v>
      </c>
      <c r="Z23" s="10">
        <v>57.69</v>
      </c>
      <c r="AA23" s="10">
        <v>58.09</v>
      </c>
      <c r="AB23" s="95">
        <v>3896200</v>
      </c>
      <c r="AC23" s="10">
        <v>58.09</v>
      </c>
      <c r="AD23" s="2">
        <f t="shared" si="0"/>
        <v>0.78000000000000114</v>
      </c>
      <c r="AE23" s="138">
        <f t="shared" si="1"/>
        <v>3.2815198618307839E-3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57.83</v>
      </c>
      <c r="Y24" s="10">
        <v>58.33</v>
      </c>
      <c r="Z24" s="10">
        <v>57.57</v>
      </c>
      <c r="AA24" s="10">
        <v>57.9</v>
      </c>
      <c r="AB24" s="95">
        <v>1676800</v>
      </c>
      <c r="AC24" s="10">
        <v>57.9</v>
      </c>
      <c r="AD24" s="2">
        <f t="shared" si="0"/>
        <v>0.75999999999999801</v>
      </c>
      <c r="AE24" s="138">
        <f t="shared" si="1"/>
        <v>1.7274140611500677E-4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319</v>
      </c>
      <c r="W25" s="133">
        <v>42573</v>
      </c>
      <c r="X25" s="10">
        <v>57.45</v>
      </c>
      <c r="Y25" s="10">
        <v>58.14</v>
      </c>
      <c r="Z25" s="10">
        <v>57.24</v>
      </c>
      <c r="AA25" s="10">
        <v>57.89</v>
      </c>
      <c r="AB25" s="95">
        <v>1047900</v>
      </c>
      <c r="AC25" s="10">
        <v>57.89</v>
      </c>
      <c r="AD25" s="2">
        <f t="shared" si="0"/>
        <v>0.89999999999999858</v>
      </c>
      <c r="AE25" s="138">
        <f t="shared" si="1"/>
        <v>1.206293706293704E-2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42572</v>
      </c>
      <c r="X26" s="10">
        <v>57.89</v>
      </c>
      <c r="Y26" s="10">
        <v>58.12</v>
      </c>
      <c r="Z26" s="10">
        <v>57.01</v>
      </c>
      <c r="AA26" s="10">
        <v>57.2</v>
      </c>
      <c r="AB26" s="95">
        <v>1486500</v>
      </c>
      <c r="AC26" s="10">
        <v>57.2</v>
      </c>
      <c r="AD26" s="2">
        <f t="shared" si="0"/>
        <v>1.1099999999999994</v>
      </c>
      <c r="AE26" s="138">
        <f t="shared" si="1"/>
        <v>-1.0893999654158715E-2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325</v>
      </c>
      <c r="W27" s="133">
        <v>42571</v>
      </c>
      <c r="X27" s="10">
        <v>57.71</v>
      </c>
      <c r="Y27" s="10">
        <v>57.89</v>
      </c>
      <c r="Z27" s="10">
        <v>57.42</v>
      </c>
      <c r="AA27" s="10">
        <v>57.83</v>
      </c>
      <c r="AB27" s="95">
        <v>1164600</v>
      </c>
      <c r="AC27" s="10">
        <v>57.83</v>
      </c>
      <c r="AD27" s="2">
        <f t="shared" si="0"/>
        <v>0.46999999999999886</v>
      </c>
      <c r="AE27" s="138">
        <f t="shared" si="1"/>
        <v>6.6144473455178598E-3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42570</v>
      </c>
      <c r="X28" s="10">
        <v>57.24</v>
      </c>
      <c r="Y28" s="10">
        <v>57.96</v>
      </c>
      <c r="Z28" s="10">
        <v>57.24</v>
      </c>
      <c r="AA28" s="10">
        <v>57.45</v>
      </c>
      <c r="AB28" s="95">
        <v>1000100</v>
      </c>
      <c r="AC28" s="10">
        <v>57.45</v>
      </c>
      <c r="AD28" s="2">
        <f t="shared" si="0"/>
        <v>0.71999999999999886</v>
      </c>
      <c r="AE28" s="138">
        <f t="shared" si="1"/>
        <v>-3.4800765616838092E-4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42569</v>
      </c>
      <c r="X29" s="10">
        <v>57.39</v>
      </c>
      <c r="Y29" s="10">
        <v>57.86</v>
      </c>
      <c r="Z29" s="10">
        <v>57.28</v>
      </c>
      <c r="AA29" s="10">
        <v>57.47</v>
      </c>
      <c r="AB29" s="95">
        <v>937900</v>
      </c>
      <c r="AC29" s="10">
        <v>57.47</v>
      </c>
      <c r="AD29" s="2">
        <f t="shared" si="0"/>
        <v>0.57999999999999829</v>
      </c>
      <c r="AE29" s="138">
        <f t="shared" si="1"/>
        <v>3.8427947598254075E-3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42566</v>
      </c>
      <c r="X30" s="10">
        <v>57.7</v>
      </c>
      <c r="Y30" s="10">
        <v>57.91</v>
      </c>
      <c r="Z30" s="10">
        <v>57.03</v>
      </c>
      <c r="AA30" s="10">
        <v>57.25</v>
      </c>
      <c r="AB30" s="95">
        <v>1138000</v>
      </c>
      <c r="AC30" s="10">
        <v>57.25</v>
      </c>
      <c r="AD30" s="2">
        <f t="shared" si="0"/>
        <v>0.87999999999999545</v>
      </c>
      <c r="AE30" s="138">
        <f t="shared" si="1"/>
        <v>-3.1342503917812792E-3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42565</v>
      </c>
      <c r="X31" s="10">
        <v>57.72</v>
      </c>
      <c r="Y31" s="10">
        <v>58.01</v>
      </c>
      <c r="Z31" s="10">
        <v>57.11</v>
      </c>
      <c r="AA31" s="10">
        <v>57.43</v>
      </c>
      <c r="AB31" s="95">
        <v>1611000</v>
      </c>
      <c r="AC31" s="10">
        <v>57.43</v>
      </c>
      <c r="AD31" s="2">
        <f t="shared" si="0"/>
        <v>0.89999999999999858</v>
      </c>
      <c r="AE31" s="138">
        <f t="shared" si="1"/>
        <v>1.0024621878297557E-2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42564</v>
      </c>
      <c r="X32" s="10">
        <v>56.7</v>
      </c>
      <c r="Y32" s="10">
        <v>57.69</v>
      </c>
      <c r="Z32" s="10">
        <v>56.5</v>
      </c>
      <c r="AA32" s="10">
        <v>56.86</v>
      </c>
      <c r="AB32" s="95">
        <v>1789600</v>
      </c>
      <c r="AC32" s="10">
        <v>56.86</v>
      </c>
      <c r="AD32" s="2">
        <f t="shared" si="0"/>
        <v>1.1899999999999977</v>
      </c>
      <c r="AE32" s="138">
        <f t="shared" si="1"/>
        <v>1.2464387464387494E-2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42563</v>
      </c>
      <c r="X33" s="10">
        <v>56.74</v>
      </c>
      <c r="Y33" s="10">
        <v>56.9</v>
      </c>
      <c r="Z33" s="10">
        <v>56.11</v>
      </c>
      <c r="AA33" s="10">
        <v>56.16</v>
      </c>
      <c r="AB33" s="95">
        <v>2017300</v>
      </c>
      <c r="AC33" s="10">
        <v>56.16</v>
      </c>
      <c r="AD33" s="2">
        <f t="shared" si="0"/>
        <v>0.78999999999999915</v>
      </c>
      <c r="AE33" s="138">
        <f t="shared" si="1"/>
        <v>-1.4224751066856944E-3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42562</v>
      </c>
      <c r="X34" s="10">
        <v>56.66</v>
      </c>
      <c r="Y34" s="10">
        <v>57.4</v>
      </c>
      <c r="Z34" s="10">
        <v>55.89</v>
      </c>
      <c r="AA34" s="10">
        <v>56.24</v>
      </c>
      <c r="AB34" s="95">
        <v>1498000</v>
      </c>
      <c r="AC34" s="10">
        <v>56.24</v>
      </c>
      <c r="AD34" s="2">
        <f t="shared" si="0"/>
        <v>1.509999999999998</v>
      </c>
      <c r="AE34" s="138">
        <f t="shared" si="1"/>
        <v>-2.4831500532103146E-3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42559</v>
      </c>
      <c r="X35" s="10">
        <v>55.5</v>
      </c>
      <c r="Y35" s="10">
        <v>56.64</v>
      </c>
      <c r="Z35" s="10">
        <v>54.86</v>
      </c>
      <c r="AA35" s="10">
        <v>56.38</v>
      </c>
      <c r="AB35" s="95">
        <v>1919200</v>
      </c>
      <c r="AC35" s="10">
        <v>56.38</v>
      </c>
      <c r="AD35" s="2">
        <f t="shared" si="0"/>
        <v>1.7800000000000011</v>
      </c>
      <c r="AE35" s="138">
        <f t="shared" si="1"/>
        <v>2.6210411357844965E-2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42558</v>
      </c>
      <c r="X36" s="10">
        <v>55</v>
      </c>
      <c r="Y36" s="10">
        <v>55.39</v>
      </c>
      <c r="Z36" s="10">
        <v>54.68</v>
      </c>
      <c r="AA36" s="10">
        <v>54.94</v>
      </c>
      <c r="AB36" s="95">
        <v>989600</v>
      </c>
      <c r="AC36" s="10">
        <v>54.94</v>
      </c>
      <c r="AD36" s="2">
        <f t="shared" si="0"/>
        <v>0.71000000000000085</v>
      </c>
      <c r="AE36" s="138">
        <f t="shared" si="1"/>
        <v>-3.639010189229186E-4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42557</v>
      </c>
      <c r="X37" s="10">
        <v>54.18</v>
      </c>
      <c r="Y37" s="10">
        <v>55.03</v>
      </c>
      <c r="Z37" s="10">
        <v>53.72</v>
      </c>
      <c r="AA37" s="10">
        <v>54.96</v>
      </c>
      <c r="AB37" s="95">
        <v>1443500</v>
      </c>
      <c r="AC37" s="10">
        <v>54.96</v>
      </c>
      <c r="AD37" s="2">
        <f t="shared" si="0"/>
        <v>1.3100000000000023</v>
      </c>
      <c r="AE37" s="138">
        <f t="shared" si="1"/>
        <v>1.3087557603686628E-2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42556</v>
      </c>
      <c r="X38" s="10">
        <v>55.1</v>
      </c>
      <c r="Y38" s="10">
        <v>55.5</v>
      </c>
      <c r="Z38" s="10">
        <v>53.81</v>
      </c>
      <c r="AA38" s="10">
        <v>54.25</v>
      </c>
      <c r="AB38" s="95">
        <v>1327200</v>
      </c>
      <c r="AC38" s="10">
        <v>54.25</v>
      </c>
      <c r="AD38" s="2">
        <f t="shared" si="0"/>
        <v>1.6899999999999977</v>
      </c>
      <c r="AE38" s="138">
        <f t="shared" si="1"/>
        <v>-2.2522522522522515E-2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42552</v>
      </c>
      <c r="X39" s="10">
        <v>55.81</v>
      </c>
      <c r="Y39" s="10">
        <v>56.33</v>
      </c>
      <c r="Z39" s="10">
        <v>55.2</v>
      </c>
      <c r="AA39" s="10">
        <v>55.5</v>
      </c>
      <c r="AB39" s="95">
        <v>1242400</v>
      </c>
      <c r="AC39" s="10">
        <v>55.5</v>
      </c>
      <c r="AD39" s="2">
        <f t="shared" si="0"/>
        <v>1.1299999999999955</v>
      </c>
      <c r="AE39" s="138">
        <f t="shared" si="1"/>
        <v>-7.6881816556410021E-3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42551</v>
      </c>
      <c r="X40" s="10">
        <v>54.79</v>
      </c>
      <c r="Y40" s="10">
        <v>55.94</v>
      </c>
      <c r="Z40" s="10">
        <v>53.99</v>
      </c>
      <c r="AA40" s="10">
        <v>55.93</v>
      </c>
      <c r="AB40" s="95">
        <v>1957600</v>
      </c>
      <c r="AC40" s="10">
        <v>55.93</v>
      </c>
      <c r="AD40" s="2">
        <f t="shared" si="0"/>
        <v>1.9499999999999957</v>
      </c>
      <c r="AE40" s="138">
        <f t="shared" si="1"/>
        <v>2.5109970674486837E-2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59.378</v>
      </c>
      <c r="Q41" s="2"/>
      <c r="W41" s="133">
        <v>42550</v>
      </c>
      <c r="X41" s="10">
        <v>53.09</v>
      </c>
      <c r="Y41" s="10">
        <v>54.84</v>
      </c>
      <c r="Z41" s="10">
        <v>52.8</v>
      </c>
      <c r="AA41" s="10">
        <v>54.56</v>
      </c>
      <c r="AB41" s="95">
        <v>1780200</v>
      </c>
      <c r="AC41" s="10">
        <v>54.56</v>
      </c>
      <c r="AD41" s="2">
        <f t="shared" si="0"/>
        <v>2.0400000000000063</v>
      </c>
      <c r="AE41" s="138">
        <f t="shared" si="1"/>
        <v>2.8463713477851149E-2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58.838200000000001</v>
      </c>
      <c r="Q42" s="2"/>
      <c r="T42" s="91" t="s">
        <v>113</v>
      </c>
      <c r="W42" s="133">
        <v>42549</v>
      </c>
      <c r="X42" s="10">
        <v>51.96</v>
      </c>
      <c r="Y42" s="10">
        <v>53.43</v>
      </c>
      <c r="Z42" s="10">
        <v>51.88</v>
      </c>
      <c r="AA42" s="10">
        <v>53.05</v>
      </c>
      <c r="AB42" s="95">
        <v>1965700</v>
      </c>
      <c r="AC42" s="10">
        <v>53.05</v>
      </c>
      <c r="AD42" s="2">
        <f t="shared" si="0"/>
        <v>1.5499999999999972</v>
      </c>
      <c r="AE42" s="138">
        <f t="shared" si="1"/>
        <v>3.6942924159499624E-2</v>
      </c>
    </row>
    <row r="43" spans="2:31" ht="15.75" thickTop="1" x14ac:dyDescent="0.25">
      <c r="O43" s="83">
        <v>1.08</v>
      </c>
      <c r="P43" s="83">
        <f t="shared" si="27"/>
        <v>58.298400000000001</v>
      </c>
      <c r="Q43" s="2"/>
      <c r="T43" s="128" t="s">
        <v>98</v>
      </c>
      <c r="U43" s="129">
        <v>53.6</v>
      </c>
      <c r="W43" s="133">
        <v>42548</v>
      </c>
      <c r="X43" s="10">
        <v>52.7</v>
      </c>
      <c r="Y43" s="10">
        <v>52.88</v>
      </c>
      <c r="Z43" s="10">
        <v>50.91</v>
      </c>
      <c r="AA43" s="10">
        <v>51.16</v>
      </c>
      <c r="AB43" s="95">
        <v>2436900</v>
      </c>
      <c r="AC43" s="10">
        <v>51.16</v>
      </c>
      <c r="AD43" s="2">
        <f t="shared" si="0"/>
        <v>1.970000000000006</v>
      </c>
      <c r="AE43" s="138">
        <f t="shared" si="1"/>
        <v>-4.1049671977507085E-2</v>
      </c>
    </row>
    <row r="44" spans="2:31" x14ac:dyDescent="0.25">
      <c r="O44" s="83">
        <v>1.07</v>
      </c>
      <c r="P44" s="83">
        <f t="shared" si="27"/>
        <v>57.758600000000001</v>
      </c>
      <c r="Q44" s="2"/>
      <c r="T44" s="93" t="s">
        <v>99</v>
      </c>
      <c r="U44" s="130">
        <v>53.68</v>
      </c>
      <c r="W44" s="133">
        <v>42545</v>
      </c>
      <c r="X44" s="10">
        <v>54.96</v>
      </c>
      <c r="Y44" s="10">
        <v>55.74</v>
      </c>
      <c r="Z44" s="10">
        <v>53.17</v>
      </c>
      <c r="AA44" s="10">
        <v>53.35</v>
      </c>
      <c r="AB44" s="95">
        <v>3494500</v>
      </c>
      <c r="AC44" s="10">
        <v>53.35</v>
      </c>
      <c r="AD44" s="2">
        <f t="shared" si="0"/>
        <v>2.5700000000000003</v>
      </c>
      <c r="AE44" s="138">
        <f t="shared" si="1"/>
        <v>-6.681826132587021E-2</v>
      </c>
    </row>
    <row r="45" spans="2:31" x14ac:dyDescent="0.25">
      <c r="O45" s="83">
        <v>1.06</v>
      </c>
      <c r="P45" s="83">
        <f t="shared" si="27"/>
        <v>57.218800000000002</v>
      </c>
      <c r="Q45" s="2"/>
      <c r="T45" s="93" t="s">
        <v>100</v>
      </c>
      <c r="U45" s="130" t="s">
        <v>418</v>
      </c>
      <c r="W45" s="133">
        <v>42544</v>
      </c>
      <c r="X45" s="10">
        <v>55.24</v>
      </c>
      <c r="Y45" s="10">
        <v>57.17</v>
      </c>
      <c r="Z45" s="10">
        <v>55.13</v>
      </c>
      <c r="AA45" s="10">
        <v>57.17</v>
      </c>
      <c r="AB45" s="95">
        <v>2517300</v>
      </c>
      <c r="AC45" s="10">
        <v>57.17</v>
      </c>
      <c r="AD45" s="2">
        <f t="shared" si="0"/>
        <v>2.0399999999999991</v>
      </c>
      <c r="AE45" s="138">
        <f t="shared" si="1"/>
        <v>4.5155393053016413E-2</v>
      </c>
    </row>
    <row r="46" spans="2:31" x14ac:dyDescent="0.25">
      <c r="O46" s="83">
        <v>1.05</v>
      </c>
      <c r="P46" s="83">
        <f t="shared" si="27"/>
        <v>56.679000000000002</v>
      </c>
      <c r="Q46" s="2"/>
      <c r="T46" s="93" t="s">
        <v>101</v>
      </c>
      <c r="U46" s="130" t="s">
        <v>419</v>
      </c>
      <c r="W46" s="133">
        <v>42543</v>
      </c>
      <c r="X46" s="10">
        <v>54.66</v>
      </c>
      <c r="Y46" s="10">
        <v>55.24</v>
      </c>
      <c r="Z46" s="10">
        <v>54.57</v>
      </c>
      <c r="AA46" s="10">
        <v>54.7</v>
      </c>
      <c r="AB46" s="95">
        <v>1495900</v>
      </c>
      <c r="AC46" s="10">
        <v>54.7</v>
      </c>
      <c r="AD46" s="2">
        <f t="shared" si="0"/>
        <v>0.67000000000000171</v>
      </c>
      <c r="AE46" s="138">
        <f t="shared" si="1"/>
        <v>0</v>
      </c>
    </row>
    <row r="47" spans="2:31" x14ac:dyDescent="0.25">
      <c r="O47" s="83">
        <v>1.04</v>
      </c>
      <c r="P47" s="83">
        <f t="shared" si="27"/>
        <v>56.139199999999995</v>
      </c>
      <c r="Q47" s="2"/>
      <c r="T47" s="93" t="s">
        <v>102</v>
      </c>
      <c r="U47" s="130">
        <v>60.05</v>
      </c>
      <c r="W47" s="133">
        <v>42542</v>
      </c>
      <c r="X47" s="10">
        <v>54.42</v>
      </c>
      <c r="Y47" s="10">
        <v>54.74</v>
      </c>
      <c r="Z47" s="10">
        <v>54.14</v>
      </c>
      <c r="AA47" s="10">
        <v>54.7</v>
      </c>
      <c r="AB47" s="95">
        <v>1132200</v>
      </c>
      <c r="AC47" s="10">
        <v>54.7</v>
      </c>
      <c r="AD47" s="2">
        <f t="shared" si="0"/>
        <v>0.60000000000000142</v>
      </c>
      <c r="AE47" s="138">
        <f t="shared" si="1"/>
        <v>1.0343553749538215E-2</v>
      </c>
    </row>
    <row r="48" spans="2:31" x14ac:dyDescent="0.25">
      <c r="O48" s="83">
        <v>1.03</v>
      </c>
      <c r="P48" s="83">
        <f t="shared" si="27"/>
        <v>55.599399999999996</v>
      </c>
      <c r="Q48" s="2"/>
      <c r="T48" s="93" t="s">
        <v>103</v>
      </c>
      <c r="U48" s="130">
        <v>0.97463100000000003</v>
      </c>
      <c r="W48" s="133">
        <v>42541</v>
      </c>
      <c r="X48" s="10">
        <v>54.04</v>
      </c>
      <c r="Y48" s="10">
        <v>54.82</v>
      </c>
      <c r="Z48" s="10">
        <v>53.5</v>
      </c>
      <c r="AA48" s="10">
        <v>54.14</v>
      </c>
      <c r="AB48" s="95">
        <v>1806900</v>
      </c>
      <c r="AC48" s="10">
        <v>54.14</v>
      </c>
      <c r="AD48" s="2">
        <f t="shared" si="0"/>
        <v>1.3200000000000003</v>
      </c>
      <c r="AE48" s="138">
        <f t="shared" si="1"/>
        <v>1.786050009400264E-2</v>
      </c>
    </row>
    <row r="49" spans="15:31" x14ac:dyDescent="0.25">
      <c r="O49" s="83">
        <v>1.02</v>
      </c>
      <c r="P49" s="83">
        <f t="shared" si="27"/>
        <v>55.059599999999996</v>
      </c>
      <c r="Q49" s="2"/>
      <c r="T49" s="93" t="s">
        <v>123</v>
      </c>
      <c r="U49" s="130" t="s">
        <v>322</v>
      </c>
      <c r="W49" s="133">
        <v>42538</v>
      </c>
      <c r="X49" s="10">
        <v>53.73</v>
      </c>
      <c r="Y49" s="10">
        <v>53.99</v>
      </c>
      <c r="Z49" s="10">
        <v>53.16</v>
      </c>
      <c r="AA49" s="10">
        <v>53.19</v>
      </c>
      <c r="AB49" s="95">
        <v>2330300</v>
      </c>
      <c r="AC49" s="10">
        <v>53.19</v>
      </c>
      <c r="AD49" s="2">
        <f t="shared" si="0"/>
        <v>0.8300000000000054</v>
      </c>
      <c r="AE49" s="138">
        <f t="shared" si="1"/>
        <v>-9.6816235337926493E-3</v>
      </c>
    </row>
    <row r="50" spans="15:31" x14ac:dyDescent="0.25">
      <c r="O50" s="83">
        <v>1.01</v>
      </c>
      <c r="P50" s="83">
        <f t="shared" si="27"/>
        <v>54.519799999999996</v>
      </c>
      <c r="Q50" s="2"/>
      <c r="T50" s="93"/>
      <c r="U50" s="130"/>
      <c r="W50" s="133">
        <v>42537</v>
      </c>
      <c r="X50" s="10">
        <v>52.8</v>
      </c>
      <c r="Y50" s="10">
        <v>53.81</v>
      </c>
      <c r="Z50" s="10">
        <v>52.35</v>
      </c>
      <c r="AA50" s="10">
        <v>53.71</v>
      </c>
      <c r="AB50" s="95">
        <v>1281200</v>
      </c>
      <c r="AC50" s="10">
        <v>53.71</v>
      </c>
      <c r="AD50" s="2">
        <f t="shared" si="0"/>
        <v>1.4600000000000009</v>
      </c>
      <c r="AE50" s="138">
        <f t="shared" si="1"/>
        <v>8.2598085226206486E-3</v>
      </c>
    </row>
    <row r="51" spans="15:31" x14ac:dyDescent="0.25">
      <c r="O51" s="83">
        <v>1</v>
      </c>
      <c r="P51" s="83">
        <f t="shared" si="27"/>
        <v>53.98</v>
      </c>
      <c r="Q51" s="2"/>
      <c r="T51" s="93" t="s">
        <v>105</v>
      </c>
      <c r="U51" s="130" t="s">
        <v>582</v>
      </c>
      <c r="W51" s="133">
        <v>42536</v>
      </c>
      <c r="X51" s="10">
        <v>52.66</v>
      </c>
      <c r="Y51" s="10">
        <v>54.06</v>
      </c>
      <c r="Z51" s="10">
        <v>52.66</v>
      </c>
      <c r="AA51" s="10">
        <v>53.27</v>
      </c>
      <c r="AB51" s="95">
        <v>1471600</v>
      </c>
      <c r="AC51" s="10">
        <v>53.27</v>
      </c>
      <c r="AD51" s="2">
        <f t="shared" si="0"/>
        <v>1.4000000000000057</v>
      </c>
      <c r="AE51" s="138">
        <f t="shared" si="1"/>
        <v>1.1583744777820204E-2</v>
      </c>
    </row>
    <row r="52" spans="15:31" x14ac:dyDescent="0.25">
      <c r="O52" s="83">
        <v>0.99</v>
      </c>
      <c r="P52" s="83">
        <f t="shared" si="27"/>
        <v>53.440199999999997</v>
      </c>
      <c r="Q52" s="2"/>
      <c r="T52" s="93" t="s">
        <v>106</v>
      </c>
      <c r="U52" s="130" t="s">
        <v>345</v>
      </c>
      <c r="W52" s="133">
        <v>42535</v>
      </c>
      <c r="X52" s="10">
        <v>52.09</v>
      </c>
      <c r="Y52" s="10">
        <v>52.69</v>
      </c>
      <c r="Z52" s="10">
        <v>51.97</v>
      </c>
      <c r="AA52" s="10">
        <v>52.66</v>
      </c>
      <c r="AB52" s="95">
        <v>1185000</v>
      </c>
      <c r="AC52" s="10">
        <v>52.66</v>
      </c>
      <c r="AD52" s="2">
        <f t="shared" si="0"/>
        <v>0.71999999999999886</v>
      </c>
      <c r="AE52" s="138">
        <f t="shared" si="1"/>
        <v>8.6190384983719781E-3</v>
      </c>
    </row>
    <row r="53" spans="15:31" x14ac:dyDescent="0.25">
      <c r="O53" s="83">
        <v>0.98</v>
      </c>
      <c r="P53" s="83">
        <f t="shared" si="27"/>
        <v>52.900399999999998</v>
      </c>
      <c r="Q53" s="2"/>
      <c r="T53" s="93" t="s">
        <v>107</v>
      </c>
      <c r="U53" s="131">
        <v>1984640</v>
      </c>
      <c r="W53" s="133">
        <v>42534</v>
      </c>
      <c r="X53" s="10">
        <v>52.47</v>
      </c>
      <c r="Y53" s="10">
        <v>53.16</v>
      </c>
      <c r="Z53" s="10">
        <v>52.18</v>
      </c>
      <c r="AA53" s="10">
        <v>52.21</v>
      </c>
      <c r="AB53" s="95">
        <v>1245500</v>
      </c>
      <c r="AC53" s="10">
        <v>52.21</v>
      </c>
      <c r="AD53" s="2">
        <f t="shared" si="0"/>
        <v>0.97999999999999687</v>
      </c>
      <c r="AE53" s="138">
        <f t="shared" si="1"/>
        <v>-9.8615588848851576E-3</v>
      </c>
    </row>
    <row r="54" spans="15:31" x14ac:dyDescent="0.25">
      <c r="O54" s="83">
        <v>0.97</v>
      </c>
      <c r="P54" s="83">
        <f t="shared" si="27"/>
        <v>52.360599999999998</v>
      </c>
      <c r="T54" s="93" t="s">
        <v>110</v>
      </c>
      <c r="U54" s="131">
        <v>2018000</v>
      </c>
      <c r="W54" s="133">
        <v>42531</v>
      </c>
      <c r="X54" s="10">
        <v>54.65</v>
      </c>
      <c r="Y54" s="10">
        <v>55.24</v>
      </c>
      <c r="Z54" s="10">
        <v>52.67</v>
      </c>
      <c r="AA54" s="10">
        <v>52.73</v>
      </c>
      <c r="AB54" s="95">
        <v>1434100</v>
      </c>
      <c r="AC54" s="10">
        <v>52.73</v>
      </c>
      <c r="AD54" s="2">
        <f t="shared" si="0"/>
        <v>2.5700000000000003</v>
      </c>
      <c r="AE54" s="138">
        <f t="shared" si="1"/>
        <v>-4.8881673881673859E-2</v>
      </c>
    </row>
    <row r="55" spans="15:31" x14ac:dyDescent="0.25">
      <c r="O55" s="83">
        <v>0.96</v>
      </c>
      <c r="P55" s="83">
        <f t="shared" si="27"/>
        <v>51.820799999999998</v>
      </c>
      <c r="T55" s="93" t="s">
        <v>108</v>
      </c>
      <c r="U55" s="130" t="s">
        <v>583</v>
      </c>
      <c r="W55" s="133">
        <v>42530</v>
      </c>
      <c r="X55" s="10">
        <v>54.63</v>
      </c>
      <c r="Y55" s="10">
        <v>55.5</v>
      </c>
      <c r="Z55" s="10">
        <v>54.16</v>
      </c>
      <c r="AA55" s="10">
        <v>55.44</v>
      </c>
      <c r="AB55" s="95">
        <v>1424100</v>
      </c>
      <c r="AC55" s="10">
        <v>55.44</v>
      </c>
      <c r="AD55" s="2">
        <f t="shared" si="0"/>
        <v>1.3400000000000034</v>
      </c>
      <c r="AE55" s="138">
        <f t="shared" si="1"/>
        <v>9.4683175528040842E-3</v>
      </c>
    </row>
    <row r="56" spans="15:31" x14ac:dyDescent="0.25">
      <c r="O56" s="83">
        <v>0.95</v>
      </c>
      <c r="P56" s="83">
        <f t="shared" si="27"/>
        <v>51.280999999999992</v>
      </c>
      <c r="T56" s="93" t="s">
        <v>111</v>
      </c>
      <c r="U56" s="130">
        <v>29.63</v>
      </c>
      <c r="W56" s="133">
        <v>42529</v>
      </c>
      <c r="X56" s="10">
        <v>54.99</v>
      </c>
      <c r="Y56" s="10">
        <v>55.4</v>
      </c>
      <c r="Z56" s="10">
        <v>54.81</v>
      </c>
      <c r="AA56" s="10">
        <v>54.92</v>
      </c>
      <c r="AB56" s="95">
        <v>1237400</v>
      </c>
      <c r="AC56" s="10">
        <v>54.92</v>
      </c>
      <c r="AD56" s="2">
        <f t="shared" si="0"/>
        <v>0.58999999999999631</v>
      </c>
      <c r="AE56" s="138">
        <f t="shared" si="1"/>
        <v>1.2762078395625043E-3</v>
      </c>
    </row>
    <row r="57" spans="15:31" x14ac:dyDescent="0.25">
      <c r="O57" s="83">
        <v>0.94</v>
      </c>
      <c r="P57" s="83">
        <f t="shared" si="27"/>
        <v>50.741199999999992</v>
      </c>
      <c r="T57" s="93" t="s">
        <v>112</v>
      </c>
      <c r="U57" s="130">
        <v>1.82</v>
      </c>
      <c r="W57" s="133">
        <v>42528</v>
      </c>
      <c r="X57" s="10">
        <v>54.5</v>
      </c>
      <c r="Y57" s="10">
        <v>54.89</v>
      </c>
      <c r="Z57" s="10">
        <v>53.92</v>
      </c>
      <c r="AA57" s="10">
        <v>54.85</v>
      </c>
      <c r="AB57" s="95">
        <v>1238200</v>
      </c>
      <c r="AC57" s="10">
        <v>54.85</v>
      </c>
      <c r="AD57" s="2">
        <f t="shared" si="0"/>
        <v>0.96999999999999886</v>
      </c>
      <c r="AE57" s="138">
        <f t="shared" si="1"/>
        <v>5.8683293599852693E-3</v>
      </c>
    </row>
    <row r="58" spans="15:31" x14ac:dyDescent="0.25">
      <c r="O58" s="83">
        <v>0.93</v>
      </c>
      <c r="P58" s="83">
        <f t="shared" si="27"/>
        <v>50.2014</v>
      </c>
      <c r="T58" s="93" t="s">
        <v>109</v>
      </c>
      <c r="U58" s="130" t="s">
        <v>124</v>
      </c>
      <c r="W58" s="133">
        <v>42527</v>
      </c>
      <c r="X58" s="10">
        <v>53.77</v>
      </c>
      <c r="Y58" s="10">
        <v>54.73</v>
      </c>
      <c r="Z58" s="10">
        <v>53.17</v>
      </c>
      <c r="AA58" s="10">
        <v>54.53</v>
      </c>
      <c r="AB58" s="95">
        <v>909300</v>
      </c>
      <c r="AC58" s="10">
        <v>54.53</v>
      </c>
      <c r="AD58" s="2">
        <f t="shared" si="0"/>
        <v>1.5599999999999952</v>
      </c>
      <c r="AE58" s="138">
        <f t="shared" si="1"/>
        <v>1.8300653594771399E-2</v>
      </c>
    </row>
    <row r="59" spans="15:31" x14ac:dyDescent="0.25">
      <c r="O59" s="83">
        <v>0.92</v>
      </c>
      <c r="P59" s="83">
        <f t="shared" si="27"/>
        <v>49.6616</v>
      </c>
      <c r="W59" s="133">
        <v>42524</v>
      </c>
      <c r="X59" s="10">
        <v>54.46</v>
      </c>
      <c r="Y59" s="10">
        <v>54.58</v>
      </c>
      <c r="Z59" s="10">
        <v>52.99</v>
      </c>
      <c r="AA59" s="10">
        <v>53.55</v>
      </c>
      <c r="AB59" s="95">
        <v>1280200</v>
      </c>
      <c r="AC59" s="10">
        <v>53.55</v>
      </c>
      <c r="AD59" s="2">
        <f t="shared" si="0"/>
        <v>1.5899999999999963</v>
      </c>
      <c r="AE59" s="138">
        <f t="shared" si="1"/>
        <v>-2.4590163934426257E-2</v>
      </c>
    </row>
    <row r="60" spans="15:31" x14ac:dyDescent="0.25">
      <c r="O60" s="83">
        <v>0.91</v>
      </c>
      <c r="P60" s="83">
        <f t="shared" si="27"/>
        <v>49.1218</v>
      </c>
      <c r="W60" s="133">
        <v>42523</v>
      </c>
      <c r="X60" s="10">
        <v>54.1</v>
      </c>
      <c r="Y60" s="10">
        <v>54.97</v>
      </c>
      <c r="Z60" s="10">
        <v>54.1</v>
      </c>
      <c r="AA60" s="10">
        <v>54.9</v>
      </c>
      <c r="AB60" s="95">
        <v>707400</v>
      </c>
      <c r="AC60" s="10">
        <v>54.9</v>
      </c>
      <c r="AD60" s="2">
        <f t="shared" si="0"/>
        <v>0.86999999999999744</v>
      </c>
      <c r="AE60" s="138">
        <f t="shared" si="1"/>
        <v>8.8202866593163343E-3</v>
      </c>
    </row>
    <row r="61" spans="15:31" x14ac:dyDescent="0.25">
      <c r="O61" s="83">
        <v>0.9</v>
      </c>
      <c r="P61" s="83">
        <f t="shared" si="27"/>
        <v>48.582000000000001</v>
      </c>
      <c r="W61" s="133">
        <v>42522</v>
      </c>
      <c r="X61" s="10">
        <v>54.01</v>
      </c>
      <c r="Y61" s="10">
        <v>54.62</v>
      </c>
      <c r="Z61" s="10">
        <v>53.73</v>
      </c>
      <c r="AA61" s="10">
        <v>54.42</v>
      </c>
      <c r="AB61" s="95">
        <v>1240800</v>
      </c>
      <c r="AC61" s="10">
        <v>54.42</v>
      </c>
      <c r="AD61" s="2">
        <f t="shared" si="0"/>
        <v>0.89000000000000057</v>
      </c>
      <c r="AE61" s="138">
        <f t="shared" si="1"/>
        <v>-2.9314767314033707E-3</v>
      </c>
    </row>
    <row r="62" spans="15:31" x14ac:dyDescent="0.25">
      <c r="W62" s="133">
        <v>42521</v>
      </c>
      <c r="X62" s="10">
        <v>54.42</v>
      </c>
      <c r="Y62" s="10">
        <v>54.78</v>
      </c>
      <c r="Z62" s="10">
        <v>54.18</v>
      </c>
      <c r="AA62" s="10">
        <v>54.58</v>
      </c>
      <c r="AB62" s="95">
        <v>1261000</v>
      </c>
      <c r="AC62" s="10">
        <v>54.58</v>
      </c>
      <c r="AD62" s="2">
        <f t="shared" si="0"/>
        <v>0.60000000000000142</v>
      </c>
      <c r="AE62" s="138">
        <f t="shared" si="1"/>
        <v>7.0110701107011231E-3</v>
      </c>
    </row>
    <row r="63" spans="15:31" x14ac:dyDescent="0.25">
      <c r="W63" s="133">
        <v>42517</v>
      </c>
      <c r="X63" s="10">
        <v>54</v>
      </c>
      <c r="Y63" s="10">
        <v>54.5</v>
      </c>
      <c r="Z63" s="10">
        <v>53.64</v>
      </c>
      <c r="AA63" s="10">
        <v>54.2</v>
      </c>
      <c r="AB63" s="95">
        <v>1166300</v>
      </c>
      <c r="AC63" s="10">
        <v>54.2</v>
      </c>
      <c r="AD63" s="2">
        <f t="shared" si="0"/>
        <v>0.85999999999999943</v>
      </c>
      <c r="AE63" s="138">
        <f t="shared" si="1"/>
        <v>4.0755835494628023E-3</v>
      </c>
    </row>
    <row r="64" spans="15:31" x14ac:dyDescent="0.25">
      <c r="W64" s="133">
        <v>42516</v>
      </c>
      <c r="X64" s="10">
        <v>52.76</v>
      </c>
      <c r="Y64" s="10">
        <v>54.17</v>
      </c>
      <c r="Z64" s="10">
        <v>52.62</v>
      </c>
      <c r="AA64" s="10">
        <v>53.98</v>
      </c>
      <c r="AB64" s="95">
        <v>2335200</v>
      </c>
      <c r="AC64" s="10">
        <v>53.98</v>
      </c>
      <c r="AD64" s="2">
        <f t="shared" si="0"/>
        <v>1.5500000000000043</v>
      </c>
      <c r="AE64" s="138">
        <f t="shared" si="1"/>
        <v>2.1188043889519337E-2</v>
      </c>
    </row>
    <row r="65" spans="23:31" x14ac:dyDescent="0.25">
      <c r="W65" s="133">
        <v>42515</v>
      </c>
      <c r="X65" s="10">
        <v>52.87</v>
      </c>
      <c r="Y65" s="10">
        <v>53.81</v>
      </c>
      <c r="Z65" s="10">
        <v>52.71</v>
      </c>
      <c r="AA65" s="10">
        <v>52.86</v>
      </c>
      <c r="AB65" s="95">
        <v>1142000</v>
      </c>
      <c r="AC65" s="10">
        <v>52.86</v>
      </c>
      <c r="AD65" s="2">
        <f t="shared" si="0"/>
        <v>1.1000000000000014</v>
      </c>
      <c r="AE65" s="138">
        <f t="shared" si="1"/>
        <v>3.0360531309296945E-3</v>
      </c>
    </row>
    <row r="66" spans="23:31" x14ac:dyDescent="0.25">
      <c r="W66" s="133">
        <v>42514</v>
      </c>
      <c r="X66" s="10">
        <v>51.32</v>
      </c>
      <c r="Y66" s="10">
        <v>52.91</v>
      </c>
      <c r="Z66" s="10">
        <v>51</v>
      </c>
      <c r="AA66" s="10">
        <v>52.7</v>
      </c>
      <c r="AB66" s="95">
        <v>1182300</v>
      </c>
      <c r="AC66" s="10">
        <v>52.7</v>
      </c>
      <c r="AD66" s="2">
        <f t="shared" si="0"/>
        <v>1.9099999999999966</v>
      </c>
      <c r="AE66" s="138">
        <f t="shared" si="1"/>
        <v>2.7490738935465053E-2</v>
      </c>
    </row>
    <row r="67" spans="23:31" x14ac:dyDescent="0.25">
      <c r="W67" s="133">
        <v>42513</v>
      </c>
      <c r="X67" s="10">
        <v>51.61</v>
      </c>
      <c r="Y67" s="10">
        <v>51.87</v>
      </c>
      <c r="Z67" s="10">
        <v>50.8</v>
      </c>
      <c r="AA67" s="10">
        <v>51.29</v>
      </c>
      <c r="AB67" s="95">
        <v>1586800</v>
      </c>
      <c r="AC67" s="10">
        <v>51.29</v>
      </c>
      <c r="AD67" s="2">
        <f>Y67-Z67</f>
        <v>1.0700000000000003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63" priority="9">
      <formula>F33&gt;0</formula>
    </cfRule>
    <cfRule type="expression" dxfId="562" priority="10">
      <formula>F33&lt;0</formula>
    </cfRule>
  </conditionalFormatting>
  <conditionalFormatting sqref="Q7">
    <cfRule type="expression" dxfId="561" priority="7">
      <formula>Q7&gt;0</formula>
    </cfRule>
    <cfRule type="expression" dxfId="560" priority="8">
      <formula>Q7&lt;0</formula>
    </cfRule>
  </conditionalFormatting>
  <conditionalFormatting sqref="Q8">
    <cfRule type="expression" dxfId="559" priority="5">
      <formula>Q8&gt;0</formula>
    </cfRule>
    <cfRule type="expression" dxfId="558" priority="6">
      <formula>Q8&lt;0</formula>
    </cfRule>
  </conditionalFormatting>
  <conditionalFormatting sqref="F25:F32">
    <cfRule type="expression" dxfId="557" priority="3">
      <formula>F25&gt;0</formula>
    </cfRule>
    <cfRule type="expression" dxfId="556" priority="4">
      <formula>F25&lt;0</formula>
    </cfRule>
  </conditionalFormatting>
  <conditionalFormatting sqref="H25:H32">
    <cfRule type="expression" dxfId="555" priority="1">
      <formula>H25&gt;0</formula>
    </cfRule>
    <cfRule type="expression" dxfId="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49"/>
  <sheetViews>
    <sheetView zoomScaleNormal="100" workbookViewId="0">
      <pane ySplit="1" topLeftCell="A312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5178</v>
      </c>
      <c r="W2" s="133">
        <v>42606</v>
      </c>
      <c r="X2" s="10">
        <v>16.34</v>
      </c>
      <c r="Y2" s="10">
        <v>16.53</v>
      </c>
      <c r="Z2" s="10">
        <v>15.97</v>
      </c>
      <c r="AA2" s="10">
        <v>16.059999999999999</v>
      </c>
      <c r="AB2" s="95">
        <v>16470900</v>
      </c>
      <c r="AC2" s="10">
        <v>16.059999999999999</v>
      </c>
      <c r="AE2" s="138">
        <f t="shared" ref="AE2:AE14" si="0">AC2/AC3-1</f>
        <v>-2.251978088861839E-2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17.001735998454706</v>
      </c>
      <c r="W3" s="133">
        <v>42605</v>
      </c>
      <c r="X3" s="10">
        <v>15.73</v>
      </c>
      <c r="Y3" s="10">
        <v>16.55</v>
      </c>
      <c r="Z3" s="10">
        <v>15.67</v>
      </c>
      <c r="AA3" s="10">
        <v>16.43</v>
      </c>
      <c r="AB3" s="95">
        <v>29790900</v>
      </c>
      <c r="AC3" s="10">
        <v>16.43</v>
      </c>
      <c r="AE3" s="138">
        <f t="shared" si="0"/>
        <v>5.0511508951406547E-2</v>
      </c>
      <c r="AL3" s="234"/>
      <c r="AO3" s="234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16.059999999999999</v>
      </c>
      <c r="W4" s="133">
        <v>42604</v>
      </c>
      <c r="X4" s="10">
        <v>16.2</v>
      </c>
      <c r="Y4" s="10">
        <v>16.25</v>
      </c>
      <c r="Z4" s="10">
        <v>15.45</v>
      </c>
      <c r="AA4" s="10">
        <v>15.64</v>
      </c>
      <c r="AB4" s="95">
        <v>26338000</v>
      </c>
      <c r="AC4" s="10">
        <v>15.64</v>
      </c>
      <c r="AE4" s="138">
        <f t="shared" si="0"/>
        <v>-6.9047619047619024E-2</v>
      </c>
      <c r="AJ4" s="235"/>
      <c r="AL4" s="234"/>
      <c r="AO4" s="234"/>
    </row>
    <row r="5" spans="1:41" x14ac:dyDescent="0.25">
      <c r="B5" s="54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353</v>
      </c>
      <c r="O5" s="11" t="s">
        <v>67</v>
      </c>
      <c r="Q5" s="3">
        <f>Q4*Q2</f>
        <v>83158.679999999993</v>
      </c>
      <c r="T5" s="67"/>
      <c r="W5" s="133">
        <v>42601</v>
      </c>
      <c r="X5" s="10">
        <v>16.52</v>
      </c>
      <c r="Y5" s="10">
        <v>16.850000000000001</v>
      </c>
      <c r="Z5" s="10">
        <v>16.48</v>
      </c>
      <c r="AA5" s="10">
        <v>16.8</v>
      </c>
      <c r="AB5" s="95">
        <v>16932800</v>
      </c>
      <c r="AC5" s="10">
        <v>16.8</v>
      </c>
      <c r="AE5" s="138">
        <f t="shared" si="0"/>
        <v>7.194244604316502E-3</v>
      </c>
    </row>
    <row r="6" spans="1:41" x14ac:dyDescent="0.25">
      <c r="B6" s="54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354</v>
      </c>
      <c r="O6" s="11" t="s">
        <v>64</v>
      </c>
      <c r="Q6" s="2">
        <f>Q3*Q2</f>
        <v>88034.988999998459</v>
      </c>
      <c r="W6" s="133">
        <v>42600</v>
      </c>
      <c r="X6" s="10">
        <v>15.87</v>
      </c>
      <c r="Y6" s="10">
        <v>16.73</v>
      </c>
      <c r="Z6" s="10">
        <v>15.8</v>
      </c>
      <c r="AA6" s="10">
        <v>16.68</v>
      </c>
      <c r="AB6" s="95">
        <v>26906000</v>
      </c>
      <c r="AC6" s="10">
        <v>16.68</v>
      </c>
      <c r="AE6" s="138">
        <f t="shared" si="0"/>
        <v>6.2420382165605082E-2</v>
      </c>
    </row>
    <row r="7" spans="1:41" x14ac:dyDescent="0.25">
      <c r="B7" s="54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-4876.3089999984368</v>
      </c>
      <c r="R7">
        <v>1100</v>
      </c>
      <c r="U7" s="184"/>
      <c r="W7" s="133">
        <v>42599</v>
      </c>
      <c r="X7" s="10">
        <v>15.07</v>
      </c>
      <c r="Y7" s="10">
        <v>15.75</v>
      </c>
      <c r="Z7" s="10">
        <v>14.93</v>
      </c>
      <c r="AA7" s="10">
        <v>15.7</v>
      </c>
      <c r="AB7" s="95">
        <v>20862600</v>
      </c>
      <c r="AC7" s="10">
        <v>15.7</v>
      </c>
      <c r="AE7" s="138">
        <f t="shared" si="0"/>
        <v>3.4937376400790976E-2</v>
      </c>
    </row>
    <row r="8" spans="1:41" x14ac:dyDescent="0.25">
      <c r="B8" s="54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-4876.3089999984368</v>
      </c>
      <c r="W8" s="133">
        <v>42598</v>
      </c>
      <c r="X8" s="10">
        <v>15.12</v>
      </c>
      <c r="Y8" s="10">
        <v>15.25</v>
      </c>
      <c r="Z8" s="10">
        <v>14.71</v>
      </c>
      <c r="AA8" s="10">
        <v>15.17</v>
      </c>
      <c r="AB8" s="95">
        <v>18354900</v>
      </c>
      <c r="AC8" s="10">
        <v>15.17</v>
      </c>
      <c r="AE8" s="138">
        <f t="shared" si="0"/>
        <v>1.8120805369127524E-2</v>
      </c>
    </row>
    <row r="9" spans="1:41" x14ac:dyDescent="0.25">
      <c r="B9" s="54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225</v>
      </c>
      <c r="Q9" s="138">
        <f>IF(Q2=0, 0, Q8/Q6)</f>
        <v>-5.5390578852670978E-2</v>
      </c>
      <c r="W9" s="133">
        <v>42597</v>
      </c>
      <c r="X9" s="10">
        <v>14.94</v>
      </c>
      <c r="Y9" s="10">
        <v>15.06</v>
      </c>
      <c r="Z9" s="10">
        <v>14.78</v>
      </c>
      <c r="AA9" s="10">
        <v>14.9</v>
      </c>
      <c r="AB9" s="95">
        <v>12045700</v>
      </c>
      <c r="AC9" s="10">
        <v>14.9</v>
      </c>
      <c r="AE9" s="138" t="e">
        <f t="shared" si="0"/>
        <v>#DIV/0!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4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224</v>
      </c>
      <c r="P10" s="34"/>
      <c r="Q10" s="2">
        <f>M30</f>
        <v>0</v>
      </c>
      <c r="W10" s="133">
        <v>42597</v>
      </c>
      <c r="X10" s="10" t="s">
        <v>160</v>
      </c>
      <c r="Y10" s="10"/>
      <c r="Z10" s="10"/>
      <c r="AA10" s="10"/>
      <c r="AB10" s="95"/>
      <c r="AC10" s="10"/>
      <c r="AE10" s="138">
        <f t="shared" si="0"/>
        <v>-1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42594</v>
      </c>
      <c r="X11" s="10">
        <v>14.6</v>
      </c>
      <c r="Y11" s="10">
        <v>14.92</v>
      </c>
      <c r="Z11" s="10">
        <v>14.55</v>
      </c>
      <c r="AA11" s="10">
        <v>14.72</v>
      </c>
      <c r="AB11" s="95">
        <v>13455700</v>
      </c>
      <c r="AC11" s="10">
        <v>14.67</v>
      </c>
      <c r="AE11" s="138">
        <f t="shared" si="0"/>
        <v>1.8750000000000044E-2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42593</v>
      </c>
      <c r="X12" s="10">
        <v>14.15</v>
      </c>
      <c r="Y12" s="10">
        <v>14.63</v>
      </c>
      <c r="Z12" s="10">
        <v>14.01</v>
      </c>
      <c r="AA12" s="10">
        <v>14.45</v>
      </c>
      <c r="AB12" s="95">
        <v>13615900</v>
      </c>
      <c r="AC12" s="10">
        <v>14.4</v>
      </c>
      <c r="AE12" s="138">
        <f t="shared" si="0"/>
        <v>3.3740129217516124E-2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42592</v>
      </c>
      <c r="X13" s="10">
        <v>14.48</v>
      </c>
      <c r="Y13" s="10">
        <v>14.59</v>
      </c>
      <c r="Z13" s="10">
        <v>13.95</v>
      </c>
      <c r="AA13" s="10">
        <v>13.98</v>
      </c>
      <c r="AB13" s="95">
        <v>13540000</v>
      </c>
      <c r="AC13" s="10">
        <v>13.93</v>
      </c>
      <c r="AE13" s="138">
        <f t="shared" si="0"/>
        <v>-3.0619345859429381E-2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42591</v>
      </c>
      <c r="X14" s="10">
        <v>14.35</v>
      </c>
      <c r="Y14" s="10">
        <v>14.52</v>
      </c>
      <c r="Z14" s="10">
        <v>14.22</v>
      </c>
      <c r="AA14" s="10">
        <v>14.42</v>
      </c>
      <c r="AB14" s="95">
        <v>15450800</v>
      </c>
      <c r="AC14" s="10">
        <v>14.37</v>
      </c>
      <c r="AE14" s="138">
        <f t="shared" si="0"/>
        <v>1.1971830985915588E-2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42590</v>
      </c>
      <c r="X15" s="10">
        <v>14.1</v>
      </c>
      <c r="Y15" s="10">
        <v>14.68</v>
      </c>
      <c r="Z15" s="10">
        <v>14.1</v>
      </c>
      <c r="AA15" s="10">
        <v>14.25</v>
      </c>
      <c r="AB15" s="95">
        <v>18392000</v>
      </c>
      <c r="AC15" s="10">
        <v>14.2</v>
      </c>
      <c r="AE15" s="138">
        <f>AC15/AC16-1</f>
        <v>2.7496382054992718E-2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42587</v>
      </c>
      <c r="X16" s="10">
        <v>13.47</v>
      </c>
      <c r="Y16" s="10">
        <v>13.94</v>
      </c>
      <c r="Z16" s="10">
        <v>13.3</v>
      </c>
      <c r="AA16" s="10">
        <v>13.87</v>
      </c>
      <c r="AB16" s="95">
        <v>16909700</v>
      </c>
      <c r="AC16" s="10">
        <v>13.82</v>
      </c>
      <c r="AE16" s="138">
        <f t="shared" ref="AE16:AE67" si="4">AC16/AC17-1</f>
        <v>3.4431137724550975E-2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42586</v>
      </c>
      <c r="X17" s="10">
        <v>13.6</v>
      </c>
      <c r="Y17" s="10">
        <v>13.9</v>
      </c>
      <c r="Z17" s="10">
        <v>13.05</v>
      </c>
      <c r="AA17" s="10">
        <v>13.41</v>
      </c>
      <c r="AB17" s="95">
        <v>24445600</v>
      </c>
      <c r="AC17" s="10">
        <v>13.36</v>
      </c>
      <c r="AE17" s="138">
        <f t="shared" si="4"/>
        <v>-7.4794315632009667E-4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42585</v>
      </c>
      <c r="X18" s="10">
        <v>12.97</v>
      </c>
      <c r="Y18" s="10">
        <v>13.42</v>
      </c>
      <c r="Z18" s="10">
        <v>12.67</v>
      </c>
      <c r="AA18" s="10">
        <v>13.42</v>
      </c>
      <c r="AB18" s="95">
        <v>17171100</v>
      </c>
      <c r="AC18" s="10">
        <v>13.37</v>
      </c>
      <c r="AE18" s="138">
        <f t="shared" si="4"/>
        <v>3.9657853810264321E-2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42584</v>
      </c>
      <c r="X19" s="10">
        <v>13.12</v>
      </c>
      <c r="Y19" s="10">
        <v>13.23</v>
      </c>
      <c r="Z19" s="10">
        <v>12.47</v>
      </c>
      <c r="AA19" s="10">
        <v>12.9</v>
      </c>
      <c r="AB19" s="95">
        <v>17163600</v>
      </c>
      <c r="AC19" s="10">
        <v>12.86</v>
      </c>
      <c r="AE19" s="138">
        <f t="shared" si="4"/>
        <v>-1.5527950310559868E-3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42583</v>
      </c>
      <c r="X20" s="10">
        <v>13.42</v>
      </c>
      <c r="Y20" s="10">
        <v>13.43</v>
      </c>
      <c r="Z20" s="10">
        <v>12.84</v>
      </c>
      <c r="AA20" s="10">
        <v>12.92</v>
      </c>
      <c r="AB20" s="95">
        <v>20926700</v>
      </c>
      <c r="AC20" s="10">
        <v>12.88</v>
      </c>
      <c r="AE20" s="138">
        <f t="shared" si="4"/>
        <v>-5.2244297277409757E-2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42580</v>
      </c>
      <c r="X21" s="10">
        <v>13.21</v>
      </c>
      <c r="Y21" s="10">
        <v>13.74</v>
      </c>
      <c r="Z21" s="10">
        <v>13.11</v>
      </c>
      <c r="AA21" s="10">
        <v>13.64</v>
      </c>
      <c r="AB21" s="95">
        <v>13855600</v>
      </c>
      <c r="AC21" s="10">
        <v>13.59</v>
      </c>
      <c r="AE21" s="138">
        <f t="shared" si="4"/>
        <v>2.1804511278195493E-2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42579</v>
      </c>
      <c r="X22" s="10">
        <v>13.19</v>
      </c>
      <c r="Y22" s="10">
        <v>13.45</v>
      </c>
      <c r="Z22" s="10">
        <v>13.08</v>
      </c>
      <c r="AA22" s="10">
        <v>13.35</v>
      </c>
      <c r="AB22" s="95">
        <v>16668900</v>
      </c>
      <c r="AC22" s="10">
        <v>13.3</v>
      </c>
      <c r="AE22" s="138">
        <f t="shared" si="4"/>
        <v>1.6042780748663166E-2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42578</v>
      </c>
      <c r="X23" s="10">
        <v>13.89</v>
      </c>
      <c r="Y23" s="10">
        <v>14.09</v>
      </c>
      <c r="Z23" s="10">
        <v>13.06</v>
      </c>
      <c r="AA23" s="10">
        <v>13.13</v>
      </c>
      <c r="AB23" s="95">
        <v>22775700</v>
      </c>
      <c r="AC23" s="10">
        <v>13.09</v>
      </c>
      <c r="AE23" s="138">
        <f t="shared" si="4"/>
        <v>-4.661325564457397E-2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42577</v>
      </c>
      <c r="X24" s="10">
        <v>13.49</v>
      </c>
      <c r="Y24" s="10">
        <v>13.83</v>
      </c>
      <c r="Z24" s="10">
        <v>13.41</v>
      </c>
      <c r="AA24" s="10">
        <v>13.78</v>
      </c>
      <c r="AB24" s="95">
        <v>14112600</v>
      </c>
      <c r="AC24" s="10">
        <v>13.73</v>
      </c>
      <c r="AE24" s="138">
        <f t="shared" si="4"/>
        <v>1.4781966001478297E-2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42576</v>
      </c>
      <c r="X25" s="10">
        <v>13.94</v>
      </c>
      <c r="Y25" s="10">
        <v>14.06</v>
      </c>
      <c r="Z25" s="10">
        <v>13.5</v>
      </c>
      <c r="AA25" s="10">
        <v>13.58</v>
      </c>
      <c r="AB25" s="95">
        <v>17377400</v>
      </c>
      <c r="AC25" s="10">
        <v>13.53</v>
      </c>
      <c r="AE25" s="138">
        <f t="shared" si="4"/>
        <v>-3.7695590327169404E-2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42573</v>
      </c>
      <c r="X26" s="10">
        <v>14.49</v>
      </c>
      <c r="Y26" s="10">
        <v>14.52</v>
      </c>
      <c r="Z26" s="10">
        <v>14.03</v>
      </c>
      <c r="AA26" s="10">
        <v>14.11</v>
      </c>
      <c r="AB26" s="95">
        <v>19805400</v>
      </c>
      <c r="AC26" s="10">
        <v>14.06</v>
      </c>
      <c r="AE26" s="138">
        <f t="shared" si="4"/>
        <v>-2.1572720946416046E-2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42572</v>
      </c>
      <c r="X27" s="10">
        <v>14.8</v>
      </c>
      <c r="Y27" s="10">
        <v>15.08</v>
      </c>
      <c r="Z27" s="10">
        <v>14.37</v>
      </c>
      <c r="AA27" s="10">
        <v>14.42</v>
      </c>
      <c r="AB27" s="95">
        <v>18026500</v>
      </c>
      <c r="AC27" s="10">
        <v>14.37</v>
      </c>
      <c r="AE27" s="138">
        <f t="shared" si="4"/>
        <v>-2.8397565922920864E-2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42571</v>
      </c>
      <c r="X28" s="10">
        <v>14.62</v>
      </c>
      <c r="Y28" s="10">
        <v>14.94</v>
      </c>
      <c r="Z28" s="10">
        <v>14.14</v>
      </c>
      <c r="AA28" s="10">
        <v>14.84</v>
      </c>
      <c r="AB28" s="95">
        <v>17544800</v>
      </c>
      <c r="AC28" s="10">
        <v>14.79</v>
      </c>
      <c r="AE28" s="138">
        <f t="shared" si="4"/>
        <v>6.1224489795919101E-3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42570</v>
      </c>
      <c r="X29" s="10">
        <v>15.06</v>
      </c>
      <c r="Y29" s="10">
        <v>15.13</v>
      </c>
      <c r="Z29" s="10">
        <v>14.65</v>
      </c>
      <c r="AA29" s="10">
        <v>14.75</v>
      </c>
      <c r="AB29" s="95">
        <v>12830500</v>
      </c>
      <c r="AC29" s="10">
        <v>14.7</v>
      </c>
      <c r="AE29" s="138">
        <f t="shared" si="4"/>
        <v>-2.8420356906807775E-2</v>
      </c>
    </row>
    <row r="30" spans="1:31" x14ac:dyDescent="0.25">
      <c r="B30" s="7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42569</v>
      </c>
      <c r="X30" s="10">
        <v>15.04</v>
      </c>
      <c r="Y30" s="10">
        <v>15.21</v>
      </c>
      <c r="Z30" s="10">
        <v>14.73</v>
      </c>
      <c r="AA30" s="10">
        <v>15.18</v>
      </c>
      <c r="AB30" s="95">
        <v>14617600</v>
      </c>
      <c r="AC30" s="10">
        <v>15.13</v>
      </c>
      <c r="AE30" s="138">
        <f t="shared" si="4"/>
        <v>-1.9788918205804196E-3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42566</v>
      </c>
      <c r="X31" s="10">
        <v>15.41</v>
      </c>
      <c r="Y31" s="10">
        <v>15.51</v>
      </c>
      <c r="Z31" s="10">
        <v>15.1</v>
      </c>
      <c r="AA31" s="10">
        <v>15.21</v>
      </c>
      <c r="AB31" s="95">
        <v>15297900</v>
      </c>
      <c r="AC31" s="10">
        <v>15.16</v>
      </c>
      <c r="AE31" s="138">
        <f t="shared" si="4"/>
        <v>-3.9421813403416328E-3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42565</v>
      </c>
      <c r="X32" s="10">
        <v>15.55</v>
      </c>
      <c r="Y32" s="10">
        <v>15.76</v>
      </c>
      <c r="Z32" s="10">
        <v>15.21</v>
      </c>
      <c r="AA32" s="10">
        <v>15.27</v>
      </c>
      <c r="AB32" s="95">
        <v>12174900</v>
      </c>
      <c r="AC32" s="10">
        <v>15.22</v>
      </c>
      <c r="AE32" s="138">
        <f t="shared" si="4"/>
        <v>-1.312335958005173E-3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42564</v>
      </c>
      <c r="X33" s="10">
        <v>15.44</v>
      </c>
      <c r="Y33" s="10">
        <v>15.74</v>
      </c>
      <c r="Z33" s="10">
        <v>15.13</v>
      </c>
      <c r="AA33" s="10">
        <v>15.29</v>
      </c>
      <c r="AB33" s="95">
        <v>22648400</v>
      </c>
      <c r="AC33" s="10">
        <v>15.24</v>
      </c>
      <c r="AE33" s="138">
        <f t="shared" si="4"/>
        <v>-1.9935691318327953E-2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42563</v>
      </c>
      <c r="X34" s="10">
        <v>15.03</v>
      </c>
      <c r="Y34" s="10">
        <v>15.73</v>
      </c>
      <c r="Z34" s="10">
        <v>15.01</v>
      </c>
      <c r="AA34" s="10">
        <v>15.6</v>
      </c>
      <c r="AB34" s="95">
        <v>21959700</v>
      </c>
      <c r="AC34" s="10">
        <v>15.55</v>
      </c>
      <c r="AE34" s="138">
        <f t="shared" si="4"/>
        <v>6.2158469945355233E-2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42562</v>
      </c>
      <c r="X35" s="10">
        <v>15</v>
      </c>
      <c r="Y35" s="10">
        <v>15.14</v>
      </c>
      <c r="Z35" s="10">
        <v>14.66</v>
      </c>
      <c r="AA35" s="10">
        <v>14.69</v>
      </c>
      <c r="AB35" s="95">
        <v>12502900</v>
      </c>
      <c r="AC35" s="10">
        <v>14.64</v>
      </c>
      <c r="AE35" s="138">
        <f t="shared" si="4"/>
        <v>-1.5467383994619999E-2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42559</v>
      </c>
      <c r="X36" s="10">
        <v>15.06</v>
      </c>
      <c r="Y36" s="10">
        <v>15.17</v>
      </c>
      <c r="Z36" s="10">
        <v>14.68</v>
      </c>
      <c r="AA36" s="10">
        <v>14.92</v>
      </c>
      <c r="AB36" s="95">
        <v>17321300</v>
      </c>
      <c r="AC36" s="10">
        <v>14.87</v>
      </c>
      <c r="AE36" s="138">
        <f t="shared" si="4"/>
        <v>1.2253233492171445E-2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42558</v>
      </c>
      <c r="X37" s="10">
        <v>15.2</v>
      </c>
      <c r="Y37" s="10">
        <v>15.4</v>
      </c>
      <c r="Z37" s="10">
        <v>14.56</v>
      </c>
      <c r="AA37" s="10">
        <v>14.74</v>
      </c>
      <c r="AB37" s="95">
        <v>18822000</v>
      </c>
      <c r="AC37" s="10">
        <v>14.69</v>
      </c>
      <c r="AE37" s="138">
        <f t="shared" si="4"/>
        <v>-6.7613252197430418E-3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42557</v>
      </c>
      <c r="X38" s="10">
        <v>14.56</v>
      </c>
      <c r="Y38" s="10">
        <v>15</v>
      </c>
      <c r="Z38" s="10">
        <v>14.43</v>
      </c>
      <c r="AA38" s="10">
        <v>14.84</v>
      </c>
      <c r="AB38" s="95">
        <v>15754800</v>
      </c>
      <c r="AC38" s="10">
        <v>14.79</v>
      </c>
      <c r="AE38" s="138">
        <f t="shared" si="4"/>
        <v>8.1799591002045258E-3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42556</v>
      </c>
      <c r="X39" s="10">
        <v>15.21</v>
      </c>
      <c r="Y39" s="10">
        <v>15.45</v>
      </c>
      <c r="Z39" s="10">
        <v>14.45</v>
      </c>
      <c r="AA39" s="10">
        <v>14.72</v>
      </c>
      <c r="AB39" s="95">
        <v>21129200</v>
      </c>
      <c r="AC39" s="10">
        <v>14.67</v>
      </c>
      <c r="AE39" s="138">
        <f t="shared" si="4"/>
        <v>-6.1420345489443418E-2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42552</v>
      </c>
      <c r="X40" s="10">
        <v>14.88</v>
      </c>
      <c r="Y40" s="10">
        <v>15.84</v>
      </c>
      <c r="Z40" s="10">
        <v>14.85</v>
      </c>
      <c r="AA40" s="10">
        <v>15.68</v>
      </c>
      <c r="AB40" s="95">
        <v>19890800</v>
      </c>
      <c r="AC40" s="10">
        <v>15.63</v>
      </c>
      <c r="AE40" s="138">
        <f t="shared" si="4"/>
        <v>4.4786096256684393E-2</v>
      </c>
    </row>
    <row r="41" spans="2:31" ht="20.25" thickBot="1" x14ac:dyDescent="0.35">
      <c r="B41" s="543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5" t="s">
        <v>78</v>
      </c>
      <c r="P41" s="535"/>
      <c r="W41" s="133">
        <v>42551</v>
      </c>
      <c r="X41" s="10">
        <v>15.02</v>
      </c>
      <c r="Y41" s="10">
        <v>15.15</v>
      </c>
      <c r="Z41" s="10">
        <v>14.76</v>
      </c>
      <c r="AA41" s="10">
        <v>15.01</v>
      </c>
      <c r="AB41" s="95">
        <v>15331700</v>
      </c>
      <c r="AC41" s="10">
        <v>14.96</v>
      </c>
      <c r="AE41" s="138">
        <f t="shared" si="4"/>
        <v>-8.6149768058315646E-3</v>
      </c>
    </row>
    <row r="42" spans="2:31" ht="21" thickTop="1" thickBot="1" x14ac:dyDescent="0.35">
      <c r="B42" s="543"/>
      <c r="C42" s="4">
        <v>340</v>
      </c>
      <c r="D42" s="240">
        <v>17.8</v>
      </c>
      <c r="E42" s="3">
        <v>0</v>
      </c>
      <c r="F42" s="3">
        <f t="shared" si="1"/>
        <v>6052</v>
      </c>
      <c r="G42" s="542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19.5932</v>
      </c>
      <c r="T42" s="134" t="s">
        <v>92</v>
      </c>
      <c r="W42" s="133">
        <v>42550</v>
      </c>
      <c r="X42" s="10">
        <v>15.02</v>
      </c>
      <c r="Y42" s="10">
        <v>15.45</v>
      </c>
      <c r="Z42" s="10">
        <v>14.84</v>
      </c>
      <c r="AA42" s="10">
        <v>15.14</v>
      </c>
      <c r="AB42" s="95">
        <v>24163800</v>
      </c>
      <c r="AC42" s="10">
        <v>15.09</v>
      </c>
      <c r="AE42" s="138">
        <f t="shared" si="4"/>
        <v>2.4439918533604832E-2</v>
      </c>
    </row>
    <row r="43" spans="2:31" ht="15.75" thickTop="1" x14ac:dyDescent="0.25">
      <c r="B43" s="1">
        <v>42312</v>
      </c>
      <c r="C43" s="17">
        <v>500</v>
      </c>
      <c r="D43" s="485">
        <v>17.559999999999999</v>
      </c>
      <c r="E43" s="75">
        <v>6.95</v>
      </c>
      <c r="F43" s="75">
        <f t="shared" si="1"/>
        <v>8786.9500000000007</v>
      </c>
      <c r="G43" s="54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19.432599999999997</v>
      </c>
      <c r="T43" s="135" t="s">
        <v>98</v>
      </c>
      <c r="U43" s="129">
        <v>13.02</v>
      </c>
      <c r="W43" s="133">
        <v>42549</v>
      </c>
      <c r="X43" s="10">
        <v>14.28</v>
      </c>
      <c r="Y43" s="10">
        <v>14.83</v>
      </c>
      <c r="Z43" s="10">
        <v>14.17</v>
      </c>
      <c r="AA43" s="10">
        <v>14.78</v>
      </c>
      <c r="AB43" s="95">
        <v>19105300</v>
      </c>
      <c r="AC43" s="10">
        <v>14.73</v>
      </c>
      <c r="AE43" s="138">
        <f t="shared" si="4"/>
        <v>8.2292432035268259E-2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4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19.271999999999998</v>
      </c>
      <c r="T44" s="136" t="s">
        <v>99</v>
      </c>
      <c r="U44" s="130">
        <v>13.23</v>
      </c>
      <c r="W44" s="133">
        <v>42548</v>
      </c>
      <c r="X44" s="10">
        <v>14.3</v>
      </c>
      <c r="Y44" s="10">
        <v>14.42</v>
      </c>
      <c r="Z44" s="10">
        <v>13.12</v>
      </c>
      <c r="AA44" s="10">
        <v>13.66</v>
      </c>
      <c r="AB44" s="95">
        <v>23889600</v>
      </c>
      <c r="AC44" s="10">
        <v>13.61</v>
      </c>
      <c r="AE44" s="138">
        <f t="shared" si="4"/>
        <v>-6.3961485557083919E-2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4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19.111399999999996</v>
      </c>
      <c r="T45" s="136" t="s">
        <v>100</v>
      </c>
      <c r="U45" s="130" t="s">
        <v>232</v>
      </c>
      <c r="W45" s="133">
        <v>42545</v>
      </c>
      <c r="X45" s="10">
        <v>14.31</v>
      </c>
      <c r="Y45" s="10">
        <v>14.94</v>
      </c>
      <c r="Z45" s="10">
        <v>14.28</v>
      </c>
      <c r="AA45" s="10">
        <v>14.59</v>
      </c>
      <c r="AB45" s="95">
        <v>33429500</v>
      </c>
      <c r="AC45" s="10">
        <v>14.54</v>
      </c>
      <c r="AE45" s="138">
        <f t="shared" si="4"/>
        <v>-4.4678055190538912E-2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18.950799999999997</v>
      </c>
      <c r="T46" s="136" t="s">
        <v>101</v>
      </c>
      <c r="U46" s="130" t="s">
        <v>233</v>
      </c>
      <c r="W46" s="133">
        <v>42544</v>
      </c>
      <c r="X46" s="10">
        <v>15.02</v>
      </c>
      <c r="Y46" s="10">
        <v>15.28</v>
      </c>
      <c r="Z46" s="10">
        <v>14.78</v>
      </c>
      <c r="AA46" s="10">
        <v>15.27</v>
      </c>
      <c r="AB46" s="95">
        <v>19494000</v>
      </c>
      <c r="AC46" s="10">
        <v>15.22</v>
      </c>
      <c r="AE46" s="138">
        <f t="shared" si="4"/>
        <v>3.5374149659864074E-2</v>
      </c>
    </row>
    <row r="47" spans="2:31" x14ac:dyDescent="0.25">
      <c r="B47" s="1">
        <v>42320</v>
      </c>
      <c r="C47" s="4">
        <v>1000</v>
      </c>
      <c r="D47" s="240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18.790199999999999</v>
      </c>
      <c r="T47" s="136" t="s">
        <v>102</v>
      </c>
      <c r="U47" s="130">
        <v>14.88</v>
      </c>
      <c r="W47" s="133">
        <v>42543</v>
      </c>
      <c r="X47" s="10">
        <v>15.13</v>
      </c>
      <c r="Y47" s="10">
        <v>15.32</v>
      </c>
      <c r="Z47" s="10">
        <v>14.56</v>
      </c>
      <c r="AA47" s="10">
        <v>14.75</v>
      </c>
      <c r="AB47" s="95">
        <v>21281100</v>
      </c>
      <c r="AC47" s="10">
        <v>14.7</v>
      </c>
      <c r="AE47" s="138">
        <f t="shared" si="4"/>
        <v>-2.2606382978723416E-2</v>
      </c>
    </row>
    <row r="48" spans="2:31" x14ac:dyDescent="0.25">
      <c r="B48" s="1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18.629599999999996</v>
      </c>
      <c r="T48" s="136" t="s">
        <v>103</v>
      </c>
      <c r="U48" s="130">
        <v>2.3886599999999998</v>
      </c>
      <c r="W48" s="133">
        <v>42542</v>
      </c>
      <c r="X48" s="10">
        <v>14.74</v>
      </c>
      <c r="Y48" s="10">
        <v>15.18</v>
      </c>
      <c r="Z48" s="10">
        <v>14.2</v>
      </c>
      <c r="AA48" s="10">
        <v>15.09</v>
      </c>
      <c r="AB48" s="95">
        <v>34467400</v>
      </c>
      <c r="AC48" s="10">
        <v>15.04</v>
      </c>
      <c r="AE48" s="138">
        <f t="shared" si="4"/>
        <v>4.2273042273042183E-2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18.468999999999998</v>
      </c>
      <c r="T49" s="136" t="s">
        <v>123</v>
      </c>
      <c r="U49" s="130" t="s">
        <v>216</v>
      </c>
      <c r="W49" s="133">
        <v>42541</v>
      </c>
      <c r="X49" s="10">
        <v>13.85</v>
      </c>
      <c r="Y49" s="10">
        <v>14.73</v>
      </c>
      <c r="Z49" s="10">
        <v>13.83</v>
      </c>
      <c r="AA49" s="10">
        <v>14.48</v>
      </c>
      <c r="AB49" s="95">
        <v>39534000</v>
      </c>
      <c r="AC49" s="10">
        <v>14.43</v>
      </c>
      <c r="AE49" s="138">
        <f t="shared" si="4"/>
        <v>9.9847560975609762E-2</v>
      </c>
    </row>
    <row r="50" spans="2:31" x14ac:dyDescent="0.25">
      <c r="B50" s="1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18.308399999999995</v>
      </c>
      <c r="T50" s="136"/>
      <c r="U50" s="130"/>
      <c r="W50" s="133">
        <v>42538</v>
      </c>
      <c r="X50" s="10">
        <v>12.98</v>
      </c>
      <c r="Y50" s="10">
        <v>13.38</v>
      </c>
      <c r="Z50" s="10">
        <v>12.93</v>
      </c>
      <c r="AA50" s="10">
        <v>13.16</v>
      </c>
      <c r="AB50" s="95">
        <v>17879400</v>
      </c>
      <c r="AC50" s="10">
        <v>13.12</v>
      </c>
      <c r="AE50" s="138">
        <f t="shared" si="4"/>
        <v>3.8796516231195399E-2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18.147799999999997</v>
      </c>
      <c r="T51" s="136" t="s">
        <v>105</v>
      </c>
      <c r="U51" s="130" t="s">
        <v>234</v>
      </c>
      <c r="W51" s="133">
        <v>42537</v>
      </c>
      <c r="X51" s="10">
        <v>12.9</v>
      </c>
      <c r="Y51" s="10">
        <v>12.91</v>
      </c>
      <c r="Z51" s="10">
        <v>12.22</v>
      </c>
      <c r="AA51" s="10">
        <v>12.67</v>
      </c>
      <c r="AB51" s="95">
        <v>16743700</v>
      </c>
      <c r="AC51" s="10">
        <v>12.63</v>
      </c>
      <c r="AE51" s="138">
        <f t="shared" si="4"/>
        <v>-2.995391705069117E-2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17.987200000000001</v>
      </c>
      <c r="T52" s="136" t="s">
        <v>106</v>
      </c>
      <c r="U52" s="130" t="s">
        <v>235</v>
      </c>
      <c r="W52" s="133">
        <v>42536</v>
      </c>
      <c r="X52" s="10">
        <v>13.06</v>
      </c>
      <c r="Y52" s="10">
        <v>13.49</v>
      </c>
      <c r="Z52" s="10">
        <v>12.89</v>
      </c>
      <c r="AA52" s="10">
        <v>13.06</v>
      </c>
      <c r="AB52" s="95">
        <v>13088100</v>
      </c>
      <c r="AC52" s="10">
        <v>13.02</v>
      </c>
      <c r="AE52" s="138">
        <f t="shared" si="4"/>
        <v>-1.2888551933282755E-2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44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17.826599999999999</v>
      </c>
      <c r="T53" s="136" t="s">
        <v>107</v>
      </c>
      <c r="U53" s="131">
        <v>16999922</v>
      </c>
      <c r="W53" s="133">
        <v>42535</v>
      </c>
      <c r="X53" s="10">
        <v>13.26</v>
      </c>
      <c r="Y53" s="10">
        <v>13.5</v>
      </c>
      <c r="Z53" s="10">
        <v>12.84</v>
      </c>
      <c r="AA53" s="10">
        <v>13.23</v>
      </c>
      <c r="AB53" s="95">
        <v>12107600</v>
      </c>
      <c r="AC53" s="10">
        <v>13.19</v>
      </c>
      <c r="AE53" s="138">
        <f t="shared" si="4"/>
        <v>-3.023431594860182E-3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17.666</v>
      </c>
      <c r="T54" s="136" t="s">
        <v>110</v>
      </c>
      <c r="U54" s="131">
        <v>32437100</v>
      </c>
      <c r="W54" s="133">
        <v>42534</v>
      </c>
      <c r="X54" s="10">
        <v>13.24</v>
      </c>
      <c r="Y54" s="10">
        <v>13.71</v>
      </c>
      <c r="Z54" s="10">
        <v>13.15</v>
      </c>
      <c r="AA54" s="10">
        <v>13.28</v>
      </c>
      <c r="AB54" s="95">
        <v>17032300</v>
      </c>
      <c r="AC54" s="10">
        <v>13.23</v>
      </c>
      <c r="AE54" s="138">
        <f t="shared" si="4"/>
        <v>-1.0471204188481575E-2</v>
      </c>
    </row>
    <row r="55" spans="2:31" x14ac:dyDescent="0.25">
      <c r="B55" s="1">
        <v>42352</v>
      </c>
      <c r="C55" s="4">
        <v>100</v>
      </c>
      <c r="D55" s="240">
        <v>14.57</v>
      </c>
      <c r="E55" s="3">
        <v>0</v>
      </c>
      <c r="F55" s="3">
        <f t="shared" si="1"/>
        <v>1457</v>
      </c>
      <c r="G55" s="54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17.505400000000002</v>
      </c>
      <c r="T55" s="136" t="s">
        <v>108</v>
      </c>
      <c r="U55" s="130" t="s">
        <v>236</v>
      </c>
      <c r="W55" s="133">
        <v>42531</v>
      </c>
      <c r="X55" s="10">
        <v>13.97</v>
      </c>
      <c r="Y55" s="10">
        <v>13.99</v>
      </c>
      <c r="Z55" s="10">
        <v>13.4</v>
      </c>
      <c r="AA55" s="10">
        <v>13.42</v>
      </c>
      <c r="AB55" s="95">
        <v>16791200</v>
      </c>
      <c r="AC55" s="10">
        <v>13.37</v>
      </c>
      <c r="AE55" s="138">
        <f t="shared" si="4"/>
        <v>-5.9113300492610987E-2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17.344799999999999</v>
      </c>
      <c r="T56" s="136" t="s">
        <v>111</v>
      </c>
      <c r="U56" s="130" t="s">
        <v>130</v>
      </c>
      <c r="W56" s="133">
        <v>42530</v>
      </c>
      <c r="X56" s="10">
        <v>14.18</v>
      </c>
      <c r="Y56" s="10">
        <v>14.47</v>
      </c>
      <c r="Z56" s="10">
        <v>14.1</v>
      </c>
      <c r="AA56" s="10">
        <v>14.26</v>
      </c>
      <c r="AB56" s="95">
        <v>14134300</v>
      </c>
      <c r="AC56" s="10">
        <v>14.21</v>
      </c>
      <c r="AE56" s="138">
        <f t="shared" si="4"/>
        <v>-1.8646408839778972E-2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17.184200000000001</v>
      </c>
      <c r="T57" s="136" t="s">
        <v>112</v>
      </c>
      <c r="U57" s="130">
        <v>-3.39</v>
      </c>
      <c r="W57" s="133">
        <v>42529</v>
      </c>
      <c r="X57" s="10">
        <v>15</v>
      </c>
      <c r="Y57" s="10">
        <v>15.15</v>
      </c>
      <c r="Z57" s="10">
        <v>14.42</v>
      </c>
      <c r="AA57" s="10">
        <v>14.53</v>
      </c>
      <c r="AB57" s="95">
        <v>20238300</v>
      </c>
      <c r="AC57" s="10">
        <v>14.48</v>
      </c>
      <c r="AE57" s="138">
        <f t="shared" si="4"/>
        <v>-6.1770761839395893E-3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17.023599999999998</v>
      </c>
      <c r="T58" s="136" t="s">
        <v>109</v>
      </c>
      <c r="U58" s="130" t="s">
        <v>231</v>
      </c>
      <c r="W58" s="133">
        <v>42528</v>
      </c>
      <c r="X58" s="10">
        <v>14.15</v>
      </c>
      <c r="Y58" s="10">
        <v>14.75</v>
      </c>
      <c r="Z58" s="10">
        <v>13.97</v>
      </c>
      <c r="AA58" s="10">
        <v>14.62</v>
      </c>
      <c r="AB58" s="95">
        <v>24184000</v>
      </c>
      <c r="AC58" s="10">
        <v>14.57</v>
      </c>
      <c r="AE58" s="138">
        <f t="shared" si="4"/>
        <v>4.7447879223580181E-2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16.863</v>
      </c>
      <c r="W59" s="133">
        <v>42527</v>
      </c>
      <c r="X59" s="10">
        <v>13.65</v>
      </c>
      <c r="Y59" s="10">
        <v>14</v>
      </c>
      <c r="Z59" s="10">
        <v>13.52</v>
      </c>
      <c r="AA59" s="10">
        <v>13.96</v>
      </c>
      <c r="AB59" s="95">
        <v>16295400</v>
      </c>
      <c r="AC59" s="10">
        <v>13.91</v>
      </c>
      <c r="AE59" s="138">
        <f t="shared" si="4"/>
        <v>4.8229088168801892E-2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16.702400000000001</v>
      </c>
      <c r="W60" s="133">
        <v>42524</v>
      </c>
      <c r="X60" s="10">
        <v>13.36</v>
      </c>
      <c r="Y60" s="10">
        <v>13.57</v>
      </c>
      <c r="Z60" s="10">
        <v>13.07</v>
      </c>
      <c r="AA60" s="10">
        <v>13.32</v>
      </c>
      <c r="AB60" s="95">
        <v>14767900</v>
      </c>
      <c r="AC60" s="10">
        <v>13.27</v>
      </c>
      <c r="AE60" s="138">
        <f t="shared" si="4"/>
        <v>-4.5011252813204061E-3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16.541799999999999</v>
      </c>
      <c r="W61" s="133">
        <v>42523</v>
      </c>
      <c r="X61" s="10">
        <v>13.01</v>
      </c>
      <c r="Y61" s="10">
        <v>13.47</v>
      </c>
      <c r="Z61" s="10">
        <v>12.96</v>
      </c>
      <c r="AA61" s="10">
        <v>13.38</v>
      </c>
      <c r="AB61" s="95">
        <v>13965100</v>
      </c>
      <c r="AC61" s="10">
        <v>13.33</v>
      </c>
      <c r="AE61" s="138">
        <f t="shared" si="4"/>
        <v>1.0614101592115288E-2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16.3812</v>
      </c>
      <c r="W62" s="133">
        <v>42522</v>
      </c>
      <c r="X62" s="10">
        <v>12.88</v>
      </c>
      <c r="Y62" s="10">
        <v>13.32</v>
      </c>
      <c r="Z62" s="10">
        <v>12.68</v>
      </c>
      <c r="AA62" s="10">
        <v>13.23</v>
      </c>
      <c r="AB62" s="95">
        <v>17141800</v>
      </c>
      <c r="AC62" s="10">
        <v>13.19</v>
      </c>
      <c r="AE62" s="138">
        <f t="shared" si="4"/>
        <v>1.2279355333844943E-2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16.220599999999997</v>
      </c>
      <c r="W63" s="133">
        <v>42521</v>
      </c>
      <c r="X63" s="10">
        <v>13.11</v>
      </c>
      <c r="Y63" s="10">
        <v>13.59</v>
      </c>
      <c r="Z63" s="10">
        <v>12.94</v>
      </c>
      <c r="AA63" s="10">
        <v>13.07</v>
      </c>
      <c r="AB63" s="95">
        <v>19678400</v>
      </c>
      <c r="AC63" s="10">
        <v>13.03</v>
      </c>
      <c r="AE63" s="138">
        <f t="shared" si="4"/>
        <v>1.3219284603421366E-2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16.059999999999999</v>
      </c>
      <c r="W64" s="133">
        <v>42517</v>
      </c>
      <c r="X64" s="10">
        <v>13.06</v>
      </c>
      <c r="Y64" s="10">
        <v>13.1</v>
      </c>
      <c r="Z64" s="10">
        <v>12.77</v>
      </c>
      <c r="AA64" s="10">
        <v>12.9</v>
      </c>
      <c r="AB64" s="95">
        <v>16136400</v>
      </c>
      <c r="AC64" s="10">
        <v>12.86</v>
      </c>
      <c r="AE64" s="138">
        <f t="shared" si="4"/>
        <v>-2.0563594821020659E-2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15.899399999999998</v>
      </c>
      <c r="W65" s="133">
        <v>42516</v>
      </c>
      <c r="X65" s="10">
        <v>13.8</v>
      </c>
      <c r="Y65" s="10">
        <v>13.89</v>
      </c>
      <c r="Z65" s="10">
        <v>13.17</v>
      </c>
      <c r="AA65" s="10">
        <v>13.17</v>
      </c>
      <c r="AB65" s="95">
        <v>17242000</v>
      </c>
      <c r="AC65" s="10">
        <v>13.13</v>
      </c>
      <c r="AE65" s="138">
        <f t="shared" si="4"/>
        <v>-2.6686434395848724E-2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15.738799999999998</v>
      </c>
      <c r="W66" s="133">
        <v>42515</v>
      </c>
      <c r="X66" s="10">
        <v>13.23</v>
      </c>
      <c r="Y66" s="10">
        <v>13.6</v>
      </c>
      <c r="Z66" s="10">
        <v>13.14</v>
      </c>
      <c r="AA66" s="10">
        <v>13.54</v>
      </c>
      <c r="AB66" s="95">
        <v>16999500</v>
      </c>
      <c r="AC66" s="10">
        <v>13.49</v>
      </c>
      <c r="AE66" s="138">
        <f t="shared" si="4"/>
        <v>3.9291217257318989E-2</v>
      </c>
    </row>
    <row r="67" spans="1:31" x14ac:dyDescent="0.25">
      <c r="B67" s="24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15.578199999999999</v>
      </c>
      <c r="W67" s="133">
        <v>42514</v>
      </c>
      <c r="X67" s="10">
        <v>13.24</v>
      </c>
      <c r="Y67" s="10">
        <v>13.3</v>
      </c>
      <c r="Z67" s="10">
        <v>12.9</v>
      </c>
      <c r="AA67" s="10">
        <v>13.02</v>
      </c>
      <c r="AB67" s="95">
        <v>18427500</v>
      </c>
      <c r="AC67" s="10">
        <v>12.98</v>
      </c>
      <c r="AE67" s="138">
        <f t="shared" si="4"/>
        <v>-1.2927756653992373E-2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15.417599999999998</v>
      </c>
      <c r="W68" s="133">
        <v>42513</v>
      </c>
      <c r="X68" s="10">
        <v>12.87</v>
      </c>
      <c r="Y68" s="10">
        <v>13.29</v>
      </c>
      <c r="Z68" s="10">
        <v>12.83</v>
      </c>
      <c r="AA68" s="10">
        <v>13.19</v>
      </c>
      <c r="AB68" s="95">
        <v>16878200</v>
      </c>
      <c r="AC68" s="10">
        <v>13.15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15.256999999999998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15.096399999999997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14.9358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14.7752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14.614599999999999</v>
      </c>
    </row>
    <row r="74" spans="1:31" ht="15" customHeight="1" x14ac:dyDescent="0.25">
      <c r="B74" s="542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14.453999999999999</v>
      </c>
    </row>
    <row r="75" spans="1:31" x14ac:dyDescent="0.25">
      <c r="B75" s="542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14.293399999999998</v>
      </c>
    </row>
    <row r="76" spans="1:31" x14ac:dyDescent="0.25">
      <c r="B76" s="542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14.1328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13.972199999999999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13.811599999999999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13.650999999999998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6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3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2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3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3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3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3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1" t="s">
        <v>257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38" t="s">
        <v>209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3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3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3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9" t="s">
        <v>214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9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9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38" t="s">
        <v>220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3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3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74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0" t="s">
        <v>279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 t="shared" ref="F148:F154" si="14">C148*D148+E148</f>
        <v>7310</v>
      </c>
      <c r="G148" s="54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4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7" t="s">
        <v>308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7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7">
        <v>60</v>
      </c>
      <c r="D154" s="79">
        <v>14.58</v>
      </c>
      <c r="E154" s="44">
        <v>0</v>
      </c>
      <c r="F154" s="44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3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7">
        <v>200</v>
      </c>
      <c r="D159" s="79">
        <v>13.15</v>
      </c>
      <c r="E159" s="44">
        <v>0</v>
      </c>
      <c r="F159" s="44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1">
        <v>42584</v>
      </c>
      <c r="C161" s="7">
        <v>200</v>
      </c>
      <c r="D161" s="79">
        <v>12.68</v>
      </c>
      <c r="E161" s="44">
        <v>0</v>
      </c>
      <c r="F161" s="44">
        <f t="shared" si="16"/>
        <v>2536</v>
      </c>
      <c r="G161" s="1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  <c r="G162" s="1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1">
        <v>42594</v>
      </c>
      <c r="C163" s="7">
        <v>500</v>
      </c>
      <c r="D163" s="79">
        <v>14.65</v>
      </c>
      <c r="E163" s="44">
        <v>0</v>
      </c>
      <c r="F163" s="44">
        <f t="shared" si="16"/>
        <v>7325</v>
      </c>
      <c r="G163" s="1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1">
        <v>42599</v>
      </c>
      <c r="C164" s="7">
        <v>500</v>
      </c>
      <c r="D164" s="79">
        <v>14.95</v>
      </c>
      <c r="E164" s="44">
        <v>0</v>
      </c>
      <c r="F164" s="44">
        <f>C164*D164+E164</f>
        <v>7475</v>
      </c>
      <c r="G164" s="1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1">
        <v>42604</v>
      </c>
      <c r="C165" s="7">
        <v>1000</v>
      </c>
      <c r="D165" s="79">
        <v>15.68</v>
      </c>
      <c r="E165" s="44">
        <v>0</v>
      </c>
      <c r="F165" s="44">
        <f>C165*D165+E165</f>
        <v>15680</v>
      </c>
      <c r="G165" s="1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1">
        <v>42604</v>
      </c>
      <c r="C166" s="7">
        <v>500</v>
      </c>
      <c r="D166" s="79">
        <v>15.48</v>
      </c>
      <c r="E166" s="44">
        <v>0</v>
      </c>
      <c r="F166" s="44">
        <f>C166*D166+E166</f>
        <v>7740</v>
      </c>
      <c r="G166" s="1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1">
        <v>42606</v>
      </c>
      <c r="C167" s="7">
        <v>178</v>
      </c>
      <c r="D167" s="79">
        <v>16.059999999999999</v>
      </c>
      <c r="E167" s="44">
        <v>0</v>
      </c>
      <c r="F167" s="44">
        <f>C167*D167+E167</f>
        <v>2858.68</v>
      </c>
      <c r="G167" s="536" t="s">
        <v>373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C168" s="4"/>
      <c r="D168" s="240"/>
      <c r="E168" s="3"/>
      <c r="F168" s="3"/>
      <c r="G168" s="53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G169" s="53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G170" s="53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G171" s="1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G172" s="1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G173" s="1">
        <v>42605</v>
      </c>
      <c r="H173" s="72">
        <v>500</v>
      </c>
      <c r="I173" s="80">
        <v>16.25</v>
      </c>
      <c r="J173" s="2">
        <v>0.18</v>
      </c>
      <c r="K173" s="2">
        <f t="shared" si="13"/>
        <v>8124.82</v>
      </c>
    </row>
    <row r="174" spans="2:11" x14ac:dyDescent="0.25">
      <c r="G174" s="1">
        <v>42605</v>
      </c>
      <c r="H174" s="72">
        <v>500</v>
      </c>
      <c r="I174" s="80">
        <v>16.48</v>
      </c>
      <c r="J174" s="2">
        <v>0.18</v>
      </c>
      <c r="K174" s="2">
        <f t="shared" si="13"/>
        <v>8239.82</v>
      </c>
    </row>
    <row r="185" spans="1:13" x14ac:dyDescent="0.25">
      <c r="A185" s="32" t="s">
        <v>81</v>
      </c>
      <c r="B185" s="14"/>
      <c r="C185" s="73">
        <f>SUM(C2:C184)</f>
        <v>107612</v>
      </c>
      <c r="D185" s="18"/>
      <c r="E185" s="18"/>
      <c r="F185" s="18">
        <f>SUM(F2:F184)</f>
        <v>1493172.7389999998</v>
      </c>
      <c r="G185" s="14"/>
      <c r="H185" s="73">
        <f>SUM(H2:H184)</f>
        <v>102434</v>
      </c>
      <c r="I185" s="81"/>
      <c r="J185" s="18"/>
      <c r="K185" s="18">
        <f>SUM(K2:K184)</f>
        <v>1403319.4500000014</v>
      </c>
      <c r="L185" s="14"/>
      <c r="M185" s="18">
        <f>SUM(M2:M12)</f>
        <v>1818.3000000000002</v>
      </c>
    </row>
    <row r="186" spans="1:13" ht="15.75" thickBot="1" x14ac:dyDescent="0.3">
      <c r="A186" s="360" t="s">
        <v>204</v>
      </c>
      <c r="B186" s="361"/>
      <c r="C186" s="362">
        <f>SumByColor($A$186, C2:C184)</f>
        <v>101934</v>
      </c>
      <c r="D186" s="362"/>
      <c r="E186" s="362"/>
      <c r="F186" s="363">
        <f>SumByColor($A$186, F2:F184)</f>
        <v>1393537</v>
      </c>
      <c r="G186" s="362"/>
      <c r="H186" s="362">
        <f>SumByColor($A$186, H2:H184)</f>
        <v>100756</v>
      </c>
      <c r="I186" s="362"/>
      <c r="J186" s="363"/>
      <c r="K186" s="363">
        <f>SumByColor($A$186, K2:K184)</f>
        <v>1376045</v>
      </c>
      <c r="L186" s="362"/>
      <c r="M186" s="363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7">IF(C189=0, 0,D189*C189)</f>
        <v>68120</v>
      </c>
      <c r="H189" s="232">
        <f t="shared" ref="H189:H195" si="18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7"/>
        <v>0</v>
      </c>
      <c r="H190" s="232" t="str">
        <f t="shared" si="18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7"/>
        <v>0</v>
      </c>
      <c r="H191" s="232" t="str">
        <f t="shared" si="18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7"/>
        <v>75600</v>
      </c>
      <c r="H192" s="232">
        <f t="shared" si="18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7"/>
        <v>0</v>
      </c>
      <c r="H193" s="232" t="str">
        <f t="shared" si="18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7"/>
        <v>82367.28</v>
      </c>
      <c r="H194" s="232">
        <f t="shared" si="18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7"/>
        <v>0</v>
      </c>
      <c r="H195" s="232" t="str">
        <f t="shared" si="18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19">C197*(E197-D197)</f>
        <v>-29017.579999999998</v>
      </c>
      <c r="G197" s="40">
        <f t="shared" ref="G197:G226" si="20">D197*C197</f>
        <v>91417.900000000009</v>
      </c>
      <c r="H197" s="231">
        <f t="shared" ref="H197:H226" si="21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19"/>
        <v>-31836.35999999999</v>
      </c>
      <c r="G198" s="40">
        <f t="shared" si="20"/>
        <v>101483.62</v>
      </c>
      <c r="H198" s="231">
        <f t="shared" si="21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19"/>
        <v>-34009.06</v>
      </c>
      <c r="G199" s="40">
        <f t="shared" si="20"/>
        <v>109418.42</v>
      </c>
      <c r="H199" s="231">
        <f t="shared" si="21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19"/>
        <v>-34008.920000000006</v>
      </c>
      <c r="G200" s="40">
        <f t="shared" si="20"/>
        <v>101358.28000000001</v>
      </c>
      <c r="H200" s="231">
        <f t="shared" si="21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19"/>
        <v>-39575.879999999997</v>
      </c>
      <c r="G201" s="40">
        <f t="shared" si="20"/>
        <v>108716.71999999999</v>
      </c>
      <c r="H201" s="231">
        <f t="shared" si="21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19"/>
        <v>-38892.919999999991</v>
      </c>
      <c r="G202" s="40">
        <f t="shared" si="20"/>
        <v>110180.68</v>
      </c>
      <c r="H202" s="231">
        <f t="shared" si="21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19"/>
        <v>-39649.22</v>
      </c>
      <c r="G203" s="40">
        <f t="shared" si="20"/>
        <v>101232.94</v>
      </c>
      <c r="H203" s="231">
        <f t="shared" si="21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19"/>
        <v>-41303.94</v>
      </c>
      <c r="G204" s="40">
        <f t="shared" si="20"/>
        <v>94046.46</v>
      </c>
      <c r="H204" s="231">
        <f t="shared" si="21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19"/>
        <v>-42699.159999999996</v>
      </c>
      <c r="G205" s="40">
        <f t="shared" si="20"/>
        <v>101024.04</v>
      </c>
      <c r="H205" s="231">
        <f t="shared" si="21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19"/>
        <v>-47715.600000000006</v>
      </c>
      <c r="G206" s="40">
        <f t="shared" si="20"/>
        <v>107500.44</v>
      </c>
      <c r="H206" s="231">
        <f t="shared" si="21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19"/>
        <v>-46809.119999999995</v>
      </c>
      <c r="G207" s="40">
        <f t="shared" si="20"/>
        <v>113864.21999999999</v>
      </c>
      <c r="H207" s="231">
        <f t="shared" si="21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19"/>
        <v>-47694.16</v>
      </c>
      <c r="G208" s="40">
        <f t="shared" si="20"/>
        <v>126525.44</v>
      </c>
      <c r="H208" s="231">
        <f t="shared" si="21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19"/>
        <v>-48128</v>
      </c>
      <c r="G209" s="40">
        <f t="shared" si="20"/>
        <v>129280</v>
      </c>
      <c r="H209" s="231">
        <f t="shared" si="21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19"/>
        <v>-48155.4</v>
      </c>
      <c r="G210" s="40">
        <f t="shared" si="20"/>
        <v>113708.88</v>
      </c>
      <c r="H210" s="231">
        <f t="shared" si="21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19"/>
        <v>-42239.579999999994</v>
      </c>
      <c r="G211" s="40">
        <f t="shared" si="20"/>
        <v>100564.46</v>
      </c>
      <c r="H211" s="231">
        <f t="shared" si="21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19"/>
        <v>-42072.46</v>
      </c>
      <c r="G212" s="40">
        <f t="shared" si="20"/>
        <v>100397.34000000001</v>
      </c>
      <c r="H212" s="231">
        <f t="shared" si="21"/>
        <v>-0.41905950894714938</v>
      </c>
      <c r="I212" s="40"/>
    </row>
    <row r="213" spans="2:9" x14ac:dyDescent="0.25">
      <c r="B213" s="193">
        <v>42366</v>
      </c>
      <c r="C213" s="283">
        <v>6678</v>
      </c>
      <c r="D213" s="339">
        <v>19.91</v>
      </c>
      <c r="E213" s="40">
        <v>13.09</v>
      </c>
      <c r="F213" s="40">
        <f t="shared" si="19"/>
        <v>-45543.96</v>
      </c>
      <c r="G213" s="40">
        <f t="shared" si="20"/>
        <v>132958.98000000001</v>
      </c>
      <c r="H213" s="231">
        <f t="shared" si="21"/>
        <v>-0.34254143646408841</v>
      </c>
      <c r="I213" s="40"/>
    </row>
    <row r="214" spans="2:9" x14ac:dyDescent="0.25">
      <c r="B214" s="193">
        <v>42367</v>
      </c>
      <c r="C214" s="283">
        <v>8678</v>
      </c>
      <c r="D214" s="339">
        <v>18.32</v>
      </c>
      <c r="E214" s="40">
        <v>13.03</v>
      </c>
      <c r="F214" s="40">
        <f t="shared" si="19"/>
        <v>-45906.62000000001</v>
      </c>
      <c r="G214" s="40">
        <f t="shared" si="20"/>
        <v>158980.96</v>
      </c>
      <c r="H214" s="231">
        <f t="shared" si="21"/>
        <v>-0.28875545851528389</v>
      </c>
      <c r="I214" s="40"/>
    </row>
    <row r="215" spans="2:9" x14ac:dyDescent="0.25">
      <c r="B215" s="193">
        <v>42368</v>
      </c>
      <c r="C215" s="283">
        <v>9678</v>
      </c>
      <c r="D215" s="339">
        <v>17.73</v>
      </c>
      <c r="E215" s="40">
        <v>12.38</v>
      </c>
      <c r="F215" s="40">
        <f t="shared" si="19"/>
        <v>-51777.299999999996</v>
      </c>
      <c r="G215" s="40">
        <f t="shared" si="20"/>
        <v>171590.94</v>
      </c>
      <c r="H215" s="231">
        <f t="shared" si="21"/>
        <v>-0.30174844895657077</v>
      </c>
      <c r="I215" s="40"/>
    </row>
    <row r="216" spans="2:9" x14ac:dyDescent="0.25">
      <c r="B216" s="193">
        <v>42369</v>
      </c>
      <c r="C216" s="283">
        <v>8678</v>
      </c>
      <c r="D216" s="339">
        <v>18.312999999999999</v>
      </c>
      <c r="E216" s="40">
        <v>12.59</v>
      </c>
      <c r="F216" s="40">
        <f t="shared" si="19"/>
        <v>-49664.193999999989</v>
      </c>
      <c r="G216" s="40">
        <f t="shared" si="20"/>
        <v>158920.21399999998</v>
      </c>
      <c r="H216" s="231">
        <f t="shared" si="21"/>
        <v>-0.3125102386282968</v>
      </c>
      <c r="I216" s="40"/>
    </row>
    <row r="217" spans="2:9" x14ac:dyDescent="0.25">
      <c r="B217" s="193">
        <v>42374</v>
      </c>
      <c r="C217" s="445">
        <v>7678</v>
      </c>
      <c r="D217" s="446">
        <v>19.010000000000002</v>
      </c>
      <c r="E217" s="40">
        <v>12.76</v>
      </c>
      <c r="F217" s="40">
        <f t="shared" si="19"/>
        <v>-47987.500000000015</v>
      </c>
      <c r="G217" s="40">
        <f t="shared" si="20"/>
        <v>145958.78</v>
      </c>
      <c r="H217" s="231">
        <f t="shared" si="21"/>
        <v>-0.32877432930036832</v>
      </c>
      <c r="I217" s="40"/>
    </row>
    <row r="218" spans="2:9" x14ac:dyDescent="0.25">
      <c r="B218" s="193">
        <v>42375</v>
      </c>
      <c r="C218" s="283">
        <v>8678</v>
      </c>
      <c r="D218" s="339">
        <v>18.257000000000001</v>
      </c>
      <c r="E218" s="40">
        <v>12.76</v>
      </c>
      <c r="F218" s="40">
        <f t="shared" si="19"/>
        <v>-47702.966000000015</v>
      </c>
      <c r="G218" s="40">
        <f t="shared" si="20"/>
        <v>158434.24600000001</v>
      </c>
      <c r="H218" s="231">
        <f t="shared" si="21"/>
        <v>-0.30108999287944355</v>
      </c>
      <c r="I218" s="343"/>
    </row>
    <row r="219" spans="2:9" x14ac:dyDescent="0.25">
      <c r="B219" s="193">
        <v>42375</v>
      </c>
      <c r="C219" s="283">
        <v>9678</v>
      </c>
      <c r="D219" s="339">
        <v>17.579999999999998</v>
      </c>
      <c r="E219" s="40">
        <v>11.28</v>
      </c>
      <c r="F219" s="40">
        <f t="shared" si="19"/>
        <v>-60971.399999999987</v>
      </c>
      <c r="G219" s="40">
        <f t="shared" si="20"/>
        <v>170139.24</v>
      </c>
      <c r="H219" s="231">
        <f t="shared" si="21"/>
        <v>-0.35836177474402725</v>
      </c>
      <c r="I219" s="343"/>
    </row>
    <row r="220" spans="2:9" x14ac:dyDescent="0.25">
      <c r="B220" s="193">
        <v>42398</v>
      </c>
      <c r="C220" s="448">
        <v>9278</v>
      </c>
      <c r="D220" s="449">
        <v>17.93</v>
      </c>
      <c r="E220" s="40">
        <v>9.56</v>
      </c>
      <c r="F220" s="40">
        <f t="shared" si="19"/>
        <v>-77656.859999999986</v>
      </c>
      <c r="G220" s="40">
        <f t="shared" si="20"/>
        <v>166354.54</v>
      </c>
      <c r="H220" s="231">
        <f t="shared" si="21"/>
        <v>-0.46681539319576126</v>
      </c>
      <c r="I220" s="343"/>
    </row>
    <row r="221" spans="2:9" x14ac:dyDescent="0.25">
      <c r="B221" s="193">
        <v>42402</v>
      </c>
      <c r="C221" s="283">
        <v>9678</v>
      </c>
      <c r="D221" s="339">
        <v>17.559999999999999</v>
      </c>
      <c r="E221" s="40">
        <v>8.74</v>
      </c>
      <c r="F221" s="40">
        <f t="shared" si="19"/>
        <v>-85359.959999999992</v>
      </c>
      <c r="G221" s="40">
        <f t="shared" si="20"/>
        <v>169945.68</v>
      </c>
      <c r="H221" s="231">
        <f t="shared" si="21"/>
        <v>-0.50227790432801822</v>
      </c>
      <c r="I221" s="343"/>
    </row>
    <row r="222" spans="2:9" x14ac:dyDescent="0.25">
      <c r="B222" s="193">
        <v>42411</v>
      </c>
      <c r="C222" s="283">
        <v>9678</v>
      </c>
      <c r="D222" s="339">
        <v>17.553999999999998</v>
      </c>
      <c r="E222" s="40">
        <v>7.13</v>
      </c>
      <c r="F222" s="40">
        <f t="shared" si="19"/>
        <v>-100883.47199999999</v>
      </c>
      <c r="G222" s="40">
        <f t="shared" si="20"/>
        <v>169887.61199999999</v>
      </c>
      <c r="H222" s="231">
        <f t="shared" si="21"/>
        <v>-0.59382476928335426</v>
      </c>
      <c r="I222" s="343"/>
    </row>
    <row r="223" spans="2:9" x14ac:dyDescent="0.25">
      <c r="B223" s="193">
        <v>42412</v>
      </c>
      <c r="C223" s="283">
        <v>9678</v>
      </c>
      <c r="D223" s="339">
        <v>17.55</v>
      </c>
      <c r="E223" s="40">
        <v>7.46</v>
      </c>
      <c r="F223" s="40">
        <f t="shared" si="19"/>
        <v>-97651.02</v>
      </c>
      <c r="G223" s="40">
        <f t="shared" si="20"/>
        <v>169848.9</v>
      </c>
      <c r="H223" s="231">
        <f t="shared" si="21"/>
        <v>-0.57492877492877492</v>
      </c>
      <c r="I223" s="343"/>
    </row>
    <row r="224" spans="2:9" x14ac:dyDescent="0.25">
      <c r="B224" s="193">
        <v>42416</v>
      </c>
      <c r="C224" s="283">
        <v>9178</v>
      </c>
      <c r="D224" s="339">
        <v>18.084</v>
      </c>
      <c r="E224" s="40">
        <v>7.49</v>
      </c>
      <c r="F224" s="40">
        <f t="shared" si="19"/>
        <v>-97231.731999999989</v>
      </c>
      <c r="G224" s="40">
        <f t="shared" si="20"/>
        <v>165974.95199999999</v>
      </c>
      <c r="H224" s="231">
        <f t="shared" si="21"/>
        <v>-0.58582172085821715</v>
      </c>
      <c r="I224" s="343"/>
    </row>
    <row r="225" spans="2:9" x14ac:dyDescent="0.25">
      <c r="B225" s="193">
        <v>42416</v>
      </c>
      <c r="C225" s="283">
        <v>9678</v>
      </c>
      <c r="D225" s="339">
        <v>17.536999999999999</v>
      </c>
      <c r="E225" s="40">
        <v>7.49</v>
      </c>
      <c r="F225" s="40">
        <f t="shared" si="19"/>
        <v>-97234.865999999995</v>
      </c>
      <c r="G225" s="40">
        <f t="shared" si="20"/>
        <v>169723.08599999998</v>
      </c>
      <c r="H225" s="231">
        <f t="shared" si="21"/>
        <v>-0.57290300507498426</v>
      </c>
      <c r="I225" s="343"/>
    </row>
    <row r="226" spans="2:9" x14ac:dyDescent="0.25">
      <c r="B226" s="193">
        <v>42418</v>
      </c>
      <c r="C226" s="283">
        <v>13478</v>
      </c>
      <c r="D226" s="339">
        <v>14.673999999999999</v>
      </c>
      <c r="E226" s="40">
        <v>6.93</v>
      </c>
      <c r="F226" s="40">
        <f t="shared" si="19"/>
        <v>-104373.632</v>
      </c>
      <c r="G226" s="40">
        <f t="shared" si="20"/>
        <v>197776.17199999999</v>
      </c>
      <c r="H226" s="231">
        <f t="shared" si="21"/>
        <v>-0.52773613193403301</v>
      </c>
      <c r="I226" s="343"/>
    </row>
    <row r="227" spans="2:9" x14ac:dyDescent="0.25">
      <c r="B227" s="193">
        <v>42422</v>
      </c>
      <c r="C227" s="283">
        <v>10978</v>
      </c>
      <c r="D227" s="339">
        <v>16.314</v>
      </c>
      <c r="E227" s="40">
        <v>7.49</v>
      </c>
      <c r="F227" s="40">
        <f t="shared" si="19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3"/>
    </row>
    <row r="228" spans="2:9" x14ac:dyDescent="0.25">
      <c r="B228" s="193">
        <v>42422</v>
      </c>
      <c r="C228" s="283">
        <v>9978</v>
      </c>
      <c r="D228" s="339">
        <v>17.199000000000002</v>
      </c>
      <c r="E228" s="40">
        <v>7.49</v>
      </c>
      <c r="F228" s="236">
        <f t="shared" si="19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3"/>
    </row>
    <row r="229" spans="2:9" x14ac:dyDescent="0.25">
      <c r="B229" s="193">
        <v>42426</v>
      </c>
      <c r="C229" s="283">
        <v>9678</v>
      </c>
      <c r="D229" s="339">
        <v>17.489000000000001</v>
      </c>
      <c r="E229" s="40">
        <v>7.49</v>
      </c>
      <c r="F229" s="236">
        <f t="shared" ref="F229:F237" si="22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3"/>
    </row>
    <row r="230" spans="2:9" x14ac:dyDescent="0.25">
      <c r="B230" s="193">
        <v>42426</v>
      </c>
      <c r="C230" s="283">
        <v>9178</v>
      </c>
      <c r="D230" s="339">
        <v>18.02</v>
      </c>
      <c r="E230" s="40">
        <v>7.76</v>
      </c>
      <c r="F230" s="236">
        <f t="shared" si="22"/>
        <v>-94166.28</v>
      </c>
      <c r="G230" s="40">
        <f t="shared" ref="G230:G237" si="23">IF(C230=0, 0,D230*C230)</f>
        <v>165387.56</v>
      </c>
      <c r="H230" s="232">
        <f t="shared" ref="H230:H237" si="24">IF(C230=0, D230, (E230-D230)/D230)</f>
        <v>-0.5693673695893452</v>
      </c>
      <c r="I230" s="343"/>
    </row>
    <row r="231" spans="2:9" x14ac:dyDescent="0.25">
      <c r="B231" s="193">
        <v>42426</v>
      </c>
      <c r="C231" s="430">
        <v>8178</v>
      </c>
      <c r="D231" s="447">
        <v>19.245999999999999</v>
      </c>
      <c r="E231" s="40">
        <v>8</v>
      </c>
      <c r="F231" s="236">
        <f t="shared" si="22"/>
        <v>-91969.787999999986</v>
      </c>
      <c r="G231" s="40">
        <f t="shared" si="23"/>
        <v>157393.788</v>
      </c>
      <c r="H231" s="232">
        <f t="shared" si="24"/>
        <v>-0.58432921126467829</v>
      </c>
      <c r="I231" s="343"/>
    </row>
    <row r="232" spans="2:9" x14ac:dyDescent="0.25">
      <c r="B232" s="193">
        <v>42426</v>
      </c>
      <c r="C232" s="283">
        <v>6678</v>
      </c>
      <c r="D232" s="339">
        <v>21.75</v>
      </c>
      <c r="E232" s="40">
        <v>8.1</v>
      </c>
      <c r="F232" s="236">
        <f t="shared" si="22"/>
        <v>-91154.7</v>
      </c>
      <c r="G232" s="40">
        <f t="shared" si="23"/>
        <v>145246.5</v>
      </c>
      <c r="H232" s="232">
        <f t="shared" si="24"/>
        <v>-0.62758620689655176</v>
      </c>
      <c r="I232" s="343"/>
    </row>
    <row r="233" spans="2:9" x14ac:dyDescent="0.25">
      <c r="B233" s="193">
        <v>42426</v>
      </c>
      <c r="C233" s="283">
        <v>8678</v>
      </c>
      <c r="D233" s="339">
        <v>18.568999999999999</v>
      </c>
      <c r="E233" s="40">
        <v>7.94</v>
      </c>
      <c r="F233" s="236">
        <f t="shared" si="22"/>
        <v>-92238.461999999985</v>
      </c>
      <c r="G233" s="40">
        <f t="shared" si="23"/>
        <v>161141.78199999998</v>
      </c>
      <c r="H233" s="232">
        <f t="shared" si="24"/>
        <v>-0.57240562227368186</v>
      </c>
      <c r="I233" s="343"/>
    </row>
    <row r="234" spans="2:9" x14ac:dyDescent="0.25">
      <c r="B234" s="193">
        <v>42429</v>
      </c>
      <c r="C234" s="445">
        <v>7678</v>
      </c>
      <c r="D234" s="446">
        <v>19.876000000000001</v>
      </c>
      <c r="E234" s="40">
        <v>8.2100000000000009</v>
      </c>
      <c r="F234" s="236">
        <f t="shared" si="22"/>
        <v>-89571.54800000001</v>
      </c>
      <c r="G234" s="40">
        <f t="shared" si="23"/>
        <v>152607.92800000001</v>
      </c>
      <c r="H234" s="232">
        <f t="shared" si="24"/>
        <v>-0.58693902193600322</v>
      </c>
      <c r="I234" s="343"/>
    </row>
    <row r="235" spans="2:9" x14ac:dyDescent="0.25">
      <c r="B235" s="193">
        <v>42429</v>
      </c>
      <c r="C235" s="283">
        <v>9678</v>
      </c>
      <c r="D235" s="339">
        <v>17.463000000000001</v>
      </c>
      <c r="E235" s="40">
        <v>8.2100000000000009</v>
      </c>
      <c r="F235" s="236">
        <f t="shared" si="22"/>
        <v>-89550.534</v>
      </c>
      <c r="G235" s="40">
        <f t="shared" si="23"/>
        <v>169006.91400000002</v>
      </c>
      <c r="H235" s="232">
        <f t="shared" si="24"/>
        <v>-0.5298631392086125</v>
      </c>
      <c r="I235" s="343"/>
    </row>
    <row r="236" spans="2:9" x14ac:dyDescent="0.25">
      <c r="B236" s="193">
        <v>42429</v>
      </c>
      <c r="C236" s="283">
        <v>9178</v>
      </c>
      <c r="D236" s="339">
        <v>17.981000000000002</v>
      </c>
      <c r="E236" s="40">
        <v>8.2100000000000009</v>
      </c>
      <c r="F236" s="236">
        <f t="shared" si="22"/>
        <v>-89678.238000000012</v>
      </c>
      <c r="G236" s="40">
        <f t="shared" si="23"/>
        <v>165029.61800000002</v>
      </c>
      <c r="H236" s="232">
        <f t="shared" si="24"/>
        <v>-0.5434069295367332</v>
      </c>
      <c r="I236" s="343"/>
    </row>
    <row r="237" spans="2:9" x14ac:dyDescent="0.25">
      <c r="B237" s="193">
        <v>42429</v>
      </c>
      <c r="C237" s="283">
        <v>9678</v>
      </c>
      <c r="D237" s="339">
        <v>17.459</v>
      </c>
      <c r="E237" s="40">
        <v>8.2100000000000009</v>
      </c>
      <c r="F237" s="236">
        <f t="shared" si="22"/>
        <v>-89511.821999999986</v>
      </c>
      <c r="G237" s="40">
        <f t="shared" si="23"/>
        <v>168968.20199999999</v>
      </c>
      <c r="H237" s="232">
        <f t="shared" si="24"/>
        <v>-0.5297554270004009</v>
      </c>
      <c r="I237" s="343"/>
    </row>
    <row r="238" spans="2:9" x14ac:dyDescent="0.25">
      <c r="B238" s="193">
        <v>42429</v>
      </c>
      <c r="C238" s="283">
        <v>9178</v>
      </c>
      <c r="D238" s="339">
        <v>17.975999999999999</v>
      </c>
      <c r="E238" s="40">
        <v>8.2100000000000009</v>
      </c>
      <c r="F238" s="236">
        <f t="shared" ref="F238:F249" si="25">C238*(E238-D238)</f>
        <v>-89632.347999999984</v>
      </c>
      <c r="G238" s="40">
        <f t="shared" ref="G238:G249" si="26">IF(C238=0, 0,D238*C238)</f>
        <v>164983.728</v>
      </c>
      <c r="H238" s="232">
        <f t="shared" ref="H238:H289" si="27">IF(C238=0, D238, (E238-D238)/D238)</f>
        <v>-0.54327992879394738</v>
      </c>
      <c r="I238" s="343" t="s">
        <v>196</v>
      </c>
    </row>
    <row r="239" spans="2:9" x14ac:dyDescent="0.25">
      <c r="B239" s="193">
        <v>42430</v>
      </c>
      <c r="C239" s="283">
        <v>10178</v>
      </c>
      <c r="D239" s="339">
        <v>16.974</v>
      </c>
      <c r="E239" s="40">
        <v>7.8</v>
      </c>
      <c r="F239" s="236">
        <f t="shared" si="25"/>
        <v>-93372.971999999994</v>
      </c>
      <c r="G239" s="40">
        <f t="shared" si="26"/>
        <v>172761.372</v>
      </c>
      <c r="H239" s="232">
        <f t="shared" si="27"/>
        <v>-0.54047366560622123</v>
      </c>
      <c r="I239" s="343"/>
    </row>
    <row r="240" spans="2:9" x14ac:dyDescent="0.25">
      <c r="B240" s="193">
        <v>42430</v>
      </c>
      <c r="C240" s="283">
        <v>9678</v>
      </c>
      <c r="D240" s="339">
        <v>17.440000000000001</v>
      </c>
      <c r="E240" s="40">
        <v>7.96</v>
      </c>
      <c r="F240" s="236">
        <f t="shared" si="25"/>
        <v>-91747.44</v>
      </c>
      <c r="G240" s="40">
        <f t="shared" si="26"/>
        <v>168784.32</v>
      </c>
      <c r="H240" s="232">
        <f t="shared" si="27"/>
        <v>-0.54357798165137616</v>
      </c>
      <c r="I240" s="343"/>
    </row>
    <row r="241" spans="2:9" x14ac:dyDescent="0.25">
      <c r="B241" s="193">
        <v>42431</v>
      </c>
      <c r="C241" s="100">
        <v>8678</v>
      </c>
      <c r="D241" s="438">
        <v>18.405999999999999</v>
      </c>
      <c r="E241" s="40">
        <v>9.1</v>
      </c>
      <c r="F241" s="236">
        <f t="shared" si="25"/>
        <v>-80757.467999999993</v>
      </c>
      <c r="G241" s="40">
        <f t="shared" si="26"/>
        <v>159727.26799999998</v>
      </c>
      <c r="H241" s="232">
        <f t="shared" si="27"/>
        <v>-0.50559600130392257</v>
      </c>
      <c r="I241" s="343"/>
    </row>
    <row r="242" spans="2:9" x14ac:dyDescent="0.25">
      <c r="B242" s="193">
        <v>42432</v>
      </c>
      <c r="C242" s="452">
        <v>9278</v>
      </c>
      <c r="D242" s="453">
        <v>17.771999999999998</v>
      </c>
      <c r="E242" s="40">
        <v>9.9700000000000006</v>
      </c>
      <c r="F242" s="236">
        <f t="shared" si="25"/>
        <v>-72386.955999999976</v>
      </c>
      <c r="G242" s="40">
        <f t="shared" si="26"/>
        <v>164888.61599999998</v>
      </c>
      <c r="H242" s="232">
        <f t="shared" si="27"/>
        <v>-0.43900517668242173</v>
      </c>
      <c r="I242" s="343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5"/>
        <v>-62830.615999999987</v>
      </c>
      <c r="G243" s="40">
        <f t="shared" si="26"/>
        <v>164888.61599999998</v>
      </c>
      <c r="H243" s="232">
        <f t="shared" si="27"/>
        <v>-0.38104884087328378</v>
      </c>
      <c r="I243" s="343"/>
    </row>
    <row r="244" spans="2:9" x14ac:dyDescent="0.25">
      <c r="B244" s="193">
        <v>42439</v>
      </c>
      <c r="C244" s="283">
        <v>9278</v>
      </c>
      <c r="D244" s="339">
        <v>17.718</v>
      </c>
      <c r="E244" s="340">
        <v>10.59</v>
      </c>
      <c r="F244" s="236">
        <f t="shared" si="25"/>
        <v>-66133.584000000003</v>
      </c>
      <c r="G244" s="40">
        <f t="shared" si="26"/>
        <v>164387.60399999999</v>
      </c>
      <c r="H244" s="232">
        <f t="shared" si="27"/>
        <v>-0.40230274297324753</v>
      </c>
      <c r="I244" s="343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5"/>
        <v>-61160.576000000008</v>
      </c>
      <c r="G245" s="40">
        <f t="shared" si="26"/>
        <v>164331.93599999999</v>
      </c>
      <c r="H245" s="232">
        <f t="shared" si="27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8">
        <v>17.704999999999998</v>
      </c>
      <c r="E246" s="40">
        <v>11.45</v>
      </c>
      <c r="F246" s="236">
        <f t="shared" si="25"/>
        <v>-58033.889999999992</v>
      </c>
      <c r="G246" s="40">
        <f t="shared" si="26"/>
        <v>164266.99</v>
      </c>
      <c r="H246" s="232">
        <f t="shared" si="27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8">
        <v>18.734999999999999</v>
      </c>
      <c r="E247" s="40">
        <v>11.63</v>
      </c>
      <c r="F247" s="236">
        <f t="shared" si="25"/>
        <v>-56328.439999999988</v>
      </c>
      <c r="G247" s="40">
        <f t="shared" si="26"/>
        <v>148531.07999999999</v>
      </c>
      <c r="H247" s="232">
        <f t="shared" si="27"/>
        <v>-0.37923672271150249</v>
      </c>
      <c r="I247" s="357"/>
    </row>
    <row r="248" spans="2:9" x14ac:dyDescent="0.25">
      <c r="B248" s="193">
        <v>42450</v>
      </c>
      <c r="C248" s="452">
        <v>9278</v>
      </c>
      <c r="D248" s="453">
        <v>17.670000000000002</v>
      </c>
      <c r="E248" s="40">
        <v>11.43</v>
      </c>
      <c r="F248" s="236">
        <f t="shared" si="25"/>
        <v>-57894.720000000016</v>
      </c>
      <c r="G248" s="40">
        <f t="shared" si="26"/>
        <v>163942.26</v>
      </c>
      <c r="H248" s="232">
        <f t="shared" si="27"/>
        <v>-0.35314091680814946</v>
      </c>
      <c r="I248" s="357"/>
    </row>
    <row r="249" spans="2:9" x14ac:dyDescent="0.25">
      <c r="B249" s="193">
        <v>42451</v>
      </c>
      <c r="C249" s="100">
        <v>9628</v>
      </c>
      <c r="D249" s="438">
        <v>17.428000000000001</v>
      </c>
      <c r="E249" s="40">
        <v>11.31</v>
      </c>
      <c r="F249" s="236">
        <f t="shared" si="25"/>
        <v>-58904.104000000007</v>
      </c>
      <c r="G249" s="40">
        <f t="shared" si="26"/>
        <v>167796.78400000001</v>
      </c>
      <c r="H249" s="232">
        <f t="shared" si="27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8">C250*(E250-D250)</f>
        <v>-69928.587000000014</v>
      </c>
      <c r="G250" s="40">
        <f t="shared" ref="G250:G289" si="29">IF(C250=0, 0,D250*C250)</f>
        <v>206559.20699999999</v>
      </c>
      <c r="H250" s="232">
        <f t="shared" si="27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8"/>
        <v>-66302.234199999992</v>
      </c>
      <c r="G251" s="40">
        <f t="shared" si="29"/>
        <v>185059.5742</v>
      </c>
      <c r="H251" s="232">
        <f t="shared" si="27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8">
        <v>17.311699999999998</v>
      </c>
      <c r="E252" s="40">
        <v>11.14</v>
      </c>
      <c r="F252" s="236">
        <f t="shared" si="28"/>
        <v>-59729.712599999977</v>
      </c>
      <c r="G252" s="40">
        <f t="shared" si="29"/>
        <v>167542.63259999998</v>
      </c>
      <c r="H252" s="232">
        <f t="shared" si="27"/>
        <v>-0.35650456049954643</v>
      </c>
      <c r="I252" s="357"/>
    </row>
    <row r="253" spans="2:9" x14ac:dyDescent="0.25">
      <c r="B253" s="193">
        <v>42461</v>
      </c>
      <c r="C253" s="283">
        <v>11678</v>
      </c>
      <c r="D253" s="339">
        <v>16.116</v>
      </c>
      <c r="E253" s="40">
        <v>10.53</v>
      </c>
      <c r="F253" s="236">
        <f t="shared" si="28"/>
        <v>-65233.308000000005</v>
      </c>
      <c r="G253" s="40">
        <f t="shared" si="29"/>
        <v>188202.64799999999</v>
      </c>
      <c r="H253" s="232">
        <f t="shared" si="27"/>
        <v>-0.34661206254653765</v>
      </c>
      <c r="I253" s="40"/>
    </row>
    <row r="254" spans="2:9" x14ac:dyDescent="0.25">
      <c r="B254" s="193">
        <v>42461</v>
      </c>
      <c r="C254" s="283">
        <v>9678</v>
      </c>
      <c r="D254" s="339">
        <v>17.266200000000001</v>
      </c>
      <c r="E254" s="40">
        <v>10.56</v>
      </c>
      <c r="F254" s="236">
        <f t="shared" si="28"/>
        <v>-64902.603600000009</v>
      </c>
      <c r="G254" s="40">
        <f t="shared" si="29"/>
        <v>167102.28360000002</v>
      </c>
      <c r="H254" s="232">
        <f t="shared" si="27"/>
        <v>-0.388400458699656</v>
      </c>
      <c r="I254" s="40"/>
    </row>
    <row r="255" spans="2:9" x14ac:dyDescent="0.25">
      <c r="B255" s="193">
        <v>42464</v>
      </c>
      <c r="C255" s="283">
        <v>9778</v>
      </c>
      <c r="D255" s="339">
        <v>17.196100000000001</v>
      </c>
      <c r="E255" s="40">
        <v>10.4</v>
      </c>
      <c r="F255" s="236">
        <f t="shared" si="28"/>
        <v>-66452.265800000008</v>
      </c>
      <c r="G255" s="40">
        <f t="shared" si="29"/>
        <v>168143.46580000001</v>
      </c>
      <c r="H255" s="232">
        <f t="shared" si="27"/>
        <v>-0.3952117049796175</v>
      </c>
      <c r="I255" s="40"/>
    </row>
    <row r="256" spans="2:9" x14ac:dyDescent="0.25">
      <c r="B256" s="193">
        <v>42465</v>
      </c>
      <c r="C256" s="283">
        <v>9678</v>
      </c>
      <c r="D256" s="339">
        <v>17.262699999999999</v>
      </c>
      <c r="E256" s="40">
        <v>10.63</v>
      </c>
      <c r="F256" s="236">
        <f t="shared" si="28"/>
        <v>-64191.270599999982</v>
      </c>
      <c r="G256" s="40">
        <f t="shared" si="29"/>
        <v>167068.4106</v>
      </c>
      <c r="H256" s="232">
        <f t="shared" si="27"/>
        <v>-0.38422147172806098</v>
      </c>
      <c r="I256" s="357"/>
    </row>
    <row r="257" spans="2:9" x14ac:dyDescent="0.25">
      <c r="B257" s="193">
        <v>42469</v>
      </c>
      <c r="C257" s="283">
        <v>8678</v>
      </c>
      <c r="D257" s="339">
        <v>17.895700000000001</v>
      </c>
      <c r="E257" s="40">
        <v>11.78</v>
      </c>
      <c r="F257" s="236">
        <f t="shared" si="28"/>
        <v>-53072.044600000016</v>
      </c>
      <c r="G257" s="40">
        <f t="shared" si="29"/>
        <v>155298.88460000002</v>
      </c>
      <c r="H257" s="232">
        <f t="shared" si="27"/>
        <v>-0.34174131215878684</v>
      </c>
      <c r="I257" s="357"/>
    </row>
    <row r="258" spans="2:9" x14ac:dyDescent="0.25">
      <c r="B258" s="193">
        <v>42471</v>
      </c>
      <c r="C258" s="283">
        <v>9678</v>
      </c>
      <c r="D258" s="339">
        <v>17.2514</v>
      </c>
      <c r="E258" s="40">
        <v>11.67</v>
      </c>
      <c r="F258" s="236">
        <f t="shared" si="28"/>
        <v>-54016.789200000007</v>
      </c>
      <c r="G258" s="40">
        <f t="shared" si="29"/>
        <v>166959.04920000001</v>
      </c>
      <c r="H258" s="232">
        <f t="shared" si="27"/>
        <v>-0.32353316252593994</v>
      </c>
      <c r="I258" s="357"/>
    </row>
    <row r="259" spans="2:9" x14ac:dyDescent="0.25">
      <c r="B259" s="193">
        <v>42472</v>
      </c>
      <c r="C259" s="283">
        <v>8288</v>
      </c>
      <c r="D259" s="339">
        <v>17.96</v>
      </c>
      <c r="E259" s="40">
        <v>13.05</v>
      </c>
      <c r="F259" s="236">
        <f t="shared" si="28"/>
        <v>-40694.080000000002</v>
      </c>
      <c r="G259" s="40">
        <f t="shared" si="29"/>
        <v>148852.48000000001</v>
      </c>
      <c r="H259" s="232">
        <f t="shared" si="27"/>
        <v>-0.27338530066815142</v>
      </c>
      <c r="I259" s="40"/>
    </row>
    <row r="260" spans="2:9" x14ac:dyDescent="0.25">
      <c r="B260" s="193">
        <v>42473</v>
      </c>
      <c r="C260" s="283">
        <v>9258</v>
      </c>
      <c r="D260" s="339">
        <v>17.415800000000001</v>
      </c>
      <c r="E260" s="40">
        <v>12.92</v>
      </c>
      <c r="F260" s="236">
        <f t="shared" si="28"/>
        <v>-41622.116400000006</v>
      </c>
      <c r="G260" s="40">
        <f t="shared" si="29"/>
        <v>161235.47640000001</v>
      </c>
      <c r="H260" s="232">
        <f t="shared" si="27"/>
        <v>-0.2581449029042594</v>
      </c>
      <c r="I260" s="40"/>
    </row>
    <row r="261" spans="2:9" x14ac:dyDescent="0.25">
      <c r="B261" s="193">
        <v>42474</v>
      </c>
      <c r="C261" s="283">
        <v>9678</v>
      </c>
      <c r="D261" s="339">
        <v>17.2135</v>
      </c>
      <c r="E261" s="40">
        <v>13.11</v>
      </c>
      <c r="F261" s="236">
        <f t="shared" si="28"/>
        <v>-39713.673000000003</v>
      </c>
      <c r="G261" s="40">
        <f t="shared" si="29"/>
        <v>166592.253</v>
      </c>
      <c r="H261" s="232">
        <f t="shared" si="27"/>
        <v>-0.23838847416272113</v>
      </c>
      <c r="I261" s="40"/>
    </row>
    <row r="262" spans="2:9" x14ac:dyDescent="0.25">
      <c r="B262" s="193">
        <v>42474</v>
      </c>
      <c r="C262" s="283">
        <v>9178</v>
      </c>
      <c r="D262" s="339">
        <v>17.433299999999999</v>
      </c>
      <c r="E262" s="40">
        <v>13.11</v>
      </c>
      <c r="F262" s="236">
        <f t="shared" si="28"/>
        <v>-39679.2474</v>
      </c>
      <c r="G262" s="40">
        <f t="shared" si="29"/>
        <v>160002.82739999998</v>
      </c>
      <c r="H262" s="232">
        <f t="shared" si="27"/>
        <v>-0.24799091394056202</v>
      </c>
      <c r="I262" s="40"/>
    </row>
    <row r="263" spans="2:9" x14ac:dyDescent="0.25">
      <c r="B263" s="193">
        <v>42475</v>
      </c>
      <c r="C263" s="283">
        <v>9678</v>
      </c>
      <c r="D263" s="339">
        <v>17.205100000000002</v>
      </c>
      <c r="E263" s="40">
        <v>13.01</v>
      </c>
      <c r="F263" s="236">
        <f t="shared" si="28"/>
        <v>-40600.177800000019</v>
      </c>
      <c r="G263" s="40">
        <f t="shared" si="29"/>
        <v>166510.9578</v>
      </c>
      <c r="H263" s="232">
        <f t="shared" si="27"/>
        <v>-0.24382886469709572</v>
      </c>
      <c r="I263" s="40"/>
    </row>
    <row r="264" spans="2:9" x14ac:dyDescent="0.25">
      <c r="B264" s="193">
        <v>42478</v>
      </c>
      <c r="C264" s="283">
        <v>9178</v>
      </c>
      <c r="D264" s="339">
        <v>17.412400000000002</v>
      </c>
      <c r="E264" s="40">
        <v>13.36</v>
      </c>
      <c r="F264" s="236">
        <f t="shared" si="28"/>
        <v>-37192.92720000002</v>
      </c>
      <c r="G264" s="40">
        <f t="shared" si="29"/>
        <v>159811.00720000002</v>
      </c>
      <c r="H264" s="232">
        <f t="shared" si="27"/>
        <v>-0.232730697663734</v>
      </c>
      <c r="I264" s="40"/>
    </row>
    <row r="265" spans="2:9" x14ac:dyDescent="0.25">
      <c r="B265" s="193">
        <v>42484</v>
      </c>
      <c r="C265" s="283">
        <v>9178</v>
      </c>
      <c r="D265" s="339">
        <v>17.412400000000002</v>
      </c>
      <c r="E265" s="40">
        <v>14.34</v>
      </c>
      <c r="F265" s="236">
        <f t="shared" si="28"/>
        <v>-28198.487200000018</v>
      </c>
      <c r="G265" s="40">
        <f t="shared" si="29"/>
        <v>159811.00720000002</v>
      </c>
      <c r="H265" s="232">
        <f t="shared" si="27"/>
        <v>-0.17644896740254082</v>
      </c>
      <c r="I265" s="40"/>
    </row>
    <row r="266" spans="2:9" x14ac:dyDescent="0.25">
      <c r="B266" s="193">
        <v>42485</v>
      </c>
      <c r="C266" s="283">
        <v>9678</v>
      </c>
      <c r="D266" s="339">
        <v>17.233499999999999</v>
      </c>
      <c r="E266" s="40">
        <v>13.83</v>
      </c>
      <c r="F266" s="236">
        <f t="shared" si="28"/>
        <v>-32939.072999999997</v>
      </c>
      <c r="G266" s="40">
        <f t="shared" si="29"/>
        <v>166785.81299999999</v>
      </c>
      <c r="H266" s="232">
        <f t="shared" si="27"/>
        <v>-0.19749325441726867</v>
      </c>
      <c r="I266" s="40"/>
    </row>
    <row r="267" spans="2:9" x14ac:dyDescent="0.25">
      <c r="B267" s="193">
        <v>42486</v>
      </c>
      <c r="C267" s="283">
        <v>9178</v>
      </c>
      <c r="D267" s="339">
        <v>17.390599999999999</v>
      </c>
      <c r="E267" s="40">
        <v>14.44</v>
      </c>
      <c r="F267" s="236">
        <f t="shared" si="28"/>
        <v>-27080.606799999998</v>
      </c>
      <c r="G267" s="40">
        <f t="shared" si="29"/>
        <v>159610.92679999999</v>
      </c>
      <c r="H267" s="232">
        <f t="shared" si="27"/>
        <v>-0.16966637148804525</v>
      </c>
      <c r="I267" s="357"/>
    </row>
    <row r="268" spans="2:9" x14ac:dyDescent="0.25">
      <c r="B268" s="193">
        <v>42487</v>
      </c>
      <c r="C268" s="283">
        <v>9178</v>
      </c>
      <c r="D268" s="339">
        <v>17.376300000000001</v>
      </c>
      <c r="E268" s="40">
        <v>14.84</v>
      </c>
      <c r="F268" s="236">
        <f t="shared" si="28"/>
        <v>-23278.161400000005</v>
      </c>
      <c r="G268" s="40">
        <f t="shared" si="29"/>
        <v>159479.6814</v>
      </c>
      <c r="H268" s="232">
        <f t="shared" si="27"/>
        <v>-0.14596317973331496</v>
      </c>
      <c r="I268" s="40"/>
    </row>
    <row r="269" spans="2:9" x14ac:dyDescent="0.25">
      <c r="B269" s="193">
        <v>42488</v>
      </c>
      <c r="C269" s="283">
        <v>9678</v>
      </c>
      <c r="D269" s="339">
        <v>17.2287</v>
      </c>
      <c r="E269" s="40">
        <v>14.35</v>
      </c>
      <c r="F269" s="236">
        <f t="shared" si="28"/>
        <v>-27860.058600000004</v>
      </c>
      <c r="G269" s="40">
        <f t="shared" si="29"/>
        <v>166739.35860000001</v>
      </c>
      <c r="H269" s="232">
        <f t="shared" si="27"/>
        <v>-0.16708747612994598</v>
      </c>
      <c r="I269" s="40"/>
    </row>
    <row r="270" spans="2:9" x14ac:dyDescent="0.25">
      <c r="B270" s="193">
        <v>42489</v>
      </c>
      <c r="C270" s="283">
        <v>9678</v>
      </c>
      <c r="D270" s="339">
        <v>17.179200000000002</v>
      </c>
      <c r="E270" s="40">
        <v>14.09</v>
      </c>
      <c r="F270" s="236">
        <f t="shared" si="28"/>
        <v>-29897.277600000016</v>
      </c>
      <c r="G270" s="40">
        <f t="shared" si="29"/>
        <v>166260.29760000002</v>
      </c>
      <c r="H270" s="232">
        <f t="shared" si="27"/>
        <v>-0.17982211045916</v>
      </c>
      <c r="I270" s="40"/>
    </row>
    <row r="271" spans="2:9" x14ac:dyDescent="0.25">
      <c r="B271" s="193">
        <v>42492</v>
      </c>
      <c r="C271" s="283">
        <v>9678</v>
      </c>
      <c r="D271" s="339">
        <v>17.136399999999998</v>
      </c>
      <c r="E271" s="40">
        <v>13.55</v>
      </c>
      <c r="F271" s="236">
        <f t="shared" si="28"/>
        <v>-34709.179199999977</v>
      </c>
      <c r="G271" s="40">
        <f t="shared" si="29"/>
        <v>165846.07919999998</v>
      </c>
      <c r="H271" s="232">
        <f t="shared" si="27"/>
        <v>-0.20928549753740563</v>
      </c>
      <c r="I271" s="40"/>
    </row>
    <row r="272" spans="2:9" x14ac:dyDescent="0.25">
      <c r="B272" s="193">
        <v>42493</v>
      </c>
      <c r="C272" s="283">
        <v>9678</v>
      </c>
      <c r="D272" s="339">
        <v>17.1221</v>
      </c>
      <c r="E272" s="40">
        <v>12.79</v>
      </c>
      <c r="F272" s="236">
        <f t="shared" si="28"/>
        <v>-41926.063800000004</v>
      </c>
      <c r="G272" s="40">
        <f t="shared" si="29"/>
        <v>165707.6838</v>
      </c>
      <c r="H272" s="232">
        <f t="shared" si="27"/>
        <v>-0.25301218892542388</v>
      </c>
      <c r="I272" s="357"/>
    </row>
    <row r="273" spans="2:9" x14ac:dyDescent="0.25">
      <c r="B273" s="193">
        <v>42494</v>
      </c>
      <c r="C273" s="283">
        <v>11678</v>
      </c>
      <c r="D273" s="339">
        <v>16.316800000000001</v>
      </c>
      <c r="E273" s="40">
        <v>12.17</v>
      </c>
      <c r="F273" s="236">
        <f t="shared" si="28"/>
        <v>-48426.330400000006</v>
      </c>
      <c r="G273" s="40">
        <f t="shared" si="29"/>
        <v>190547.59040000002</v>
      </c>
      <c r="H273" s="232">
        <f t="shared" si="27"/>
        <v>-0.25414296920964896</v>
      </c>
      <c r="I273" s="40"/>
    </row>
    <row r="274" spans="2:9" x14ac:dyDescent="0.25">
      <c r="B274" s="193">
        <v>42495</v>
      </c>
      <c r="C274" s="283">
        <v>9678</v>
      </c>
      <c r="D274" s="339">
        <v>17.0684</v>
      </c>
      <c r="E274" s="40">
        <v>12.07</v>
      </c>
      <c r="F274" s="236">
        <f t="shared" si="28"/>
        <v>-48374.515200000002</v>
      </c>
      <c r="G274" s="40">
        <f t="shared" si="29"/>
        <v>165187.97520000002</v>
      </c>
      <c r="H274" s="232">
        <f t="shared" si="27"/>
        <v>-0.29284525790349419</v>
      </c>
      <c r="I274" s="357"/>
    </row>
    <row r="275" spans="2:9" x14ac:dyDescent="0.25">
      <c r="B275" s="193">
        <v>42499</v>
      </c>
      <c r="C275" s="283">
        <v>10678</v>
      </c>
      <c r="D275" s="339">
        <v>16.537600000000001</v>
      </c>
      <c r="E275" s="40">
        <v>11.44</v>
      </c>
      <c r="F275" s="236">
        <f t="shared" si="28"/>
        <v>-54432.172800000015</v>
      </c>
      <c r="G275" s="40">
        <f t="shared" si="29"/>
        <v>176588.49280000001</v>
      </c>
      <c r="H275" s="232">
        <f t="shared" si="27"/>
        <v>-0.30824303405572762</v>
      </c>
      <c r="I275" s="40"/>
    </row>
    <row r="276" spans="2:9" x14ac:dyDescent="0.25">
      <c r="B276" s="193">
        <v>42500</v>
      </c>
      <c r="C276" s="283">
        <v>9678</v>
      </c>
      <c r="D276" s="339">
        <v>17.042100000000001</v>
      </c>
      <c r="E276" s="40">
        <v>11.94</v>
      </c>
      <c r="F276" s="236">
        <f t="shared" si="28"/>
        <v>-49378.123800000016</v>
      </c>
      <c r="G276" s="40">
        <f t="shared" si="29"/>
        <v>164933.44380000001</v>
      </c>
      <c r="H276" s="232">
        <f t="shared" si="27"/>
        <v>-0.2993821184009014</v>
      </c>
      <c r="I276" s="40"/>
    </row>
    <row r="277" spans="2:9" x14ac:dyDescent="0.25">
      <c r="B277" s="193">
        <v>42502</v>
      </c>
      <c r="C277" s="283">
        <v>10678</v>
      </c>
      <c r="D277" s="339">
        <v>16.601800000000001</v>
      </c>
      <c r="E277" s="40">
        <v>12.33</v>
      </c>
      <c r="F277" s="236">
        <f t="shared" si="28"/>
        <v>-45614.280400000011</v>
      </c>
      <c r="G277" s="40">
        <f t="shared" si="29"/>
        <v>177274.02040000001</v>
      </c>
      <c r="H277" s="232">
        <f t="shared" si="27"/>
        <v>-0.25730944837306802</v>
      </c>
      <c r="I277" s="40"/>
    </row>
    <row r="278" spans="2:9" x14ac:dyDescent="0.25">
      <c r="B278" s="193">
        <v>42502</v>
      </c>
      <c r="C278" s="283">
        <v>9678</v>
      </c>
      <c r="D278" s="339">
        <v>17.0334</v>
      </c>
      <c r="E278" s="40">
        <v>12.33</v>
      </c>
      <c r="F278" s="236">
        <f t="shared" si="28"/>
        <v>-45519.5052</v>
      </c>
      <c r="G278" s="40">
        <f t="shared" si="29"/>
        <v>164849.2452</v>
      </c>
      <c r="H278" s="232">
        <f t="shared" si="27"/>
        <v>-0.27612807777660364</v>
      </c>
      <c r="I278" s="40"/>
    </row>
    <row r="279" spans="2:9" x14ac:dyDescent="0.25">
      <c r="B279" s="193">
        <v>42503</v>
      </c>
      <c r="C279" s="283">
        <v>9678</v>
      </c>
      <c r="D279" s="339">
        <v>17.029299999999999</v>
      </c>
      <c r="E279" s="40">
        <v>12.3</v>
      </c>
      <c r="F279" s="236">
        <f t="shared" si="28"/>
        <v>-45770.165399999983</v>
      </c>
      <c r="G279" s="40">
        <f t="shared" si="29"/>
        <v>164809.56539999999</v>
      </c>
      <c r="H279" s="232">
        <f t="shared" si="27"/>
        <v>-0.27771546687180321</v>
      </c>
      <c r="I279" s="40"/>
    </row>
    <row r="280" spans="2:9" x14ac:dyDescent="0.25">
      <c r="B280" s="193">
        <v>42506</v>
      </c>
      <c r="C280" s="283">
        <v>9678</v>
      </c>
      <c r="D280" s="339">
        <v>17.027699999999999</v>
      </c>
      <c r="E280" s="40">
        <v>12.78</v>
      </c>
      <c r="F280" s="236">
        <f t="shared" si="28"/>
        <v>-41109.240599999997</v>
      </c>
      <c r="G280" s="40">
        <f t="shared" si="29"/>
        <v>164794.08059999999</v>
      </c>
      <c r="H280" s="232">
        <f t="shared" si="27"/>
        <v>-0.24945823569830336</v>
      </c>
      <c r="I280" s="40"/>
    </row>
    <row r="281" spans="2:9" x14ac:dyDescent="0.25">
      <c r="B281" s="193">
        <v>42513</v>
      </c>
      <c r="C281" s="283">
        <v>9178</v>
      </c>
      <c r="D281" s="339">
        <v>17.244399999999999</v>
      </c>
      <c r="E281" s="40">
        <v>13.19</v>
      </c>
      <c r="F281" s="236">
        <f t="shared" si="28"/>
        <v>-37211.283199999991</v>
      </c>
      <c r="G281" s="40">
        <f t="shared" si="29"/>
        <v>158269.10319999998</v>
      </c>
      <c r="H281" s="232">
        <f t="shared" si="27"/>
        <v>-0.23511400802579385</v>
      </c>
      <c r="I281" s="40"/>
    </row>
    <row r="282" spans="2:9" x14ac:dyDescent="0.25">
      <c r="B282" s="193">
        <v>42514</v>
      </c>
      <c r="C282" s="283">
        <v>9678</v>
      </c>
      <c r="D282" s="339">
        <v>17.026</v>
      </c>
      <c r="E282" s="40">
        <v>13.02</v>
      </c>
      <c r="F282" s="236">
        <f t="shared" si="28"/>
        <v>-38770.067999999999</v>
      </c>
      <c r="G282" s="40">
        <f t="shared" si="29"/>
        <v>164777.628</v>
      </c>
      <c r="H282" s="232">
        <f t="shared" si="27"/>
        <v>-0.23528720779983556</v>
      </c>
      <c r="I282" s="40"/>
    </row>
    <row r="283" spans="2:9" x14ac:dyDescent="0.25">
      <c r="B283" s="193">
        <v>42515</v>
      </c>
      <c r="C283" s="283">
        <v>9178</v>
      </c>
      <c r="D283" s="339">
        <v>17.206800000000001</v>
      </c>
      <c r="E283" s="40">
        <v>13.54</v>
      </c>
      <c r="F283" s="236">
        <f t="shared" si="28"/>
        <v>-33653.890400000018</v>
      </c>
      <c r="G283" s="40">
        <f t="shared" si="29"/>
        <v>157924.0104</v>
      </c>
      <c r="H283" s="232">
        <f t="shared" si="27"/>
        <v>-0.21310179696399109</v>
      </c>
      <c r="I283" s="40"/>
    </row>
    <row r="284" spans="2:9" x14ac:dyDescent="0.25">
      <c r="B284" s="193">
        <v>42516</v>
      </c>
      <c r="C284" s="283">
        <v>9678</v>
      </c>
      <c r="D284" s="339">
        <v>17.003799999999998</v>
      </c>
      <c r="E284" s="40">
        <v>13.17</v>
      </c>
      <c r="F284" s="236">
        <f t="shared" si="28"/>
        <v>-37103.516399999986</v>
      </c>
      <c r="G284" s="40">
        <f t="shared" si="29"/>
        <v>164562.77639999997</v>
      </c>
      <c r="H284" s="232">
        <f t="shared" si="27"/>
        <v>-0.22546724849739463</v>
      </c>
      <c r="I284" s="40"/>
    </row>
    <row r="285" spans="2:9" x14ac:dyDescent="0.25">
      <c r="B285" s="193">
        <v>42517</v>
      </c>
      <c r="C285" s="283">
        <v>9678</v>
      </c>
      <c r="D285" s="339">
        <v>16.999700000000001</v>
      </c>
      <c r="E285" s="40">
        <v>12.9</v>
      </c>
      <c r="F285" s="236">
        <f t="shared" si="28"/>
        <v>-39676.8966</v>
      </c>
      <c r="G285" s="40">
        <f t="shared" si="29"/>
        <v>164523.09660000002</v>
      </c>
      <c r="H285" s="232">
        <f t="shared" si="27"/>
        <v>-0.2411630793484591</v>
      </c>
      <c r="I285" s="40"/>
    </row>
    <row r="286" spans="2:9" x14ac:dyDescent="0.25">
      <c r="B286" s="193">
        <v>42525</v>
      </c>
      <c r="C286" s="283">
        <v>9678</v>
      </c>
      <c r="D286" s="339">
        <v>16.9956</v>
      </c>
      <c r="E286" s="40">
        <v>13.32</v>
      </c>
      <c r="F286" s="236">
        <f t="shared" si="28"/>
        <v>-35572.456799999993</v>
      </c>
      <c r="G286" s="40">
        <f t="shared" si="29"/>
        <v>164483.41680000001</v>
      </c>
      <c r="H286" s="232">
        <f t="shared" si="27"/>
        <v>-0.21626773988561743</v>
      </c>
      <c r="I286" s="40"/>
    </row>
    <row r="287" spans="2:9" x14ac:dyDescent="0.25">
      <c r="B287" s="193">
        <v>42527</v>
      </c>
      <c r="C287" s="283">
        <v>8178</v>
      </c>
      <c r="D287" s="339">
        <v>17.568999999999999</v>
      </c>
      <c r="E287" s="40">
        <v>13.96</v>
      </c>
      <c r="F287" s="236">
        <f t="shared" si="28"/>
        <v>-29514.401999999984</v>
      </c>
      <c r="G287" s="40">
        <f t="shared" si="29"/>
        <v>143679.28200000001</v>
      </c>
      <c r="H287" s="232">
        <f t="shared" si="27"/>
        <v>-0.20541863509590746</v>
      </c>
      <c r="I287" s="40"/>
    </row>
    <row r="288" spans="2:9" x14ac:dyDescent="0.25">
      <c r="B288" s="193">
        <v>42528</v>
      </c>
      <c r="C288" s="445">
        <v>7678</v>
      </c>
      <c r="D288" s="446">
        <v>17.759599999999999</v>
      </c>
      <c r="E288" s="40">
        <v>14.62</v>
      </c>
      <c r="F288" s="236">
        <f t="shared" si="28"/>
        <v>-24105.848799999996</v>
      </c>
      <c r="G288" s="40">
        <f t="shared" si="29"/>
        <v>136358.20879999999</v>
      </c>
      <c r="H288" s="232">
        <f t="shared" si="27"/>
        <v>-0.17678326088425414</v>
      </c>
      <c r="I288" s="40"/>
    </row>
    <row r="289" spans="2:9" x14ac:dyDescent="0.25">
      <c r="B289" s="193">
        <v>42529</v>
      </c>
      <c r="C289" s="430">
        <v>8178</v>
      </c>
      <c r="D289" s="447">
        <v>17.5654</v>
      </c>
      <c r="E289" s="40">
        <v>14.53</v>
      </c>
      <c r="F289" s="236">
        <f t="shared" si="28"/>
        <v>-24823.50120000001</v>
      </c>
      <c r="G289" s="40">
        <f t="shared" si="29"/>
        <v>143649.8412</v>
      </c>
      <c r="H289" s="232">
        <f t="shared" si="27"/>
        <v>-0.17280562924840887</v>
      </c>
      <c r="I289" s="40"/>
    </row>
    <row r="290" spans="2:9" x14ac:dyDescent="0.25">
      <c r="B290" s="193">
        <v>42531</v>
      </c>
      <c r="C290" s="283">
        <v>8978</v>
      </c>
      <c r="D290" s="339">
        <v>17.1751</v>
      </c>
      <c r="E290" s="40">
        <v>13.42</v>
      </c>
      <c r="F290" s="236">
        <f t="shared" ref="F290:F298" si="30">C290*(E290-D290)</f>
        <v>-33713.287800000006</v>
      </c>
      <c r="G290" s="40">
        <f t="shared" ref="G290:G298" si="31">IF(C290=0, 0,D290*C290)</f>
        <v>154198.0478</v>
      </c>
      <c r="H290" s="232">
        <f t="shared" ref="H290:H298" si="32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8">
        <v>17.1052</v>
      </c>
      <c r="E291" s="40">
        <v>13.42</v>
      </c>
      <c r="F291" s="236">
        <f t="shared" si="30"/>
        <v>-34191.285600000003</v>
      </c>
      <c r="G291" s="40">
        <f t="shared" si="31"/>
        <v>158702.04560000001</v>
      </c>
      <c r="H291" s="232">
        <f t="shared" si="32"/>
        <v>-0.21544325702125669</v>
      </c>
      <c r="I291" s="202"/>
    </row>
    <row r="292" spans="2:9" x14ac:dyDescent="0.25">
      <c r="B292" s="193">
        <v>42532</v>
      </c>
      <c r="C292" s="448">
        <v>9278</v>
      </c>
      <c r="D292" s="449">
        <v>17.053000000000001</v>
      </c>
      <c r="E292" s="40">
        <v>13.42</v>
      </c>
      <c r="F292" s="236">
        <f t="shared" si="30"/>
        <v>-33706.974000000009</v>
      </c>
      <c r="G292" s="40">
        <f t="shared" si="31"/>
        <v>158217.734</v>
      </c>
      <c r="H292" s="232">
        <f t="shared" si="32"/>
        <v>-0.21304169354365804</v>
      </c>
      <c r="I292" s="202" t="s">
        <v>192</v>
      </c>
    </row>
    <row r="293" spans="2:9" x14ac:dyDescent="0.25">
      <c r="B293" s="193">
        <v>42535</v>
      </c>
      <c r="C293" s="283">
        <v>9678</v>
      </c>
      <c r="D293" s="339">
        <v>16.879300000000001</v>
      </c>
      <c r="E293" s="40">
        <v>13.23</v>
      </c>
      <c r="F293" s="236">
        <f t="shared" si="30"/>
        <v>-35317.9254</v>
      </c>
      <c r="G293" s="40">
        <f t="shared" si="31"/>
        <v>163357.86540000001</v>
      </c>
      <c r="H293" s="232">
        <f t="shared" si="32"/>
        <v>-0.21619972392220058</v>
      </c>
      <c r="I293" s="474" t="s">
        <v>251</v>
      </c>
    </row>
    <row r="294" spans="2:9" x14ac:dyDescent="0.25">
      <c r="B294" s="193">
        <v>42536</v>
      </c>
      <c r="C294" s="448">
        <v>9278</v>
      </c>
      <c r="D294" s="449">
        <v>17.027999999999999</v>
      </c>
      <c r="E294" s="40">
        <v>13.06</v>
      </c>
      <c r="F294" s="236">
        <f t="shared" si="30"/>
        <v>-36815.103999999985</v>
      </c>
      <c r="G294" s="40">
        <f t="shared" si="31"/>
        <v>157985.78399999999</v>
      </c>
      <c r="H294" s="232">
        <f t="shared" si="32"/>
        <v>-0.23302795395818643</v>
      </c>
      <c r="I294" s="202"/>
    </row>
    <row r="295" spans="2:9" x14ac:dyDescent="0.25">
      <c r="B295" s="193">
        <v>42537</v>
      </c>
      <c r="C295" s="283">
        <v>9278</v>
      </c>
      <c r="D295" s="339">
        <v>17.0168</v>
      </c>
      <c r="E295" s="40">
        <v>12.67</v>
      </c>
      <c r="F295" s="236">
        <f t="shared" si="30"/>
        <v>-40329.610399999998</v>
      </c>
      <c r="G295" s="40">
        <f t="shared" si="31"/>
        <v>157881.87039999999</v>
      </c>
      <c r="H295" s="232">
        <f t="shared" si="32"/>
        <v>-0.25544168116214566</v>
      </c>
      <c r="I295" s="202"/>
    </row>
    <row r="296" spans="2:9" x14ac:dyDescent="0.25">
      <c r="B296" s="193">
        <v>42538</v>
      </c>
      <c r="C296" s="283">
        <v>9278</v>
      </c>
      <c r="D296" s="339">
        <v>17.0061</v>
      </c>
      <c r="E296" s="40">
        <v>13.16</v>
      </c>
      <c r="F296" s="236">
        <f t="shared" si="30"/>
        <v>-35684.1158</v>
      </c>
      <c r="G296" s="40">
        <f t="shared" si="31"/>
        <v>157782.59580000001</v>
      </c>
      <c r="H296" s="232">
        <f t="shared" si="32"/>
        <v>-0.2261600249322302</v>
      </c>
      <c r="I296" s="202"/>
    </row>
    <row r="297" spans="2:9" x14ac:dyDescent="0.25">
      <c r="B297" s="193">
        <v>42541</v>
      </c>
      <c r="C297" s="445">
        <v>7678</v>
      </c>
      <c r="D297" s="446">
        <v>17.568000000000001</v>
      </c>
      <c r="E297" s="40">
        <v>14.48</v>
      </c>
      <c r="F297" s="236">
        <f t="shared" si="30"/>
        <v>-23709.664000000008</v>
      </c>
      <c r="G297" s="40">
        <f t="shared" si="31"/>
        <v>134887.10400000002</v>
      </c>
      <c r="H297" s="232">
        <f t="shared" si="32"/>
        <v>-0.17577413479052828</v>
      </c>
      <c r="I297" s="202"/>
    </row>
    <row r="298" spans="2:9" x14ac:dyDescent="0.25">
      <c r="B298" s="193">
        <v>42542</v>
      </c>
      <c r="C298" s="283">
        <v>6800</v>
      </c>
      <c r="D298" s="339">
        <v>17.892099999999999</v>
      </c>
      <c r="E298" s="40">
        <v>15.09</v>
      </c>
      <c r="F298" s="236">
        <f t="shared" si="30"/>
        <v>-19054.279999999995</v>
      </c>
      <c r="G298" s="40">
        <f t="shared" si="31"/>
        <v>121666.28</v>
      </c>
      <c r="H298" s="232">
        <f t="shared" si="32"/>
        <v>-0.15661101827063337</v>
      </c>
      <c r="I298" s="202"/>
    </row>
    <row r="299" spans="2:9" x14ac:dyDescent="0.25">
      <c r="B299" s="193">
        <v>42543</v>
      </c>
      <c r="C299" s="283">
        <v>7300</v>
      </c>
      <c r="D299" s="339">
        <v>17.6769</v>
      </c>
      <c r="E299" s="40">
        <v>14.75</v>
      </c>
      <c r="F299" s="236">
        <f t="shared" ref="F299:F307" si="33">C299*(E299-D299)</f>
        <v>-21366.37</v>
      </c>
      <c r="G299" s="40">
        <f t="shared" ref="G299:G307" si="34">IF(C299=0, 0,D299*C299)</f>
        <v>129041.37</v>
      </c>
      <c r="H299" s="232">
        <f t="shared" ref="H299:H307" si="35">IF(C299=0, D299, (E299-D299)/D299)</f>
        <v>-0.16557767481854849</v>
      </c>
      <c r="I299" s="202"/>
    </row>
    <row r="300" spans="2:9" x14ac:dyDescent="0.25">
      <c r="B300" s="193">
        <v>42544</v>
      </c>
      <c r="C300" s="283">
        <v>6800</v>
      </c>
      <c r="D300" s="339">
        <v>17.856100000000001</v>
      </c>
      <c r="E300" s="40">
        <v>15.27</v>
      </c>
      <c r="F300" s="236">
        <f t="shared" si="33"/>
        <v>-17585.480000000014</v>
      </c>
      <c r="G300" s="40">
        <f t="shared" si="34"/>
        <v>121421.48000000001</v>
      </c>
      <c r="H300" s="232">
        <f t="shared" si="35"/>
        <v>-0.1448300580753917</v>
      </c>
      <c r="I300" s="202"/>
    </row>
    <row r="301" spans="2:9" x14ac:dyDescent="0.25">
      <c r="B301" s="193">
        <v>42545</v>
      </c>
      <c r="C301" s="445">
        <v>7678</v>
      </c>
      <c r="D301" s="446">
        <v>17.462</v>
      </c>
      <c r="E301" s="40">
        <v>14.41</v>
      </c>
      <c r="F301" s="236">
        <f t="shared" si="33"/>
        <v>-23433.255999999998</v>
      </c>
      <c r="G301" s="40">
        <f t="shared" si="34"/>
        <v>134073.236</v>
      </c>
      <c r="H301" s="232">
        <f t="shared" si="35"/>
        <v>-0.17477952124613444</v>
      </c>
      <c r="I301" s="202"/>
    </row>
    <row r="302" spans="2:9" x14ac:dyDescent="0.25">
      <c r="B302" s="193">
        <v>42545</v>
      </c>
      <c r="C302" s="283">
        <v>8013</v>
      </c>
      <c r="D302" s="339">
        <v>17.32</v>
      </c>
      <c r="E302" s="40">
        <v>14.68</v>
      </c>
      <c r="F302" s="236">
        <f t="shared" si="33"/>
        <v>-21154.320000000003</v>
      </c>
      <c r="G302" s="40">
        <f t="shared" si="34"/>
        <v>138785.16</v>
      </c>
      <c r="H302" s="232">
        <f t="shared" si="35"/>
        <v>-0.15242494226327949</v>
      </c>
      <c r="I302" s="202"/>
    </row>
    <row r="303" spans="2:9" x14ac:dyDescent="0.25">
      <c r="B303" s="193">
        <v>42548</v>
      </c>
      <c r="C303" s="283">
        <v>8978</v>
      </c>
      <c r="D303" s="339">
        <v>16.943300000000001</v>
      </c>
      <c r="E303" s="40">
        <v>13.66</v>
      </c>
      <c r="F303" s="236">
        <f t="shared" si="33"/>
        <v>-29477.467400000005</v>
      </c>
      <c r="G303" s="40">
        <f t="shared" si="34"/>
        <v>152116.9474</v>
      </c>
      <c r="H303" s="232">
        <f t="shared" si="35"/>
        <v>-0.19378161279089673</v>
      </c>
      <c r="I303" s="202"/>
    </row>
    <row r="304" spans="2:9" x14ac:dyDescent="0.25">
      <c r="B304" s="193">
        <v>42548</v>
      </c>
      <c r="C304" s="450">
        <v>9278</v>
      </c>
      <c r="D304" s="451">
        <v>16.834599999999998</v>
      </c>
      <c r="E304" s="40">
        <v>13.66</v>
      </c>
      <c r="F304" s="236">
        <f t="shared" si="33"/>
        <v>-29453.938799999982</v>
      </c>
      <c r="G304" s="40">
        <f t="shared" si="34"/>
        <v>156191.41879999998</v>
      </c>
      <c r="H304" s="232">
        <f t="shared" si="35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5">
        <v>17.124400000000001</v>
      </c>
      <c r="E305" s="40">
        <v>14.78</v>
      </c>
      <c r="F305" s="236">
        <f t="shared" si="33"/>
        <v>-19172.503200000017</v>
      </c>
      <c r="G305" s="40">
        <f t="shared" si="34"/>
        <v>140043.3432</v>
      </c>
      <c r="H305" s="232">
        <f t="shared" si="35"/>
        <v>-0.13690406671182651</v>
      </c>
      <c r="I305" s="475">
        <v>17</v>
      </c>
    </row>
    <row r="306" spans="2:9" x14ac:dyDescent="0.25">
      <c r="B306" s="193">
        <v>42552</v>
      </c>
      <c r="C306" s="457">
        <v>7678</v>
      </c>
      <c r="D306" s="467">
        <v>17.2315</v>
      </c>
      <c r="E306" s="40">
        <v>15.48</v>
      </c>
      <c r="F306" s="236">
        <f t="shared" si="33"/>
        <v>-13448.017</v>
      </c>
      <c r="G306" s="40">
        <f t="shared" si="34"/>
        <v>132303.45699999999</v>
      </c>
      <c r="H306" s="232">
        <f t="shared" si="35"/>
        <v>-0.1016452427240809</v>
      </c>
      <c r="I306" s="496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3"/>
        <v>-12142.820000000009</v>
      </c>
      <c r="G307" s="40">
        <f t="shared" si="34"/>
        <v>126387.82</v>
      </c>
      <c r="H307" s="232">
        <f t="shared" si="35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6">C308*(E308-D308)</f>
        <v>-11873.480000000014</v>
      </c>
      <c r="G308" s="40">
        <f t="shared" ref="G308:G312" si="37">IF(C308=0, 0,D308*C308)</f>
        <v>118633.48000000001</v>
      </c>
      <c r="H308" s="232">
        <f t="shared" ref="H308:H312" si="38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6"/>
        <v>-11929.199999999995</v>
      </c>
      <c r="G309" s="40">
        <f t="shared" si="37"/>
        <v>106009.2</v>
      </c>
      <c r="H309" s="232">
        <f t="shared" si="38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5">
        <v>16.978899999999999</v>
      </c>
      <c r="E310" s="40">
        <v>14.72</v>
      </c>
      <c r="F310" s="236">
        <f t="shared" si="36"/>
        <v>-18473.284199999991</v>
      </c>
      <c r="G310" s="40">
        <f t="shared" si="37"/>
        <v>138853.4442</v>
      </c>
      <c r="H310" s="232">
        <f t="shared" si="38"/>
        <v>-0.13304159869013887</v>
      </c>
      <c r="I310" s="486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6"/>
        <v>-18423.393999999993</v>
      </c>
      <c r="G311" s="40">
        <f t="shared" si="37"/>
        <v>146163.554</v>
      </c>
      <c r="H311" s="232">
        <f t="shared" si="38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5">
        <v>16.960599999999999</v>
      </c>
      <c r="E312" s="40">
        <v>14.84</v>
      </c>
      <c r="F312" s="236">
        <f t="shared" si="36"/>
        <v>-17342.266799999998</v>
      </c>
      <c r="G312" s="40">
        <f t="shared" si="37"/>
        <v>138703.7868</v>
      </c>
      <c r="H312" s="232">
        <f t="shared" si="38"/>
        <v>-0.12503095409360515</v>
      </c>
      <c r="I312" s="496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39">C313*(E313-D313)</f>
        <v>-17312.610000000008</v>
      </c>
      <c r="G313" s="40">
        <f t="shared" ref="G313" si="40">IF(C313=0, 0,D313*C313)</f>
        <v>146094.13</v>
      </c>
      <c r="H313" s="232">
        <f t="shared" ref="H313" si="41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2">C314*(E314-D314)</f>
        <v>-16618.370000000006</v>
      </c>
      <c r="G314" s="40">
        <f t="shared" ref="G314" si="43">IF(C314=0, 0,D314*C314)</f>
        <v>146094.13</v>
      </c>
      <c r="H314" s="232">
        <f t="shared" ref="H314" si="44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5">C315*(E315-D315)</f>
        <v>-18614.310000000012</v>
      </c>
      <c r="G315" s="40">
        <f t="shared" ref="G315" si="46">IF(C315=0, 0,D315*C315)</f>
        <v>146094.13</v>
      </c>
      <c r="H315" s="232">
        <f t="shared" ref="H315" si="47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8">C316*(E316-D316)</f>
        <v>-10717.330000000011</v>
      </c>
      <c r="G316" s="40">
        <f t="shared" ref="G316:G317" si="49">IF(C316=0, 0,D316*C316)</f>
        <v>146094.13</v>
      </c>
      <c r="H316" s="232">
        <f t="shared" ref="H316:H317" si="50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8"/>
        <v>-13335.061799999996</v>
      </c>
      <c r="G317" s="40">
        <f t="shared" si="49"/>
        <v>146939.08179999999</v>
      </c>
      <c r="H317" s="232">
        <f t="shared" si="50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1">C318*(E318-D318)</f>
        <v>-14034.101799999982</v>
      </c>
      <c r="G318" s="40">
        <f t="shared" ref="G318:G320" si="52">IF(C318=0, 0,D318*C318)</f>
        <v>146939.08179999999</v>
      </c>
      <c r="H318" s="232">
        <f t="shared" ref="H318:H320" si="53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1"/>
        <v>-18125.222999999994</v>
      </c>
      <c r="G319" s="40">
        <f t="shared" si="52"/>
        <v>152910.723</v>
      </c>
      <c r="H319" s="232">
        <f t="shared" si="53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1"/>
        <v>-17204.112599999997</v>
      </c>
      <c r="G320" s="40">
        <f t="shared" si="52"/>
        <v>152812.03260000001</v>
      </c>
      <c r="H320" s="232">
        <f t="shared" si="53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4">C321*(E321-D321)</f>
        <v>-21007.348200000015</v>
      </c>
      <c r="G321" s="40">
        <f t="shared" ref="G321" si="55">IF(C321=0, 0,D321*C321)</f>
        <v>152777.3082</v>
      </c>
      <c r="H321" s="232">
        <f t="shared" ref="H321" si="56">IF(C321=0, D321, (E321-D321)/D321)</f>
        <v>-0.13750306539305823</v>
      </c>
      <c r="I321" s="40"/>
    </row>
    <row r="322" spans="2:9" x14ac:dyDescent="0.25">
      <c r="B322" s="193">
        <v>42573</v>
      </c>
      <c r="C322" s="450">
        <v>9278</v>
      </c>
      <c r="D322" s="451">
        <v>16.679099999999998</v>
      </c>
      <c r="E322" s="40">
        <v>14.11</v>
      </c>
      <c r="F322" s="236">
        <f t="shared" ref="F322:F323" si="57">C322*(E322-D322)</f>
        <v>-23836.109799999987</v>
      </c>
      <c r="G322" s="40">
        <f t="shared" ref="G322:G323" si="58">IF(C322=0, 0,D322*C322)</f>
        <v>154748.68979999999</v>
      </c>
      <c r="H322" s="232">
        <f t="shared" ref="H322:H323" si="59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7"/>
        <v>-28747.721799999992</v>
      </c>
      <c r="G323" s="40">
        <f t="shared" si="58"/>
        <v>157458.96179999999</v>
      </c>
      <c r="H323" s="232">
        <f t="shared" si="59"/>
        <v>-0.18257278894366491</v>
      </c>
      <c r="I323" s="40"/>
    </row>
    <row r="324" spans="2:9" x14ac:dyDescent="0.25">
      <c r="B324" s="193">
        <v>42577</v>
      </c>
      <c r="C324" s="450">
        <v>9278</v>
      </c>
      <c r="D324" s="451">
        <v>16.674199999999999</v>
      </c>
      <c r="E324" s="40">
        <v>13.78</v>
      </c>
      <c r="F324" s="236">
        <f t="shared" ref="F324:F325" si="60">C324*(E324-D324)</f>
        <v>-26852.387599999998</v>
      </c>
      <c r="G324" s="40">
        <f t="shared" ref="G324:G325" si="61">IF(C324=0, 0,D324*C324)</f>
        <v>154703.22759999998</v>
      </c>
      <c r="H324" s="232">
        <f t="shared" ref="H324:H325" si="62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0"/>
        <v>-32892.451199999996</v>
      </c>
      <c r="G325" s="40">
        <f t="shared" si="61"/>
        <v>157338.5912</v>
      </c>
      <c r="H325" s="232">
        <f t="shared" si="62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3">C326*(E326-D326)</f>
        <v>-28045.401999999998</v>
      </c>
      <c r="G326" s="40">
        <f t="shared" ref="G326:G329" si="64">IF(C326=0, 0,D326*C326)</f>
        <v>157325.32200000001</v>
      </c>
      <c r="H326" s="232">
        <f t="shared" ref="H326:H329" si="65">IF(C326=0, D326, (E326-D326)/D326)</f>
        <v>-0.17826375082836313</v>
      </c>
      <c r="I326" s="40"/>
    </row>
    <row r="327" spans="2:9" x14ac:dyDescent="0.25">
      <c r="B327" s="193">
        <v>42580</v>
      </c>
      <c r="C327" s="450">
        <v>9278</v>
      </c>
      <c r="D327" s="451">
        <v>16.664000000000001</v>
      </c>
      <c r="E327" s="40">
        <v>13.64</v>
      </c>
      <c r="F327" s="236">
        <f t="shared" si="63"/>
        <v>-28056.67200000001</v>
      </c>
      <c r="G327" s="40">
        <f t="shared" si="64"/>
        <v>154608.592</v>
      </c>
      <c r="H327" s="232">
        <f t="shared" si="65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3"/>
        <v>-34756.773799999995</v>
      </c>
      <c r="G328" s="40">
        <f t="shared" si="64"/>
        <v>157212.5338</v>
      </c>
      <c r="H328" s="232">
        <f t="shared" si="65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3"/>
        <v>-34901.771399999991</v>
      </c>
      <c r="G329" s="40">
        <f t="shared" si="64"/>
        <v>159747.97140000001</v>
      </c>
      <c r="H329" s="232">
        <f t="shared" si="65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6">C330*(E330-D330)</f>
        <v>-36344.291399999995</v>
      </c>
      <c r="G330" s="40">
        <f t="shared" ref="G330:G345" si="67">IF(C330=0, 0,D330*C330)</f>
        <v>166350.4914</v>
      </c>
      <c r="H330" s="232">
        <f t="shared" ref="H330:H345" si="68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6"/>
        <v>-29806.304399999986</v>
      </c>
      <c r="G331" s="40">
        <f t="shared" si="67"/>
        <v>159588.28439999997</v>
      </c>
      <c r="H331" s="232">
        <f t="shared" si="68"/>
        <v>-0.1867700032747516</v>
      </c>
      <c r="I331" s="40"/>
    </row>
    <row r="332" spans="2:9" x14ac:dyDescent="0.25">
      <c r="B332" s="193">
        <v>42586</v>
      </c>
      <c r="C332" s="450">
        <v>9278</v>
      </c>
      <c r="D332" s="451">
        <v>16.609200000000001</v>
      </c>
      <c r="E332" s="40">
        <v>13.66</v>
      </c>
      <c r="F332" s="236">
        <f t="shared" si="66"/>
        <v>-27362.67760000001</v>
      </c>
      <c r="G332" s="40">
        <f t="shared" si="67"/>
        <v>154100.15760000001</v>
      </c>
      <c r="H332" s="232">
        <f t="shared" si="68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6"/>
        <v>-25413.691800000004</v>
      </c>
      <c r="G333" s="40">
        <f t="shared" si="67"/>
        <v>152157.7518</v>
      </c>
      <c r="H333" s="232">
        <f t="shared" si="68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6"/>
        <v>-18660.303400000012</v>
      </c>
      <c r="G334" s="40">
        <f t="shared" si="67"/>
        <v>145445.88340000002</v>
      </c>
      <c r="H334" s="232">
        <f t="shared" si="68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6"/>
        <v>-16029.133799999994</v>
      </c>
      <c r="G335" s="40">
        <f t="shared" si="67"/>
        <v>145331.33379999999</v>
      </c>
      <c r="H335" s="232">
        <f t="shared" si="68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5">
        <v>16.8429</v>
      </c>
      <c r="E336" s="40">
        <v>15.17</v>
      </c>
      <c r="F336" s="236">
        <f t="shared" si="66"/>
        <v>-13680.976200000003</v>
      </c>
      <c r="G336" s="40">
        <f t="shared" si="67"/>
        <v>137741.23620000001</v>
      </c>
      <c r="H336" s="232">
        <f t="shared" si="68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6"/>
        <v>-9402.4621999999927</v>
      </c>
      <c r="G337" s="40">
        <f t="shared" si="67"/>
        <v>122097.06219999999</v>
      </c>
      <c r="H337" s="232">
        <f t="shared" si="68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6"/>
        <v>-2780.8000000000065</v>
      </c>
      <c r="G338" s="40">
        <f t="shared" si="67"/>
        <v>94520.8</v>
      </c>
      <c r="H338" s="232">
        <f t="shared" si="68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6"/>
        <v>-2111.0000000000005</v>
      </c>
      <c r="G339" s="40">
        <f t="shared" si="67"/>
        <v>86111</v>
      </c>
      <c r="H339" s="232">
        <f t="shared" si="68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6"/>
        <v>-7950.599999999994</v>
      </c>
      <c r="G340" s="40">
        <f t="shared" si="67"/>
        <v>101790.59999999999</v>
      </c>
      <c r="H340" s="232">
        <f t="shared" si="68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6"/>
        <v>-7870.8499999999922</v>
      </c>
      <c r="G341" s="40">
        <f t="shared" si="67"/>
        <v>109530.84999999999</v>
      </c>
      <c r="H341" s="232">
        <f t="shared" si="68"/>
        <v>-7.1859663282079822E-2</v>
      </c>
      <c r="I341" s="40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6"/>
        <v>-2961.0000000000055</v>
      </c>
      <c r="G342" s="40">
        <f t="shared" si="67"/>
        <v>101541</v>
      </c>
      <c r="H342" s="232">
        <f t="shared" si="68"/>
        <v>-2.9160634620498178E-2</v>
      </c>
      <c r="I342" s="40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6"/>
        <v>-3051.400000000001</v>
      </c>
      <c r="G343" s="40">
        <f t="shared" si="67"/>
        <v>93416.4</v>
      </c>
      <c r="H343" s="232">
        <f t="shared" si="68"/>
        <v>-3.266450002355048E-2</v>
      </c>
      <c r="I343" s="40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6"/>
        <v>-3026.4999999999986</v>
      </c>
      <c r="G344" s="40">
        <f t="shared" si="67"/>
        <v>85176.5</v>
      </c>
      <c r="H344" s="232">
        <f t="shared" si="68"/>
        <v>-3.5532100990296606E-2</v>
      </c>
      <c r="I344" s="40"/>
    </row>
    <row r="345" spans="2:9" x14ac:dyDescent="0.25">
      <c r="B345" s="193">
        <v>42606</v>
      </c>
      <c r="C345" s="10">
        <v>5178</v>
      </c>
      <c r="D345" s="242">
        <v>17.0017</v>
      </c>
      <c r="E345" s="40">
        <v>16.059999999999999</v>
      </c>
      <c r="F345" s="236">
        <f t="shared" si="66"/>
        <v>-4876.1226000000042</v>
      </c>
      <c r="G345" s="40">
        <f t="shared" si="67"/>
        <v>88034.802599999995</v>
      </c>
      <c r="H345" s="232">
        <f t="shared" si="68"/>
        <v>-5.5388578789179958E-2</v>
      </c>
      <c r="I345" s="40"/>
    </row>
    <row r="346" spans="2:9" x14ac:dyDescent="0.25">
      <c r="B346" s="193"/>
      <c r="C346" s="10"/>
      <c r="D346" s="242"/>
      <c r="E346" s="40"/>
      <c r="F346" s="236"/>
      <c r="G346" s="40"/>
      <c r="H346" s="232"/>
      <c r="I346" s="40"/>
    </row>
    <row r="347" spans="2:9" x14ac:dyDescent="0.25">
      <c r="B347" s="193"/>
      <c r="C347" s="10"/>
      <c r="D347" s="242"/>
      <c r="E347" s="40"/>
      <c r="F347" s="236"/>
      <c r="G347" s="40"/>
      <c r="H347" s="232"/>
      <c r="I347" s="40"/>
    </row>
    <row r="348" spans="2:9" x14ac:dyDescent="0.25">
      <c r="B348" s="193"/>
      <c r="C348" s="10"/>
      <c r="D348" s="242"/>
      <c r="E348" s="40"/>
      <c r="F348" s="236"/>
      <c r="G348" s="40"/>
      <c r="H348" s="232"/>
      <c r="I348" s="40"/>
    </row>
    <row r="349" spans="2:9" x14ac:dyDescent="0.25">
      <c r="B349" s="193"/>
      <c r="C349" s="10"/>
      <c r="D349" s="242"/>
      <c r="E349" s="40"/>
      <c r="F349" s="236"/>
      <c r="G349" s="40"/>
      <c r="H349" s="232"/>
      <c r="I349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67:G170"/>
    <mergeCell ref="A151:A152"/>
    <mergeCell ref="A126:A128"/>
    <mergeCell ref="A120:A122"/>
    <mergeCell ref="A113:A116"/>
    <mergeCell ref="G147:G150"/>
  </mergeCells>
  <conditionalFormatting sqref="F196:F349 H196:H349">
    <cfRule type="expression" dxfId="553" priority="26">
      <formula>F196&gt;0</formula>
    </cfRule>
    <cfRule type="expression" dxfId="55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51" priority="19">
      <formula>F189&gt;0</formula>
    </cfRule>
    <cfRule type="expression" dxfId="550" priority="20">
      <formula>F189&lt;0</formula>
    </cfRule>
  </conditionalFormatting>
  <conditionalFormatting sqref="H189:H195">
    <cfRule type="expression" dxfId="549" priority="15">
      <formula>H189&gt;0</formula>
    </cfRule>
    <cfRule type="expression" dxfId="548" priority="16">
      <formula>H189&lt;0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33" activePane="bottomLeft" state="frozen"/>
      <selection activeCell="A2" sqref="A2"/>
      <selection pane="bottomLeft" activeCell="K54" sqref="K54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7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7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42606</v>
      </c>
      <c r="X2" s="10">
        <v>32.25</v>
      </c>
      <c r="Y2" s="10">
        <v>33.24</v>
      </c>
      <c r="Z2" s="10">
        <v>32.21</v>
      </c>
      <c r="AA2" s="10">
        <v>32.99</v>
      </c>
      <c r="AB2" s="95">
        <v>12137800</v>
      </c>
      <c r="AC2" s="10">
        <v>32.99</v>
      </c>
      <c r="AD2" s="2">
        <f>Y2-Z2</f>
        <v>1.0300000000000011</v>
      </c>
      <c r="AE2" s="138">
        <f>AC2/AC3-1</f>
        <v>2.2945736434108577E-2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6"/>
      <c r="H3" s="7"/>
      <c r="I3" s="44"/>
      <c r="J3" s="44"/>
      <c r="K3" s="44"/>
      <c r="L3" s="1">
        <v>42614</v>
      </c>
      <c r="O3" s="11" t="s">
        <v>58</v>
      </c>
      <c r="Q3" s="523">
        <f>IF(Q2=0, Q4, (F18-K18-M18)/Q2)</f>
        <v>33.045880000000004</v>
      </c>
      <c r="T3" s="1"/>
      <c r="W3" s="133">
        <v>42605</v>
      </c>
      <c r="X3" s="10">
        <v>32.58</v>
      </c>
      <c r="Y3" s="10">
        <v>32.979999999999997</v>
      </c>
      <c r="Z3" s="10">
        <v>32.25</v>
      </c>
      <c r="AA3" s="10">
        <v>32.25</v>
      </c>
      <c r="AB3" s="95">
        <v>11039600</v>
      </c>
      <c r="AC3" s="10">
        <v>32.25</v>
      </c>
      <c r="AD3" s="2">
        <f t="shared" ref="AD3:AD66" si="1">Y3-Z3</f>
        <v>0.72999999999999687</v>
      </c>
      <c r="AE3" s="138">
        <f t="shared" ref="AE3:AE66" si="2">AC3/AC4-1</f>
        <v>-1.8563603164942211E-2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7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5">
        <v>32.99</v>
      </c>
      <c r="T4" s="163"/>
      <c r="W4" s="133">
        <v>42604</v>
      </c>
      <c r="X4" s="10">
        <v>32.64</v>
      </c>
      <c r="Y4" s="10">
        <v>32.89</v>
      </c>
      <c r="Z4" s="10">
        <v>32.450000000000003</v>
      </c>
      <c r="AA4" s="10">
        <v>32.86</v>
      </c>
      <c r="AB4" s="95">
        <v>7744600</v>
      </c>
      <c r="AC4" s="10">
        <v>32.86</v>
      </c>
      <c r="AD4" s="2">
        <f t="shared" si="1"/>
        <v>0.43999999999999773</v>
      </c>
      <c r="AE4" s="138">
        <f t="shared" si="2"/>
        <v>7.6663600122661713E-3</v>
      </c>
    </row>
    <row r="5" spans="1:31" x14ac:dyDescent="0.25">
      <c r="B5" s="477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7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16495</v>
      </c>
      <c r="W5" s="133">
        <v>42601</v>
      </c>
      <c r="X5" s="10">
        <v>32.47</v>
      </c>
      <c r="Y5" s="10">
        <v>32.81</v>
      </c>
      <c r="Z5" s="10">
        <v>32.35</v>
      </c>
      <c r="AA5" s="10">
        <v>32.61</v>
      </c>
      <c r="AB5" s="95">
        <v>8885800</v>
      </c>
      <c r="AC5" s="10">
        <v>32.61</v>
      </c>
      <c r="AD5" s="2">
        <f t="shared" si="1"/>
        <v>0.46000000000000085</v>
      </c>
      <c r="AE5" s="138">
        <f t="shared" si="2"/>
        <v>4.6210720887245316E-3</v>
      </c>
    </row>
    <row r="6" spans="1:31" x14ac:dyDescent="0.25">
      <c r="B6" s="477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7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42600</v>
      </c>
      <c r="X6" s="10">
        <v>31.96</v>
      </c>
      <c r="Y6" s="10">
        <v>32.619999999999997</v>
      </c>
      <c r="Z6" s="10">
        <v>31.87</v>
      </c>
      <c r="AA6" s="10">
        <v>32.46</v>
      </c>
      <c r="AB6" s="95">
        <v>12233100</v>
      </c>
      <c r="AC6" s="10">
        <v>32.46</v>
      </c>
      <c r="AD6" s="2">
        <f t="shared" si="1"/>
        <v>0.74999999999999645</v>
      </c>
      <c r="AE6" s="138">
        <f t="shared" si="2"/>
        <v>1.8193224592220947E-2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-27.940000000002328</v>
      </c>
      <c r="R7">
        <v>60</v>
      </c>
      <c r="W7" s="133">
        <v>42599</v>
      </c>
      <c r="X7" s="10">
        <v>32.119999999999997</v>
      </c>
      <c r="Y7" s="10">
        <v>32.21</v>
      </c>
      <c r="Z7" s="10">
        <v>31.45</v>
      </c>
      <c r="AA7" s="10">
        <v>31.88</v>
      </c>
      <c r="AB7" s="95">
        <v>9413300</v>
      </c>
      <c r="AC7" s="10">
        <v>31.88</v>
      </c>
      <c r="AD7" s="2">
        <f t="shared" si="1"/>
        <v>0.76000000000000156</v>
      </c>
      <c r="AE7" s="138">
        <f t="shared" si="2"/>
        <v>-6.8535825545171791E-3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-27.940000000002328</v>
      </c>
      <c r="W8" s="133">
        <v>42598</v>
      </c>
      <c r="X8" s="10">
        <v>32.54</v>
      </c>
      <c r="Y8" s="10">
        <v>32.54</v>
      </c>
      <c r="Z8" s="10">
        <v>32.06</v>
      </c>
      <c r="AA8" s="10">
        <v>32.1</v>
      </c>
      <c r="AB8" s="95">
        <v>11198200</v>
      </c>
      <c r="AC8" s="10">
        <v>32.1</v>
      </c>
      <c r="AD8" s="2">
        <f t="shared" si="1"/>
        <v>0.47999999999999687</v>
      </c>
      <c r="AE8" s="138">
        <f t="shared" si="2"/>
        <v>-1.9248395967002563E-2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225</v>
      </c>
      <c r="Q9" s="138">
        <f>IF(Q2=0, 0, Q8/Q6)</f>
        <v>-1.6909823554405164E-3</v>
      </c>
      <c r="W9" s="133">
        <v>42597</v>
      </c>
      <c r="X9" s="10">
        <v>32.630000000000003</v>
      </c>
      <c r="Y9" s="10">
        <v>32.97</v>
      </c>
      <c r="Z9" s="10">
        <v>32.46</v>
      </c>
      <c r="AA9" s="10">
        <v>32.729999999999997</v>
      </c>
      <c r="AB9" s="95">
        <v>9027500</v>
      </c>
      <c r="AC9" s="10">
        <v>32.729999999999997</v>
      </c>
      <c r="AD9" s="2">
        <f t="shared" si="1"/>
        <v>0.50999999999999801</v>
      </c>
      <c r="AE9" s="138">
        <f t="shared" si="2"/>
        <v>4.604051565377576E-3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224</v>
      </c>
      <c r="P10" s="34"/>
      <c r="Q10" s="2">
        <f>M30</f>
        <v>0</v>
      </c>
      <c r="W10" s="133">
        <v>42594</v>
      </c>
      <c r="X10" s="10">
        <v>32.42</v>
      </c>
      <c r="Y10" s="10">
        <v>32.619999999999997</v>
      </c>
      <c r="Z10" s="10">
        <v>32.229999999999997</v>
      </c>
      <c r="AA10" s="10">
        <v>32.58</v>
      </c>
      <c r="AB10" s="95">
        <v>7395200</v>
      </c>
      <c r="AC10" s="10">
        <v>32.58</v>
      </c>
      <c r="AD10" s="2">
        <f t="shared" si="1"/>
        <v>0.39000000000000057</v>
      </c>
      <c r="AE10" s="138">
        <f t="shared" si="2"/>
        <v>8.6687306501549433E-3</v>
      </c>
    </row>
    <row r="11" spans="1:31" x14ac:dyDescent="0.25">
      <c r="B11" s="1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42593</v>
      </c>
      <c r="X11" s="10">
        <v>32.549999999999997</v>
      </c>
      <c r="Y11" s="10">
        <v>32.85</v>
      </c>
      <c r="Z11" s="10">
        <v>32.020000000000003</v>
      </c>
      <c r="AA11" s="10">
        <v>32.299999999999997</v>
      </c>
      <c r="AB11" s="95">
        <v>9605600</v>
      </c>
      <c r="AC11" s="10">
        <v>32.299999999999997</v>
      </c>
      <c r="AD11" s="2">
        <f t="shared" si="1"/>
        <v>0.82999999999999829</v>
      </c>
      <c r="AE11" s="138" t="e">
        <f t="shared" si="2"/>
        <v>#DIV/0!</v>
      </c>
    </row>
    <row r="12" spans="1:31" x14ac:dyDescent="0.25">
      <c r="B12" s="1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42593</v>
      </c>
      <c r="X12" s="10" t="s">
        <v>360</v>
      </c>
      <c r="Y12" s="10"/>
      <c r="Z12" s="10"/>
      <c r="AA12" s="10"/>
      <c r="AB12" s="95"/>
      <c r="AC12" s="10"/>
      <c r="AD12" s="2">
        <f t="shared" si="1"/>
        <v>0</v>
      </c>
      <c r="AE12" s="138">
        <f t="shared" si="2"/>
        <v>-1</v>
      </c>
    </row>
    <row r="13" spans="1:31" x14ac:dyDescent="0.25">
      <c r="B13" s="1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42592</v>
      </c>
      <c r="X13" s="10">
        <v>32.380000000000003</v>
      </c>
      <c r="Y13" s="10">
        <v>32.630000000000003</v>
      </c>
      <c r="Z13" s="10">
        <v>32.270000000000003</v>
      </c>
      <c r="AA13" s="10">
        <v>32.5</v>
      </c>
      <c r="AB13" s="95">
        <v>12735400</v>
      </c>
      <c r="AC13" s="10">
        <v>32.380000000000003</v>
      </c>
      <c r="AD13" s="2">
        <f t="shared" si="1"/>
        <v>0.35999999999999943</v>
      </c>
      <c r="AE13" s="138">
        <f t="shared" si="2"/>
        <v>6.52782095119675E-3</v>
      </c>
    </row>
    <row r="14" spans="1:31" x14ac:dyDescent="0.25">
      <c r="H14" s="72"/>
      <c r="W14" s="133">
        <v>42591</v>
      </c>
      <c r="X14" s="10">
        <v>32.380000000000003</v>
      </c>
      <c r="Y14" s="10">
        <v>32.86</v>
      </c>
      <c r="Z14" s="10">
        <v>32.26</v>
      </c>
      <c r="AA14" s="10">
        <v>32.29</v>
      </c>
      <c r="AB14" s="95">
        <v>11696400</v>
      </c>
      <c r="AC14" s="10">
        <v>32.17</v>
      </c>
      <c r="AD14" s="2">
        <f t="shared" si="1"/>
        <v>0.60000000000000142</v>
      </c>
      <c r="AE14" s="138">
        <f t="shared" si="2"/>
        <v>-6.2131096613837755E-4</v>
      </c>
    </row>
    <row r="15" spans="1:31" x14ac:dyDescent="0.25">
      <c r="H15" s="72"/>
      <c r="W15" s="133">
        <v>42590</v>
      </c>
      <c r="X15" s="10">
        <v>32.619999999999997</v>
      </c>
      <c r="Y15" s="10">
        <v>32.71</v>
      </c>
      <c r="Z15" s="10">
        <v>32.270000000000003</v>
      </c>
      <c r="AA15" s="10">
        <v>32.31</v>
      </c>
      <c r="AB15" s="95">
        <v>11837900</v>
      </c>
      <c r="AC15" s="10">
        <v>32.19</v>
      </c>
      <c r="AD15" s="2">
        <f t="shared" si="1"/>
        <v>0.43999999999999773</v>
      </c>
      <c r="AE15" s="138">
        <f t="shared" si="2"/>
        <v>-9.5384615384616067E-3</v>
      </c>
    </row>
    <row r="16" spans="1:31" x14ac:dyDescent="0.25">
      <c r="H16" s="72"/>
      <c r="W16" s="133">
        <v>42587</v>
      </c>
      <c r="X16" s="10">
        <v>32.65</v>
      </c>
      <c r="Y16" s="10">
        <v>32.909999999999997</v>
      </c>
      <c r="Z16" s="10">
        <v>32.42</v>
      </c>
      <c r="AA16" s="10">
        <v>32.619999999999997</v>
      </c>
      <c r="AB16" s="95">
        <v>10343200</v>
      </c>
      <c r="AC16" s="10">
        <v>32.5</v>
      </c>
      <c r="AD16" s="2">
        <f t="shared" si="1"/>
        <v>0.48999999999999488</v>
      </c>
      <c r="AE16" s="138">
        <f t="shared" si="2"/>
        <v>2.1584952204749541E-3</v>
      </c>
    </row>
    <row r="17" spans="1:31" x14ac:dyDescent="0.25">
      <c r="W17" s="133">
        <v>42586</v>
      </c>
      <c r="X17" s="10">
        <v>33.200000000000003</v>
      </c>
      <c r="Y17" s="10">
        <v>33.28</v>
      </c>
      <c r="Z17" s="10">
        <v>32.11</v>
      </c>
      <c r="AA17" s="10">
        <v>32.549999999999997</v>
      </c>
      <c r="AB17" s="95">
        <v>12247300</v>
      </c>
      <c r="AC17" s="10">
        <v>32.43</v>
      </c>
      <c r="AD17" s="2">
        <f t="shared" si="1"/>
        <v>1.1700000000000017</v>
      </c>
      <c r="AE17" s="138">
        <f t="shared" si="2"/>
        <v>-1.9649334945586405E-2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42585</v>
      </c>
      <c r="X18" s="10">
        <v>32.69</v>
      </c>
      <c r="Y18" s="10">
        <v>33.53</v>
      </c>
      <c r="Z18" s="10">
        <v>32.64</v>
      </c>
      <c r="AA18" s="10">
        <v>33.200000000000003</v>
      </c>
      <c r="AB18" s="95">
        <v>10630600</v>
      </c>
      <c r="AC18" s="10">
        <v>33.08</v>
      </c>
      <c r="AD18" s="2">
        <f t="shared" si="1"/>
        <v>0.89000000000000057</v>
      </c>
      <c r="AE18" s="138">
        <f t="shared" si="2"/>
        <v>1.8159433671898872E-2</v>
      </c>
    </row>
    <row r="19" spans="1:31" ht="15.75" thickBot="1" x14ac:dyDescent="0.3">
      <c r="A19" s="360" t="s">
        <v>204</v>
      </c>
      <c r="B19" s="361"/>
      <c r="C19" s="362">
        <f>SumByColor($A$19,C2:C17)</f>
        <v>280</v>
      </c>
      <c r="D19" s="362"/>
      <c r="E19" s="362"/>
      <c r="F19" s="363">
        <f>SumByColor($A$19,F2:F17)</f>
        <v>9668</v>
      </c>
      <c r="G19" s="362"/>
      <c r="H19" s="362">
        <f>SumByColor($A$19,H2:H17)</f>
        <v>280</v>
      </c>
      <c r="I19" s="362"/>
      <c r="J19" s="362"/>
      <c r="K19" s="363">
        <f>SumByColor($A$19,K2:K17)</f>
        <v>9811</v>
      </c>
      <c r="L19" s="362"/>
      <c r="M19" s="363">
        <f t="shared" ref="M19" si="3">SumByColor($A$19,M2:M17)</f>
        <v>0</v>
      </c>
      <c r="W19" s="133">
        <v>42584</v>
      </c>
      <c r="X19" s="10">
        <v>33.450000000000003</v>
      </c>
      <c r="Y19" s="10">
        <v>33.799999999999997</v>
      </c>
      <c r="Z19" s="10">
        <v>32.49</v>
      </c>
      <c r="AA19" s="10">
        <v>32.61</v>
      </c>
      <c r="AB19" s="95">
        <v>18255400</v>
      </c>
      <c r="AC19" s="10">
        <v>32.49</v>
      </c>
      <c r="AD19" s="2">
        <f t="shared" si="1"/>
        <v>1.3099999999999952</v>
      </c>
      <c r="AE19" s="138">
        <f t="shared" si="2"/>
        <v>-4.1027154663518361E-2</v>
      </c>
    </row>
    <row r="20" spans="1:31" x14ac:dyDescent="0.25">
      <c r="W20" s="133">
        <v>42583</v>
      </c>
      <c r="X20" s="10">
        <v>34.200000000000003</v>
      </c>
      <c r="Y20" s="10">
        <v>34.340000000000003</v>
      </c>
      <c r="Z20" s="10">
        <v>33.880000000000003</v>
      </c>
      <c r="AA20" s="10">
        <v>34.01</v>
      </c>
      <c r="AB20" s="95">
        <v>9742400</v>
      </c>
      <c r="AC20" s="10">
        <v>33.880000000000003</v>
      </c>
      <c r="AD20" s="2">
        <f t="shared" si="1"/>
        <v>0.46000000000000085</v>
      </c>
      <c r="AE20" s="138">
        <f t="shared" si="2"/>
        <v>-5.2847915443334781E-3</v>
      </c>
    </row>
    <row r="21" spans="1:31" x14ac:dyDescent="0.25">
      <c r="W21" s="133">
        <v>42580</v>
      </c>
      <c r="X21" s="10">
        <v>34.299999999999997</v>
      </c>
      <c r="Y21" s="10">
        <v>34.4</v>
      </c>
      <c r="Z21" s="10">
        <v>33.81</v>
      </c>
      <c r="AA21" s="10">
        <v>34.19</v>
      </c>
      <c r="AB21" s="95">
        <v>19149500</v>
      </c>
      <c r="AC21" s="10">
        <v>34.06</v>
      </c>
      <c r="AD21" s="2">
        <f t="shared" si="1"/>
        <v>0.58999999999999631</v>
      </c>
      <c r="AE21" s="138">
        <f t="shared" si="2"/>
        <v>-6.1278085789320258E-3</v>
      </c>
    </row>
    <row r="22" spans="1:31" x14ac:dyDescent="0.25">
      <c r="W22" s="133">
        <v>42579</v>
      </c>
      <c r="X22" s="10">
        <v>35.229999999999997</v>
      </c>
      <c r="Y22" s="10">
        <v>35.24</v>
      </c>
      <c r="Z22" s="10">
        <v>34.380000000000003</v>
      </c>
      <c r="AA22" s="10">
        <v>34.4</v>
      </c>
      <c r="AB22" s="95">
        <v>14382900</v>
      </c>
      <c r="AC22" s="10">
        <v>34.270000000000003</v>
      </c>
      <c r="AD22" s="2">
        <f t="shared" si="1"/>
        <v>0.85999999999999943</v>
      </c>
      <c r="AE22" s="138">
        <f t="shared" si="2"/>
        <v>-3.301354401805856E-2</v>
      </c>
    </row>
    <row r="23" spans="1:31" x14ac:dyDescent="0.25">
      <c r="W23" s="133">
        <v>42578</v>
      </c>
      <c r="X23" s="10">
        <v>36.32</v>
      </c>
      <c r="Y23" s="10">
        <v>36.369999999999997</v>
      </c>
      <c r="Z23" s="10">
        <v>35.54</v>
      </c>
      <c r="AA23" s="10">
        <v>35.57</v>
      </c>
      <c r="AB23" s="95">
        <v>6228800</v>
      </c>
      <c r="AC23" s="10">
        <v>35.44</v>
      </c>
      <c r="AD23" s="2">
        <f t="shared" si="1"/>
        <v>0.82999999999999829</v>
      </c>
      <c r="AE23" s="138">
        <f t="shared" si="2"/>
        <v>-2.3422430421603746E-2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42577</v>
      </c>
      <c r="X24" s="10">
        <v>36.159999999999997</v>
      </c>
      <c r="Y24" s="10">
        <v>36.46</v>
      </c>
      <c r="Z24" s="10">
        <v>35.81</v>
      </c>
      <c r="AA24" s="10">
        <v>36.42</v>
      </c>
      <c r="AB24" s="95">
        <v>6968300</v>
      </c>
      <c r="AC24" s="10">
        <v>36.29</v>
      </c>
      <c r="AD24" s="2">
        <f t="shared" si="1"/>
        <v>0.64999999999999858</v>
      </c>
      <c r="AE24" s="138">
        <f t="shared" si="2"/>
        <v>1.7666853617498646E-2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42576</v>
      </c>
      <c r="X25" s="10">
        <v>35.729999999999997</v>
      </c>
      <c r="Y25" s="10">
        <v>35.79</v>
      </c>
      <c r="Z25" s="10">
        <v>35.42</v>
      </c>
      <c r="AA25" s="10">
        <v>35.79</v>
      </c>
      <c r="AB25" s="95">
        <v>5385400</v>
      </c>
      <c r="AC25" s="10">
        <v>35.659999999999997</v>
      </c>
      <c r="AD25" s="2">
        <f t="shared" si="1"/>
        <v>0.36999999999999744</v>
      </c>
      <c r="AE25" s="138">
        <f t="shared" si="2"/>
        <v>-5.2998605299862112E-3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42573</v>
      </c>
      <c r="X26" s="10">
        <v>36.130000000000003</v>
      </c>
      <c r="Y26" s="10">
        <v>36.200000000000003</v>
      </c>
      <c r="Z26" s="10">
        <v>35.799999999999997</v>
      </c>
      <c r="AA26" s="10">
        <v>35.979999999999997</v>
      </c>
      <c r="AB26" s="95">
        <v>3295700</v>
      </c>
      <c r="AC26" s="10">
        <v>35.85</v>
      </c>
      <c r="AD26" s="2">
        <f t="shared" si="1"/>
        <v>0.40000000000000568</v>
      </c>
      <c r="AE26" s="138">
        <f t="shared" si="2"/>
        <v>5.581914596708426E-4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42572</v>
      </c>
      <c r="X27" s="10">
        <v>36.29</v>
      </c>
      <c r="Y27" s="10">
        <v>36.32</v>
      </c>
      <c r="Z27" s="10">
        <v>35.82</v>
      </c>
      <c r="AA27" s="10">
        <v>35.96</v>
      </c>
      <c r="AB27" s="95">
        <v>3705400</v>
      </c>
      <c r="AC27" s="10">
        <v>35.83</v>
      </c>
      <c r="AD27" s="2">
        <f t="shared" si="1"/>
        <v>0.5</v>
      </c>
      <c r="AE27" s="138">
        <f t="shared" si="2"/>
        <v>-1.2131237937689665E-2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42571</v>
      </c>
      <c r="X28" s="10">
        <v>36.39</v>
      </c>
      <c r="Y28" s="10">
        <v>36.549999999999997</v>
      </c>
      <c r="Z28" s="10">
        <v>36.090000000000003</v>
      </c>
      <c r="AA28" s="10">
        <v>36.4</v>
      </c>
      <c r="AB28" s="95">
        <v>4127000</v>
      </c>
      <c r="AC28" s="10">
        <v>36.270000000000003</v>
      </c>
      <c r="AD28" s="2">
        <f t="shared" si="1"/>
        <v>0.45999999999999375</v>
      </c>
      <c r="AE28" s="138">
        <f t="shared" si="2"/>
        <v>5.2660753880267031E-3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42570</v>
      </c>
      <c r="X29" s="10">
        <v>36.299999999999997</v>
      </c>
      <c r="Y29" s="10">
        <v>36.450000000000003</v>
      </c>
      <c r="Z29" s="10">
        <v>36.049999999999997</v>
      </c>
      <c r="AA29" s="10">
        <v>36.21</v>
      </c>
      <c r="AB29" s="95">
        <v>4820400</v>
      </c>
      <c r="AC29" s="10">
        <v>36.08</v>
      </c>
      <c r="AD29" s="2">
        <f t="shared" si="1"/>
        <v>0.40000000000000568</v>
      </c>
      <c r="AE29" s="138">
        <f t="shared" si="2"/>
        <v>-3.5901684617509755E-3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42569</v>
      </c>
      <c r="X30" s="10">
        <v>36.69</v>
      </c>
      <c r="Y30" s="10">
        <v>36.85</v>
      </c>
      <c r="Z30" s="10">
        <v>36.299999999999997</v>
      </c>
      <c r="AA30" s="10">
        <v>36.340000000000003</v>
      </c>
      <c r="AB30" s="95">
        <v>8564000</v>
      </c>
      <c r="AC30" s="10">
        <v>36.21</v>
      </c>
      <c r="AD30" s="2">
        <f t="shared" si="1"/>
        <v>0.55000000000000426</v>
      </c>
      <c r="AE30" s="138">
        <f t="shared" si="2"/>
        <v>-9.8441345365053445E-3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42566</v>
      </c>
      <c r="X31" s="10">
        <v>37.049999999999997</v>
      </c>
      <c r="Y31" s="10">
        <v>37.26</v>
      </c>
      <c r="Z31" s="10">
        <v>36.44</v>
      </c>
      <c r="AA31" s="10">
        <v>36.71</v>
      </c>
      <c r="AB31" s="95">
        <v>7754100</v>
      </c>
      <c r="AC31" s="10">
        <v>36.57</v>
      </c>
      <c r="AD31" s="2">
        <f t="shared" si="1"/>
        <v>0.82000000000000028</v>
      </c>
      <c r="AE31" s="138">
        <f t="shared" si="2"/>
        <v>-1.5877287405812623E-2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42565</v>
      </c>
      <c r="X32" s="10">
        <v>37.479999999999997</v>
      </c>
      <c r="Y32" s="10">
        <v>37.619999999999997</v>
      </c>
      <c r="Z32" s="10">
        <v>37.1</v>
      </c>
      <c r="AA32" s="10">
        <v>37.299999999999997</v>
      </c>
      <c r="AB32" s="95">
        <v>6840400</v>
      </c>
      <c r="AC32" s="10">
        <v>37.159999999999997</v>
      </c>
      <c r="AD32" s="2">
        <f t="shared" si="1"/>
        <v>0.51999999999999602</v>
      </c>
      <c r="AE32" s="138">
        <f t="shared" si="2"/>
        <v>-4.8205677557581206E-3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42564</v>
      </c>
      <c r="X33" s="10">
        <v>37.340000000000003</v>
      </c>
      <c r="Y33" s="10">
        <v>37.64</v>
      </c>
      <c r="Z33" s="10">
        <v>37.159999999999997</v>
      </c>
      <c r="AA33" s="10">
        <v>37.479999999999997</v>
      </c>
      <c r="AB33" s="95">
        <v>5704700</v>
      </c>
      <c r="AC33" s="10">
        <v>37.340000000000003</v>
      </c>
      <c r="AD33" s="2">
        <f t="shared" si="1"/>
        <v>0.48000000000000398</v>
      </c>
      <c r="AE33" s="138">
        <f t="shared" si="2"/>
        <v>2.4161073825503809E-3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42563</v>
      </c>
      <c r="X34" s="10">
        <v>37.56</v>
      </c>
      <c r="Y34" s="10">
        <v>37.57</v>
      </c>
      <c r="Z34" s="10">
        <v>36.979999999999997</v>
      </c>
      <c r="AA34" s="10">
        <v>37.39</v>
      </c>
      <c r="AB34" s="95">
        <v>4572800</v>
      </c>
      <c r="AC34" s="10">
        <v>37.25</v>
      </c>
      <c r="AD34" s="2">
        <f t="shared" si="1"/>
        <v>0.59000000000000341</v>
      </c>
      <c r="AE34" s="138">
        <f t="shared" si="2"/>
        <v>-4.0106951871657914E-3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42562</v>
      </c>
      <c r="X35" s="10">
        <v>37.869999999999997</v>
      </c>
      <c r="Y35" s="10">
        <v>37.97</v>
      </c>
      <c r="Z35" s="10">
        <v>37.479999999999997</v>
      </c>
      <c r="AA35" s="10">
        <v>37.54</v>
      </c>
      <c r="AB35" s="95">
        <v>5871200</v>
      </c>
      <c r="AC35" s="10">
        <v>37.4</v>
      </c>
      <c r="AD35" s="2">
        <f t="shared" si="1"/>
        <v>0.49000000000000199</v>
      </c>
      <c r="AE35" s="138">
        <f t="shared" si="2"/>
        <v>-8.4835630965005571E-3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42559</v>
      </c>
      <c r="X36" s="10">
        <v>37.56</v>
      </c>
      <c r="Y36" s="10">
        <v>37.880000000000003</v>
      </c>
      <c r="Z36" s="10">
        <v>37.49</v>
      </c>
      <c r="AA36" s="10">
        <v>37.86</v>
      </c>
      <c r="AB36" s="95">
        <v>5792500</v>
      </c>
      <c r="AC36" s="10">
        <v>37.72</v>
      </c>
      <c r="AD36" s="2">
        <f t="shared" si="1"/>
        <v>0.39000000000000057</v>
      </c>
      <c r="AE36" s="138">
        <f t="shared" si="2"/>
        <v>1.452393760086057E-2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42558</v>
      </c>
      <c r="X37" s="10">
        <v>37.51</v>
      </c>
      <c r="Y37" s="10">
        <v>37.72</v>
      </c>
      <c r="Z37" s="10">
        <v>37.19</v>
      </c>
      <c r="AA37" s="10">
        <v>37.32</v>
      </c>
      <c r="AB37" s="95">
        <v>8280600</v>
      </c>
      <c r="AC37" s="10">
        <v>37.18</v>
      </c>
      <c r="AD37" s="2">
        <f t="shared" si="1"/>
        <v>0.53000000000000114</v>
      </c>
      <c r="AE37" s="138">
        <f t="shared" si="2"/>
        <v>-6.9444444444444198E-3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42557</v>
      </c>
      <c r="X38" s="10">
        <v>37.31</v>
      </c>
      <c r="Y38" s="10">
        <v>37.65</v>
      </c>
      <c r="Z38" s="10">
        <v>37.28</v>
      </c>
      <c r="AA38" s="10">
        <v>37.58</v>
      </c>
      <c r="AB38" s="95">
        <v>9419300</v>
      </c>
      <c r="AC38" s="10">
        <v>37.44</v>
      </c>
      <c r="AD38" s="2">
        <f t="shared" si="1"/>
        <v>0.36999999999999744</v>
      </c>
      <c r="AE38" s="138">
        <f t="shared" si="2"/>
        <v>6.7222371605271114E-3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42556</v>
      </c>
      <c r="X39" s="10">
        <v>36.6</v>
      </c>
      <c r="Y39" s="10">
        <v>37.4</v>
      </c>
      <c r="Z39" s="10">
        <v>36.549999999999997</v>
      </c>
      <c r="AA39" s="10">
        <v>37.33</v>
      </c>
      <c r="AB39" s="95">
        <v>8543400</v>
      </c>
      <c r="AC39" s="10">
        <v>37.19</v>
      </c>
      <c r="AD39" s="2">
        <f t="shared" si="1"/>
        <v>0.85000000000000142</v>
      </c>
      <c r="AE39" s="138">
        <f t="shared" si="2"/>
        <v>2.1142229544206304E-2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5" t="s">
        <v>78</v>
      </c>
      <c r="P40" s="535"/>
      <c r="W40" s="133">
        <v>42552</v>
      </c>
      <c r="X40" s="10">
        <v>36.89</v>
      </c>
      <c r="Y40" s="10">
        <v>36.99</v>
      </c>
      <c r="Z40" s="10">
        <v>36.54</v>
      </c>
      <c r="AA40" s="10">
        <v>36.549999999999997</v>
      </c>
      <c r="AB40" s="95">
        <v>7121000</v>
      </c>
      <c r="AC40" s="10">
        <v>36.42</v>
      </c>
      <c r="AD40" s="2">
        <f t="shared" si="1"/>
        <v>0.45000000000000284</v>
      </c>
      <c r="AE40" s="138">
        <f t="shared" si="2"/>
        <v>-6.2755798090040615E-3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36.289000000000009</v>
      </c>
      <c r="Q41" s="2"/>
      <c r="W41" s="133">
        <v>42551</v>
      </c>
      <c r="X41" s="10">
        <v>36.450000000000003</v>
      </c>
      <c r="Y41" s="10">
        <v>36.79</v>
      </c>
      <c r="Z41" s="10">
        <v>36.03</v>
      </c>
      <c r="AA41" s="10">
        <v>36.79</v>
      </c>
      <c r="AB41" s="95">
        <v>10256300</v>
      </c>
      <c r="AC41" s="10">
        <v>36.65</v>
      </c>
      <c r="AD41" s="2">
        <f t="shared" si="1"/>
        <v>0.75999999999999801</v>
      </c>
      <c r="AE41" s="138">
        <f t="shared" si="2"/>
        <v>9.0859030837004973E-3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35.959100000000007</v>
      </c>
      <c r="Q42" s="2"/>
      <c r="T42" s="91" t="s">
        <v>113</v>
      </c>
      <c r="W42" s="133">
        <v>42550</v>
      </c>
      <c r="X42" s="10">
        <v>36.35</v>
      </c>
      <c r="Y42" s="10">
        <v>36.65</v>
      </c>
      <c r="Z42" s="10">
        <v>36.24</v>
      </c>
      <c r="AA42" s="10">
        <v>36.450000000000003</v>
      </c>
      <c r="AB42" s="95">
        <v>7589500</v>
      </c>
      <c r="AC42" s="10">
        <v>36.32</v>
      </c>
      <c r="AD42" s="2">
        <f t="shared" si="1"/>
        <v>0.40999999999999659</v>
      </c>
      <c r="AE42" s="138">
        <f t="shared" si="2"/>
        <v>1.1135857461024523E-2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35.629200000000004</v>
      </c>
      <c r="Q43" s="2"/>
      <c r="T43" s="128" t="s">
        <v>98</v>
      </c>
      <c r="U43" s="98">
        <v>32.25</v>
      </c>
      <c r="W43" s="133">
        <v>42549</v>
      </c>
      <c r="X43" s="10">
        <v>36.81</v>
      </c>
      <c r="Y43" s="10">
        <v>37</v>
      </c>
      <c r="Z43" s="10">
        <v>35.880000000000003</v>
      </c>
      <c r="AA43" s="10">
        <v>36.049999999999997</v>
      </c>
      <c r="AB43" s="95">
        <v>11941500</v>
      </c>
      <c r="AC43" s="10">
        <v>35.92</v>
      </c>
      <c r="AD43" s="2">
        <f t="shared" si="1"/>
        <v>1.1199999999999974</v>
      </c>
      <c r="AE43" s="138">
        <f t="shared" si="2"/>
        <v>-1.5350877192982337E-2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35.299300000000002</v>
      </c>
      <c r="Q44" s="2"/>
      <c r="T44" s="93" t="s">
        <v>99</v>
      </c>
      <c r="U44" s="88">
        <v>32.25</v>
      </c>
      <c r="W44" s="133">
        <v>42548</v>
      </c>
      <c r="X44" s="10">
        <v>34.880000000000003</v>
      </c>
      <c r="Y44" s="10">
        <v>36.869999999999997</v>
      </c>
      <c r="Z44" s="10">
        <v>34.75</v>
      </c>
      <c r="AA44" s="10">
        <v>36.619999999999997</v>
      </c>
      <c r="AB44" s="95">
        <v>19450000</v>
      </c>
      <c r="AC44" s="10">
        <v>36.479999999999997</v>
      </c>
      <c r="AD44" s="2">
        <f t="shared" si="1"/>
        <v>2.1199999999999974</v>
      </c>
      <c r="AE44" s="138">
        <f t="shared" si="2"/>
        <v>4.1988003427592124E-2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34.969400000000007</v>
      </c>
      <c r="Q45" s="2"/>
      <c r="T45" s="93" t="s">
        <v>100</v>
      </c>
      <c r="U45" s="88" t="s">
        <v>545</v>
      </c>
      <c r="W45" s="133">
        <v>42545</v>
      </c>
      <c r="X45" s="10">
        <v>34</v>
      </c>
      <c r="Y45" s="10">
        <v>35.5</v>
      </c>
      <c r="Z45" s="10">
        <v>33.9</v>
      </c>
      <c r="AA45" s="10">
        <v>35.14</v>
      </c>
      <c r="AB45" s="95">
        <v>14689500</v>
      </c>
      <c r="AC45" s="10">
        <v>35.01</v>
      </c>
      <c r="AD45" s="2">
        <f t="shared" si="1"/>
        <v>1.6000000000000014</v>
      </c>
      <c r="AE45" s="138">
        <f t="shared" si="2"/>
        <v>1.3607411696583638E-2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34.639500000000005</v>
      </c>
      <c r="Q46" s="2"/>
      <c r="T46" s="93" t="s">
        <v>101</v>
      </c>
      <c r="U46" s="88" t="s">
        <v>546</v>
      </c>
      <c r="W46" s="133">
        <v>42544</v>
      </c>
      <c r="X46" s="10">
        <v>34.54</v>
      </c>
      <c r="Y46" s="10">
        <v>34.67</v>
      </c>
      <c r="Z46" s="10">
        <v>34.35</v>
      </c>
      <c r="AA46" s="10">
        <v>34.67</v>
      </c>
      <c r="AB46" s="95">
        <v>8560700</v>
      </c>
      <c r="AC46" s="10">
        <v>34.54</v>
      </c>
      <c r="AD46" s="2">
        <f t="shared" si="1"/>
        <v>0.32000000000000028</v>
      </c>
      <c r="AE46" s="138">
        <f t="shared" si="2"/>
        <v>1.3200352009386851E-2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34.309600000000003</v>
      </c>
      <c r="Q47" s="2"/>
      <c r="T47" s="93" t="s">
        <v>102</v>
      </c>
      <c r="U47" s="88">
        <v>39.619999999999997</v>
      </c>
      <c r="W47" s="133">
        <v>42543</v>
      </c>
      <c r="X47" s="10">
        <v>34.5</v>
      </c>
      <c r="Y47" s="10">
        <v>34.54</v>
      </c>
      <c r="Z47" s="10">
        <v>34.08</v>
      </c>
      <c r="AA47" s="10">
        <v>34.22</v>
      </c>
      <c r="AB47" s="95">
        <v>16952500</v>
      </c>
      <c r="AC47" s="10">
        <v>34.090000000000003</v>
      </c>
      <c r="AD47" s="2">
        <f t="shared" si="1"/>
        <v>0.46000000000000085</v>
      </c>
      <c r="AE47" s="138">
        <f t="shared" si="2"/>
        <v>-7.2801397786838029E-3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33.979700000000001</v>
      </c>
      <c r="Q48" s="2"/>
      <c r="T48" s="93" t="s">
        <v>103</v>
      </c>
      <c r="U48" s="88">
        <v>0.67461099999999996</v>
      </c>
      <c r="W48" s="133">
        <v>42542</v>
      </c>
      <c r="X48" s="10">
        <v>34.75</v>
      </c>
      <c r="Y48" s="10">
        <v>34.82</v>
      </c>
      <c r="Z48" s="10">
        <v>34.28</v>
      </c>
      <c r="AA48" s="10">
        <v>34.47</v>
      </c>
      <c r="AB48" s="95">
        <v>13322800</v>
      </c>
      <c r="AC48" s="10">
        <v>34.340000000000003</v>
      </c>
      <c r="AD48" s="2">
        <f t="shared" si="1"/>
        <v>0.53999999999999915</v>
      </c>
      <c r="AE48" s="138">
        <f t="shared" si="2"/>
        <v>-6.9404279930593837E-3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33.649800000000006</v>
      </c>
      <c r="Q49" s="2"/>
      <c r="T49" s="93" t="s">
        <v>104</v>
      </c>
      <c r="U49" s="88" t="s">
        <v>255</v>
      </c>
      <c r="W49" s="133">
        <v>42541</v>
      </c>
      <c r="X49" s="10">
        <v>35.299999999999997</v>
      </c>
      <c r="Y49" s="10">
        <v>35.67</v>
      </c>
      <c r="Z49" s="10">
        <v>34.71</v>
      </c>
      <c r="AA49" s="10">
        <v>34.71</v>
      </c>
      <c r="AB49" s="95">
        <v>9017900</v>
      </c>
      <c r="AC49" s="10">
        <v>34.58</v>
      </c>
      <c r="AD49" s="2">
        <f t="shared" si="1"/>
        <v>0.96000000000000085</v>
      </c>
      <c r="AE49" s="138">
        <f t="shared" si="2"/>
        <v>-1.3409415121255264E-2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33.319900000000004</v>
      </c>
      <c r="Q50" s="2"/>
      <c r="T50" s="93"/>
      <c r="U50" s="88"/>
      <c r="W50" s="133">
        <v>42538</v>
      </c>
      <c r="X50" s="10">
        <v>35.369999999999997</v>
      </c>
      <c r="Y50" s="10">
        <v>35.5</v>
      </c>
      <c r="Z50" s="10">
        <v>34.520000000000003</v>
      </c>
      <c r="AA50" s="10">
        <v>35.18</v>
      </c>
      <c r="AB50" s="95">
        <v>16578200</v>
      </c>
      <c r="AC50" s="10">
        <v>35.049999999999997</v>
      </c>
      <c r="AD50" s="2">
        <f t="shared" si="1"/>
        <v>0.97999999999999687</v>
      </c>
      <c r="AE50" s="138">
        <f t="shared" si="2"/>
        <v>-8.2059988681382201E-3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32.99</v>
      </c>
      <c r="Q51" s="2"/>
      <c r="T51" s="93" t="s">
        <v>105</v>
      </c>
      <c r="U51" s="88" t="s">
        <v>547</v>
      </c>
      <c r="W51" s="133">
        <v>42537</v>
      </c>
      <c r="X51" s="10">
        <v>36.979999999999997</v>
      </c>
      <c r="Y51" s="10">
        <v>36.979999999999997</v>
      </c>
      <c r="Z51" s="10">
        <v>35.35</v>
      </c>
      <c r="AA51" s="10">
        <v>35.47</v>
      </c>
      <c r="AB51" s="95">
        <v>19034000</v>
      </c>
      <c r="AC51" s="10">
        <v>35.340000000000003</v>
      </c>
      <c r="AD51" s="2">
        <f t="shared" si="1"/>
        <v>1.6299999999999955</v>
      </c>
      <c r="AE51" s="138">
        <f t="shared" si="2"/>
        <v>-6.7453625632376557E-3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32.6601</v>
      </c>
      <c r="Q52" s="2"/>
      <c r="T52" s="93" t="s">
        <v>106</v>
      </c>
      <c r="U52" s="88" t="s">
        <v>407</v>
      </c>
      <c r="W52" s="133">
        <v>42536</v>
      </c>
      <c r="X52" s="10">
        <v>35.479999999999997</v>
      </c>
      <c r="Y52" s="10">
        <v>36.01</v>
      </c>
      <c r="Z52" s="10">
        <v>35.14</v>
      </c>
      <c r="AA52" s="10">
        <v>35.71</v>
      </c>
      <c r="AB52" s="95">
        <v>13499800</v>
      </c>
      <c r="AC52" s="10">
        <v>35.58</v>
      </c>
      <c r="AD52" s="2">
        <f t="shared" si="1"/>
        <v>0.86999999999999744</v>
      </c>
      <c r="AE52" s="138">
        <f t="shared" si="2"/>
        <v>-1.4033118158855995E-3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32.330199999999998</v>
      </c>
      <c r="Q53" s="2"/>
      <c r="T53" s="93" t="s">
        <v>107</v>
      </c>
      <c r="U53" s="90">
        <v>12246480</v>
      </c>
      <c r="W53" s="133">
        <v>42535</v>
      </c>
      <c r="X53" s="10">
        <v>35.96</v>
      </c>
      <c r="Y53" s="10">
        <v>36.18</v>
      </c>
      <c r="Z53" s="10">
        <v>35.409999999999997</v>
      </c>
      <c r="AA53" s="10">
        <v>35.76</v>
      </c>
      <c r="AB53" s="95">
        <v>8839800</v>
      </c>
      <c r="AC53" s="10">
        <v>35.630000000000003</v>
      </c>
      <c r="AD53" s="2">
        <f t="shared" si="1"/>
        <v>0.77000000000000313</v>
      </c>
      <c r="AE53" s="138">
        <f t="shared" si="2"/>
        <v>-1.0552624271035649E-2</v>
      </c>
    </row>
    <row r="54" spans="2:31" x14ac:dyDescent="0.25">
      <c r="B54" s="193">
        <v>42599</v>
      </c>
      <c r="C54" s="10">
        <v>500</v>
      </c>
      <c r="D54" s="40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32.000300000000003</v>
      </c>
      <c r="T54" s="93" t="s">
        <v>110</v>
      </c>
      <c r="U54" s="90">
        <v>9304960</v>
      </c>
      <c r="W54" s="133">
        <v>42534</v>
      </c>
      <c r="X54" s="10">
        <v>36.450000000000003</v>
      </c>
      <c r="Y54" s="10">
        <v>36.56</v>
      </c>
      <c r="Z54" s="10">
        <v>35.92</v>
      </c>
      <c r="AA54" s="10">
        <v>36.14</v>
      </c>
      <c r="AB54" s="95">
        <v>9025300</v>
      </c>
      <c r="AC54" s="10">
        <v>36.01</v>
      </c>
      <c r="AD54" s="2">
        <f t="shared" si="1"/>
        <v>0.64000000000000057</v>
      </c>
      <c r="AE54" s="138">
        <f t="shared" si="2"/>
        <v>-1.7998363785110549E-2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31.670400000000001</v>
      </c>
      <c r="T55" s="93" t="s">
        <v>108</v>
      </c>
      <c r="U55" s="88" t="s">
        <v>548</v>
      </c>
      <c r="W55" s="133">
        <v>42531</v>
      </c>
      <c r="X55" s="10">
        <v>36.380000000000003</v>
      </c>
      <c r="Y55" s="10">
        <v>37</v>
      </c>
      <c r="Z55" s="10">
        <v>36.17</v>
      </c>
      <c r="AA55" s="10">
        <v>36.81</v>
      </c>
      <c r="AB55" s="95">
        <v>7768800</v>
      </c>
      <c r="AC55" s="10">
        <v>36.67</v>
      </c>
      <c r="AD55" s="2">
        <f t="shared" si="1"/>
        <v>0.82999999999999829</v>
      </c>
      <c r="AE55" s="138">
        <f t="shared" si="2"/>
        <v>6.3117453347969477E-3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31.340499999999999</v>
      </c>
      <c r="T56" s="93" t="s">
        <v>111</v>
      </c>
      <c r="U56" s="88">
        <v>15.44</v>
      </c>
      <c r="W56" s="133">
        <v>42530</v>
      </c>
      <c r="X56" s="10">
        <v>36.5</v>
      </c>
      <c r="Y56" s="10">
        <v>36.799999999999997</v>
      </c>
      <c r="Z56" s="10">
        <v>36.32</v>
      </c>
      <c r="AA56" s="10">
        <v>36.58</v>
      </c>
      <c r="AB56" s="95">
        <v>7083500</v>
      </c>
      <c r="AC56" s="10">
        <v>36.44</v>
      </c>
      <c r="AD56" s="2">
        <f t="shared" si="1"/>
        <v>0.47999999999999687</v>
      </c>
      <c r="AE56" s="138">
        <f t="shared" si="2"/>
        <v>1.3740038472107585E-3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31.0106</v>
      </c>
      <c r="T57" s="93" t="s">
        <v>112</v>
      </c>
      <c r="U57" s="88">
        <v>2.14</v>
      </c>
      <c r="W57" s="133">
        <v>42529</v>
      </c>
      <c r="X57" s="10">
        <v>36.31</v>
      </c>
      <c r="Y57" s="10">
        <v>36.700000000000003</v>
      </c>
      <c r="Z57" s="10">
        <v>36.17</v>
      </c>
      <c r="AA57" s="10">
        <v>36.520000000000003</v>
      </c>
      <c r="AB57" s="95">
        <v>5173000</v>
      </c>
      <c r="AC57" s="10">
        <v>36.39</v>
      </c>
      <c r="AD57" s="2">
        <f t="shared" si="1"/>
        <v>0.53000000000000114</v>
      </c>
      <c r="AE57" s="138">
        <f t="shared" si="2"/>
        <v>6.3606194690266626E-3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30.680700000000005</v>
      </c>
      <c r="T58" s="93" t="s">
        <v>109</v>
      </c>
      <c r="U58" s="88" t="s">
        <v>408</v>
      </c>
      <c r="W58" s="133">
        <v>42528</v>
      </c>
      <c r="X58" s="10">
        <v>36.11</v>
      </c>
      <c r="Y58" s="10">
        <v>36.520000000000003</v>
      </c>
      <c r="Z58" s="10">
        <v>35.92</v>
      </c>
      <c r="AA58" s="10">
        <v>36.29</v>
      </c>
      <c r="AB58" s="95">
        <v>3577200</v>
      </c>
      <c r="AC58" s="10">
        <v>36.159999999999997</v>
      </c>
      <c r="AD58" s="2">
        <f t="shared" si="1"/>
        <v>0.60000000000000142</v>
      </c>
      <c r="AE58" s="138">
        <f t="shared" si="2"/>
        <v>7.5229869044299846E-3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30.350800000000003</v>
      </c>
      <c r="W59" s="133">
        <v>42527</v>
      </c>
      <c r="X59" s="10">
        <v>36.22</v>
      </c>
      <c r="Y59" s="10">
        <v>36.42</v>
      </c>
      <c r="Z59" s="10">
        <v>35.99</v>
      </c>
      <c r="AA59" s="10">
        <v>36.020000000000003</v>
      </c>
      <c r="AB59" s="95">
        <v>3684300</v>
      </c>
      <c r="AC59" s="10">
        <v>35.89</v>
      </c>
      <c r="AD59" s="2">
        <f t="shared" si="1"/>
        <v>0.42999999999999972</v>
      </c>
      <c r="AE59" s="138">
        <f t="shared" si="2"/>
        <v>-6.3676633444074149E-3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9"/>
        <v>30.020900000000005</v>
      </c>
      <c r="W60" s="133">
        <v>42524</v>
      </c>
      <c r="X60" s="10">
        <v>36.200000000000003</v>
      </c>
      <c r="Y60" s="10">
        <v>36.35</v>
      </c>
      <c r="Z60" s="10">
        <v>36</v>
      </c>
      <c r="AA60" s="10">
        <v>36.25</v>
      </c>
      <c r="AB60" s="95">
        <v>4697100</v>
      </c>
      <c r="AC60" s="10">
        <v>36.119999999999997</v>
      </c>
      <c r="AD60" s="2">
        <f t="shared" si="1"/>
        <v>0.35000000000000142</v>
      </c>
      <c r="AE60" s="138">
        <f t="shared" si="2"/>
        <v>-5.2327182594328336E-3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9"/>
        <v>29.691000000000003</v>
      </c>
      <c r="W61" s="133">
        <v>42523</v>
      </c>
      <c r="X61" s="10">
        <v>36.299999999999997</v>
      </c>
      <c r="Y61" s="10">
        <v>36.520000000000003</v>
      </c>
      <c r="Z61" s="10">
        <v>36.090000000000003</v>
      </c>
      <c r="AA61" s="10">
        <v>36.44</v>
      </c>
      <c r="AB61" s="95">
        <v>5360700</v>
      </c>
      <c r="AC61" s="10">
        <v>36.31</v>
      </c>
      <c r="AD61" s="2">
        <f t="shared" si="1"/>
        <v>0.42999999999999972</v>
      </c>
      <c r="AE61" s="138">
        <f t="shared" si="2"/>
        <v>5.5111600992008292E-4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42522</v>
      </c>
      <c r="X62" s="10">
        <v>35.79</v>
      </c>
      <c r="Y62" s="10">
        <v>36.46</v>
      </c>
      <c r="Z62" s="10">
        <v>35.68</v>
      </c>
      <c r="AA62" s="10">
        <v>36.42</v>
      </c>
      <c r="AB62" s="95">
        <v>7869300</v>
      </c>
      <c r="AC62" s="10">
        <v>36.29</v>
      </c>
      <c r="AD62" s="2">
        <f t="shared" si="1"/>
        <v>0.78000000000000114</v>
      </c>
      <c r="AE62" s="138">
        <f t="shared" si="2"/>
        <v>1.852371596968827E-2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42521</v>
      </c>
      <c r="X63" s="10">
        <v>35.72</v>
      </c>
      <c r="Y63" s="10">
        <v>36.049999999999997</v>
      </c>
      <c r="Z63" s="10">
        <v>35.619999999999997</v>
      </c>
      <c r="AA63" s="10">
        <v>35.76</v>
      </c>
      <c r="AB63" s="95">
        <v>9953500</v>
      </c>
      <c r="AC63" s="10">
        <v>35.630000000000003</v>
      </c>
      <c r="AD63" s="2">
        <f t="shared" si="1"/>
        <v>0.42999999999999972</v>
      </c>
      <c r="AE63" s="138">
        <f t="shared" si="2"/>
        <v>1.4052838673412893E-3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42517</v>
      </c>
      <c r="X64" s="10">
        <v>35.729999999999997</v>
      </c>
      <c r="Y64" s="10">
        <v>35.729999999999997</v>
      </c>
      <c r="Z64" s="10">
        <v>35.369999999999997</v>
      </c>
      <c r="AA64" s="10">
        <v>35.71</v>
      </c>
      <c r="AB64" s="95">
        <v>5271000</v>
      </c>
      <c r="AC64" s="10">
        <v>35.58</v>
      </c>
      <c r="AD64" s="2">
        <f t="shared" si="1"/>
        <v>0.35999999999999943</v>
      </c>
      <c r="AE64" s="138">
        <f t="shared" si="2"/>
        <v>3.3840947546530664E-3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42516</v>
      </c>
      <c r="X65" s="10">
        <v>34.99</v>
      </c>
      <c r="Y65" s="10">
        <v>35.71</v>
      </c>
      <c r="Z65" s="10">
        <v>34.950000000000003</v>
      </c>
      <c r="AA65" s="10">
        <v>35.590000000000003</v>
      </c>
      <c r="AB65" s="95">
        <v>6631500</v>
      </c>
      <c r="AC65" s="10">
        <v>35.46</v>
      </c>
      <c r="AD65" s="2">
        <f t="shared" si="1"/>
        <v>0.75999999999999801</v>
      </c>
      <c r="AE65" s="138">
        <f t="shared" si="2"/>
        <v>1.8672795173800605E-2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42515</v>
      </c>
      <c r="X66" s="10">
        <v>35.549999999999997</v>
      </c>
      <c r="Y66" s="10">
        <v>35.69</v>
      </c>
      <c r="Z66" s="10">
        <v>34.83</v>
      </c>
      <c r="AA66" s="10">
        <v>34.94</v>
      </c>
      <c r="AB66" s="95">
        <v>6992700</v>
      </c>
      <c r="AC66" s="10">
        <v>34.81</v>
      </c>
      <c r="AD66" s="2">
        <f t="shared" si="1"/>
        <v>0.85999999999999943</v>
      </c>
      <c r="AE66" s="138">
        <f t="shared" si="2"/>
        <v>-1.6388810398417553E-2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42514</v>
      </c>
      <c r="X67" s="10">
        <v>34.82</v>
      </c>
      <c r="Y67" s="10">
        <v>35.549999999999997</v>
      </c>
      <c r="Z67" s="10">
        <v>34.79</v>
      </c>
      <c r="AA67" s="10">
        <v>35.520000000000003</v>
      </c>
      <c r="AB67" s="95">
        <v>7771600</v>
      </c>
      <c r="AC67" s="10">
        <v>35.39</v>
      </c>
      <c r="AD67" s="2">
        <f>Y67-Z67</f>
        <v>0.75999999999999801</v>
      </c>
      <c r="AE67" s="138" t="e">
        <f>AC67/#REF!-1</f>
        <v>#REF!</v>
      </c>
    </row>
    <row r="68" spans="2:31" x14ac:dyDescent="0.25">
      <c r="W68" s="133">
        <v>42513</v>
      </c>
      <c r="X68" s="10">
        <v>34.65</v>
      </c>
      <c r="Y68" s="10">
        <v>34.950000000000003</v>
      </c>
      <c r="Z68" s="10">
        <v>34.619999999999997</v>
      </c>
      <c r="AA68" s="10">
        <v>34.799999999999997</v>
      </c>
      <c r="AB68" s="95">
        <v>5940300</v>
      </c>
      <c r="AC68" s="10">
        <v>34.67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43" priority="31">
      <formula>F29&gt;0</formula>
    </cfRule>
    <cfRule type="expression" dxfId="542" priority="32">
      <formula>F29&lt;0</formula>
    </cfRule>
  </conditionalFormatting>
  <conditionalFormatting sqref="F34:F47 F50:F67">
    <cfRule type="expression" dxfId="541" priority="27">
      <formula>F34&gt;0</formula>
    </cfRule>
    <cfRule type="expression" dxfId="540" priority="28">
      <formula>F34&lt;0</formula>
    </cfRule>
  </conditionalFormatting>
  <conditionalFormatting sqref="F34:F47 F50:F67">
    <cfRule type="expression" dxfId="539" priority="29">
      <formula>F34&gt;0</formula>
    </cfRule>
    <cfRule type="expression" dxfId="538" priority="30">
      <formula>F34&lt;0</formula>
    </cfRule>
  </conditionalFormatting>
  <conditionalFormatting sqref="H29:H47 H50:H67">
    <cfRule type="expression" dxfId="537" priority="25">
      <formula>H29&gt;0</formula>
    </cfRule>
    <cfRule type="expression" dxfId="536" priority="26">
      <formula>H29&lt;0</formula>
    </cfRule>
  </conditionalFormatting>
  <conditionalFormatting sqref="F25:F28">
    <cfRule type="expression" dxfId="535" priority="19">
      <formula>F25&gt;0</formula>
    </cfRule>
    <cfRule type="expression" dxfId="534" priority="20">
      <formula>F25&lt;0</formula>
    </cfRule>
  </conditionalFormatting>
  <conditionalFormatting sqref="H25:H28">
    <cfRule type="expression" dxfId="533" priority="17">
      <formula>H25&gt;0</formula>
    </cfRule>
    <cfRule type="expression" dxfId="532" priority="18">
      <formula>H25&lt;0</formula>
    </cfRule>
  </conditionalFormatting>
  <conditionalFormatting sqref="Q8">
    <cfRule type="expression" dxfId="531" priority="13">
      <formula>Q8&gt;0</formula>
    </cfRule>
    <cfRule type="expression" dxfId="530" priority="14">
      <formula>Q8&lt;0</formula>
    </cfRule>
  </conditionalFormatting>
  <conditionalFormatting sqref="Q7">
    <cfRule type="expression" dxfId="529" priority="15">
      <formula>Q7&gt;0</formula>
    </cfRule>
    <cfRule type="expression" dxfId="528" priority="16">
      <formula>Q7&lt;0</formula>
    </cfRule>
  </conditionalFormatting>
  <conditionalFormatting sqref="F48">
    <cfRule type="expression" dxfId="527" priority="9">
      <formula>F48&gt;0</formula>
    </cfRule>
    <cfRule type="expression" dxfId="526" priority="10">
      <formula>F48&lt;0</formula>
    </cfRule>
  </conditionalFormatting>
  <conditionalFormatting sqref="F48">
    <cfRule type="expression" dxfId="525" priority="11">
      <formula>F48&gt;0</formula>
    </cfRule>
    <cfRule type="expression" dxfId="524" priority="12">
      <formula>F48&lt;0</formula>
    </cfRule>
  </conditionalFormatting>
  <conditionalFormatting sqref="H48">
    <cfRule type="expression" dxfId="523" priority="7">
      <formula>H48&gt;0</formula>
    </cfRule>
    <cfRule type="expression" dxfId="522" priority="8">
      <formula>H48&lt;0</formula>
    </cfRule>
  </conditionalFormatting>
  <conditionalFormatting sqref="F49">
    <cfRule type="expression" dxfId="521" priority="3">
      <formula>F49&gt;0</formula>
    </cfRule>
    <cfRule type="expression" dxfId="520" priority="4">
      <formula>F49&lt;0</formula>
    </cfRule>
  </conditionalFormatting>
  <conditionalFormatting sqref="F49">
    <cfRule type="expression" dxfId="519" priority="5">
      <formula>F49&gt;0</formula>
    </cfRule>
    <cfRule type="expression" dxfId="518" priority="6">
      <formula>F49&lt;0</formula>
    </cfRule>
  </conditionalFormatting>
  <conditionalFormatting sqref="H49">
    <cfRule type="expression" dxfId="517" priority="1">
      <formula>H49&gt;0</formula>
    </cfRule>
    <cfRule type="expression" dxfId="51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3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42606</v>
      </c>
      <c r="X2" s="10">
        <v>12.41</v>
      </c>
      <c r="Y2" s="10">
        <v>12.44</v>
      </c>
      <c r="Z2" s="10">
        <v>12.28</v>
      </c>
      <c r="AA2" s="10">
        <v>12.3</v>
      </c>
      <c r="AB2" s="95">
        <v>19895000</v>
      </c>
      <c r="AC2" s="10">
        <v>12.3</v>
      </c>
      <c r="AD2" s="2">
        <f>Y2-Z2</f>
        <v>0.16000000000000014</v>
      </c>
      <c r="AE2" s="138">
        <f>AC2/AC3-1</f>
        <v>-9.6618357487922024E-3</v>
      </c>
    </row>
    <row r="3" spans="1:31" x14ac:dyDescent="0.25">
      <c r="A3" s="23" t="s">
        <v>71</v>
      </c>
      <c r="B3" s="47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42605</v>
      </c>
      <c r="X3" s="10">
        <v>12.4</v>
      </c>
      <c r="Y3" s="10">
        <v>12.43</v>
      </c>
      <c r="Z3" s="10">
        <v>12.33</v>
      </c>
      <c r="AA3" s="10">
        <v>12.42</v>
      </c>
      <c r="AB3" s="95">
        <v>34620700</v>
      </c>
      <c r="AC3" s="10">
        <v>12.42</v>
      </c>
      <c r="AD3" s="2">
        <f t="shared" ref="AD3:AD66" si="0">Y3-Z3</f>
        <v>9.9999999999999645E-2</v>
      </c>
      <c r="AE3" s="138">
        <f t="shared" ref="AE3:AE66" si="1">AC3/AC4-1</f>
        <v>4.8543689320388328E-3</v>
      </c>
    </row>
    <row r="4" spans="1:31" x14ac:dyDescent="0.25">
      <c r="B4" s="477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7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12.3</v>
      </c>
      <c r="T4" s="163"/>
      <c r="W4" s="133">
        <v>42604</v>
      </c>
      <c r="X4" s="10">
        <v>12.35</v>
      </c>
      <c r="Y4" s="10">
        <v>12.38</v>
      </c>
      <c r="Z4" s="10">
        <v>12.29</v>
      </c>
      <c r="AA4" s="10">
        <v>12.36</v>
      </c>
      <c r="AB4" s="95">
        <v>22458400</v>
      </c>
      <c r="AC4" s="10">
        <v>12.36</v>
      </c>
      <c r="AD4" s="2">
        <f t="shared" si="0"/>
        <v>9.0000000000001634E-2</v>
      </c>
      <c r="AE4" s="138">
        <f t="shared" si="1"/>
        <v>-2.4213075060534051E-3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3075</v>
      </c>
      <c r="W5" s="133">
        <v>42601</v>
      </c>
      <c r="X5" s="10">
        <v>12.3</v>
      </c>
      <c r="Y5" s="10">
        <v>12.41</v>
      </c>
      <c r="Z5" s="10">
        <v>12.25</v>
      </c>
      <c r="AA5" s="10">
        <v>12.39</v>
      </c>
      <c r="AB5" s="95">
        <v>21891400</v>
      </c>
      <c r="AC5" s="10">
        <v>12.39</v>
      </c>
      <c r="AD5" s="2">
        <f t="shared" si="0"/>
        <v>0.16000000000000014</v>
      </c>
      <c r="AE5" s="138">
        <f t="shared" si="1"/>
        <v>4.8661800486617945E-3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42600</v>
      </c>
      <c r="X6" s="10">
        <v>12.33</v>
      </c>
      <c r="Y6" s="10">
        <v>12.36</v>
      </c>
      <c r="Z6" s="10">
        <v>12.27</v>
      </c>
      <c r="AA6" s="10">
        <v>12.33</v>
      </c>
      <c r="AB6" s="95">
        <v>23629500</v>
      </c>
      <c r="AC6" s="10">
        <v>12.33</v>
      </c>
      <c r="AD6" s="2">
        <f t="shared" si="0"/>
        <v>8.9999999999999858E-2</v>
      </c>
      <c r="AE6" s="138">
        <f t="shared" si="1"/>
        <v>-4.8426150121065881E-3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3.4200000000000728</v>
      </c>
      <c r="R7">
        <v>250</v>
      </c>
      <c r="W7" s="133">
        <v>42599</v>
      </c>
      <c r="X7" s="10">
        <v>12.33</v>
      </c>
      <c r="Y7" s="10">
        <v>12.39</v>
      </c>
      <c r="Z7" s="10">
        <v>12.23</v>
      </c>
      <c r="AA7" s="10">
        <v>12.39</v>
      </c>
      <c r="AB7" s="95">
        <v>23434500</v>
      </c>
      <c r="AC7" s="10">
        <v>12.39</v>
      </c>
      <c r="AD7" s="2">
        <f t="shared" si="0"/>
        <v>0.16000000000000014</v>
      </c>
      <c r="AE7" s="138">
        <f t="shared" si="1"/>
        <v>4.0518638573745491E-3</v>
      </c>
    </row>
    <row r="8" spans="1:31" x14ac:dyDescent="0.25">
      <c r="H8" s="72"/>
      <c r="O8" s="11" t="s">
        <v>190</v>
      </c>
      <c r="P8" s="34"/>
      <c r="Q8" s="2">
        <f>K18+M18-F18+Q2*Q4</f>
        <v>3.4200000000000728</v>
      </c>
      <c r="W8" s="133">
        <v>42598</v>
      </c>
      <c r="X8" s="10">
        <v>12.35</v>
      </c>
      <c r="Y8" s="10">
        <v>12.43</v>
      </c>
      <c r="Z8" s="10">
        <v>12.33</v>
      </c>
      <c r="AA8" s="10">
        <v>12.34</v>
      </c>
      <c r="AB8" s="95">
        <v>20450100</v>
      </c>
      <c r="AC8" s="10">
        <v>12.34</v>
      </c>
      <c r="AD8" s="2">
        <f t="shared" si="0"/>
        <v>9.9999999999999645E-2</v>
      </c>
      <c r="AE8" s="138">
        <f t="shared" si="1"/>
        <v>-7.2405470635559244E-3</v>
      </c>
    </row>
    <row r="9" spans="1:31" x14ac:dyDescent="0.25">
      <c r="H9" s="72"/>
      <c r="O9" s="11" t="s">
        <v>225</v>
      </c>
      <c r="Q9" s="138">
        <f>IF(Q2=0, 0, Q8/Q6)</f>
        <v>1.1134334772332393E-3</v>
      </c>
      <c r="W9" s="133">
        <v>42597</v>
      </c>
      <c r="X9" s="10">
        <v>12.37</v>
      </c>
      <c r="Y9" s="10">
        <v>12.44</v>
      </c>
      <c r="Z9" s="10">
        <v>12.36</v>
      </c>
      <c r="AA9" s="10">
        <v>12.43</v>
      </c>
      <c r="AB9" s="95">
        <v>16371100</v>
      </c>
      <c r="AC9" s="10">
        <v>12.43</v>
      </c>
      <c r="AD9" s="2">
        <f t="shared" si="0"/>
        <v>8.0000000000000071E-2</v>
      </c>
      <c r="AE9" s="138">
        <f t="shared" si="1"/>
        <v>8.1103000811029169E-3</v>
      </c>
    </row>
    <row r="10" spans="1:31" x14ac:dyDescent="0.25">
      <c r="H10" s="72"/>
      <c r="O10" s="11" t="s">
        <v>224</v>
      </c>
      <c r="P10" s="34"/>
      <c r="Q10" s="2">
        <f>M32</f>
        <v>0</v>
      </c>
      <c r="W10" s="133">
        <v>42594</v>
      </c>
      <c r="X10" s="10">
        <v>12.29</v>
      </c>
      <c r="Y10" s="10">
        <v>12.37</v>
      </c>
      <c r="Z10" s="10">
        <v>12.25</v>
      </c>
      <c r="AA10" s="10">
        <v>12.33</v>
      </c>
      <c r="AB10" s="95">
        <v>18816900</v>
      </c>
      <c r="AC10" s="10">
        <v>12.33</v>
      </c>
      <c r="AD10" s="2">
        <f t="shared" si="0"/>
        <v>0.11999999999999922</v>
      </c>
      <c r="AE10" s="138">
        <f t="shared" si="1"/>
        <v>1.6246953696181787E-3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4.8399999999999999E-2</v>
      </c>
      <c r="W11" s="133">
        <v>42593</v>
      </c>
      <c r="X11" s="10">
        <v>12.31</v>
      </c>
      <c r="Y11" s="10">
        <v>12.37</v>
      </c>
      <c r="Z11" s="10">
        <v>12.26</v>
      </c>
      <c r="AA11" s="10">
        <v>12.31</v>
      </c>
      <c r="AB11" s="95">
        <v>24987300</v>
      </c>
      <c r="AC11" s="10">
        <v>12.31</v>
      </c>
      <c r="AD11" s="2">
        <f t="shared" si="0"/>
        <v>0.10999999999999943</v>
      </c>
      <c r="AE11" s="138">
        <f t="shared" si="1"/>
        <v>4.8979591836735281E-3</v>
      </c>
    </row>
    <row r="12" spans="1:31" x14ac:dyDescent="0.25">
      <c r="H12" s="72"/>
      <c r="W12" s="133">
        <v>42592</v>
      </c>
      <c r="X12" s="10">
        <v>12.3</v>
      </c>
      <c r="Y12" s="10">
        <v>12.36</v>
      </c>
      <c r="Z12" s="10">
        <v>12.23</v>
      </c>
      <c r="AA12" s="10">
        <v>12.25</v>
      </c>
      <c r="AB12" s="95">
        <v>24555800</v>
      </c>
      <c r="AC12" s="10">
        <v>12.25</v>
      </c>
      <c r="AD12" s="2">
        <f t="shared" si="0"/>
        <v>0.12999999999999901</v>
      </c>
      <c r="AE12" s="138">
        <f t="shared" si="1"/>
        <v>-4.8740861088546472E-3</v>
      </c>
    </row>
    <row r="13" spans="1:31" x14ac:dyDescent="0.25">
      <c r="H13" s="72"/>
      <c r="W13" s="133">
        <v>42591</v>
      </c>
      <c r="X13" s="10">
        <v>12.16</v>
      </c>
      <c r="Y13" s="10">
        <v>12.38</v>
      </c>
      <c r="Z13" s="10">
        <v>12.15</v>
      </c>
      <c r="AA13" s="10">
        <v>12.31</v>
      </c>
      <c r="AB13" s="95">
        <v>30097800</v>
      </c>
      <c r="AC13" s="10">
        <v>12.31</v>
      </c>
      <c r="AD13" s="2">
        <f t="shared" si="0"/>
        <v>0.23000000000000043</v>
      </c>
      <c r="AE13" s="138">
        <f t="shared" si="1"/>
        <v>1.0673234811165999E-2</v>
      </c>
    </row>
    <row r="14" spans="1:31" x14ac:dyDescent="0.25">
      <c r="H14" s="72"/>
      <c r="W14" s="133">
        <v>42590</v>
      </c>
      <c r="X14" s="10">
        <v>12.22</v>
      </c>
      <c r="Y14" s="10">
        <v>12.33</v>
      </c>
      <c r="Z14" s="10">
        <v>12.15</v>
      </c>
      <c r="AA14" s="10">
        <v>12.18</v>
      </c>
      <c r="AB14" s="95">
        <v>33310600</v>
      </c>
      <c r="AC14" s="10">
        <v>12.18</v>
      </c>
      <c r="AD14" s="2">
        <f t="shared" si="0"/>
        <v>0.17999999999999972</v>
      </c>
      <c r="AE14" s="138">
        <f t="shared" si="1"/>
        <v>-8.2034454470880647E-4</v>
      </c>
    </row>
    <row r="15" spans="1:31" x14ac:dyDescent="0.25">
      <c r="H15" s="72"/>
      <c r="W15" s="133">
        <v>42587</v>
      </c>
      <c r="X15" s="10">
        <v>12.16</v>
      </c>
      <c r="Y15" s="10">
        <v>12.26</v>
      </c>
      <c r="Z15" s="10">
        <v>12.16</v>
      </c>
      <c r="AA15" s="10">
        <v>12.19</v>
      </c>
      <c r="AB15" s="95">
        <v>31219500</v>
      </c>
      <c r="AC15" s="10">
        <v>12.19</v>
      </c>
      <c r="AD15" s="2">
        <f t="shared" si="0"/>
        <v>9.9999999999999645E-2</v>
      </c>
      <c r="AE15" s="138">
        <f t="shared" si="1"/>
        <v>9.1059602649006255E-3</v>
      </c>
    </row>
    <row r="16" spans="1:31" x14ac:dyDescent="0.25">
      <c r="H16" s="72"/>
      <c r="W16" s="133">
        <v>42586</v>
      </c>
      <c r="X16" s="10">
        <v>12.12</v>
      </c>
      <c r="Y16" s="10">
        <v>12.23</v>
      </c>
      <c r="Z16" s="10">
        <v>12.05</v>
      </c>
      <c r="AA16" s="10">
        <v>12.08</v>
      </c>
      <c r="AB16" s="95">
        <v>38443200</v>
      </c>
      <c r="AC16" s="10">
        <v>12.08</v>
      </c>
      <c r="AD16" s="2">
        <f t="shared" si="0"/>
        <v>0.17999999999999972</v>
      </c>
      <c r="AE16" s="138">
        <f t="shared" si="1"/>
        <v>-4.1220115416323866E-3</v>
      </c>
    </row>
    <row r="17" spans="1:31" x14ac:dyDescent="0.25">
      <c r="H17" s="72"/>
      <c r="W17" s="133">
        <v>42585</v>
      </c>
      <c r="X17" s="10">
        <v>12.02</v>
      </c>
      <c r="Y17" s="10">
        <v>12.2</v>
      </c>
      <c r="Z17" s="10">
        <v>11.94</v>
      </c>
      <c r="AA17" s="10">
        <v>12.13</v>
      </c>
      <c r="AB17" s="95">
        <v>47323300</v>
      </c>
      <c r="AC17" s="10">
        <v>12.13</v>
      </c>
      <c r="AD17" s="2">
        <f t="shared" si="0"/>
        <v>0.25999999999999979</v>
      </c>
      <c r="AE17" s="138">
        <f t="shared" si="1"/>
        <v>1.5912897822445649E-2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42584</v>
      </c>
      <c r="X18" s="10">
        <v>12.35</v>
      </c>
      <c r="Y18" s="10">
        <v>12.36</v>
      </c>
      <c r="Z18" s="10">
        <v>11.9</v>
      </c>
      <c r="AA18" s="10">
        <v>11.94</v>
      </c>
      <c r="AB18" s="95">
        <v>101624900</v>
      </c>
      <c r="AC18" s="10">
        <v>11.94</v>
      </c>
      <c r="AD18" s="2">
        <f t="shared" si="0"/>
        <v>0.45999999999999908</v>
      </c>
      <c r="AE18" s="138">
        <f t="shared" si="1"/>
        <v>-4.3269230769230838E-2</v>
      </c>
    </row>
    <row r="19" spans="1:31" ht="15.75" thickBot="1" x14ac:dyDescent="0.3">
      <c r="A19" s="360" t="s">
        <v>204</v>
      </c>
      <c r="B19" s="361"/>
      <c r="C19" s="362">
        <f>SumByColor($A$19,C2:C17)</f>
        <v>250</v>
      </c>
      <c r="D19" s="362"/>
      <c r="E19" s="362"/>
      <c r="F19" s="363">
        <f>SumByColor($A$19,F2:F17)</f>
        <v>3326</v>
      </c>
      <c r="G19" s="362"/>
      <c r="H19" s="362">
        <f>SumByColor($A$19,H2:H17)</f>
        <v>250</v>
      </c>
      <c r="I19" s="362"/>
      <c r="J19" s="362"/>
      <c r="K19" s="363">
        <f>SumByColor($A$19,K2:K17)</f>
        <v>3356</v>
      </c>
      <c r="L19" s="362"/>
      <c r="M19" s="363">
        <f t="shared" ref="M19" si="2">SumByColor($A$19,M2:M17)</f>
        <v>0</v>
      </c>
      <c r="W19" s="133">
        <v>42583</v>
      </c>
      <c r="X19" s="10">
        <v>12.61</v>
      </c>
      <c r="Y19" s="10">
        <v>12.62</v>
      </c>
      <c r="Z19" s="10">
        <v>12.4</v>
      </c>
      <c r="AA19" s="10">
        <v>12.48</v>
      </c>
      <c r="AB19" s="95">
        <v>51963100</v>
      </c>
      <c r="AC19" s="10">
        <v>12.48</v>
      </c>
      <c r="AD19" s="2">
        <f t="shared" si="0"/>
        <v>0.21999999999999886</v>
      </c>
      <c r="AE19" s="138">
        <f t="shared" si="1"/>
        <v>-1.4218009478672911E-2</v>
      </c>
    </row>
    <row r="20" spans="1:31" x14ac:dyDescent="0.25">
      <c r="W20" s="133">
        <v>42580</v>
      </c>
      <c r="X20" s="10">
        <v>12.61</v>
      </c>
      <c r="Y20" s="10">
        <v>12.88</v>
      </c>
      <c r="Z20" s="10">
        <v>12.6</v>
      </c>
      <c r="AA20" s="10">
        <v>12.66</v>
      </c>
      <c r="AB20" s="95">
        <v>59754100</v>
      </c>
      <c r="AC20" s="10">
        <v>12.66</v>
      </c>
      <c r="AD20" s="2">
        <f t="shared" si="0"/>
        <v>0.28000000000000114</v>
      </c>
      <c r="AE20" s="138">
        <f t="shared" si="1"/>
        <v>-3.9339103068450898E-3</v>
      </c>
    </row>
    <row r="21" spans="1:31" x14ac:dyDescent="0.25">
      <c r="W21" s="133">
        <v>42579</v>
      </c>
      <c r="X21" s="10">
        <v>12.78</v>
      </c>
      <c r="Y21" s="10">
        <v>12.86</v>
      </c>
      <c r="Z21" s="10">
        <v>12.45</v>
      </c>
      <c r="AA21" s="10">
        <v>12.71</v>
      </c>
      <c r="AB21" s="95">
        <v>142168600</v>
      </c>
      <c r="AC21" s="10">
        <v>12.71</v>
      </c>
      <c r="AD21" s="2">
        <f t="shared" si="0"/>
        <v>0.41000000000000014</v>
      </c>
      <c r="AE21" s="138">
        <f t="shared" si="1"/>
        <v>-8.1647398843930574E-2</v>
      </c>
    </row>
    <row r="22" spans="1:31" x14ac:dyDescent="0.25">
      <c r="W22" s="133">
        <v>42578</v>
      </c>
      <c r="X22" s="10">
        <v>13.86</v>
      </c>
      <c r="Y22" s="10">
        <v>13.99</v>
      </c>
      <c r="Z22" s="10">
        <v>13.75</v>
      </c>
      <c r="AA22" s="10">
        <v>13.84</v>
      </c>
      <c r="AB22" s="95">
        <v>34625500</v>
      </c>
      <c r="AC22" s="10">
        <v>13.84</v>
      </c>
      <c r="AD22" s="2">
        <f t="shared" si="0"/>
        <v>0.24000000000000021</v>
      </c>
      <c r="AE22" s="138">
        <f t="shared" si="1"/>
        <v>-1.4430014430013571E-3</v>
      </c>
    </row>
    <row r="23" spans="1:31" x14ac:dyDescent="0.25">
      <c r="W23" s="133">
        <v>42577</v>
      </c>
      <c r="X23" s="10">
        <v>13.73</v>
      </c>
      <c r="Y23" s="10">
        <v>13.88</v>
      </c>
      <c r="Z23" s="10">
        <v>13.69</v>
      </c>
      <c r="AA23" s="10">
        <v>13.86</v>
      </c>
      <c r="AB23" s="95">
        <v>28467200</v>
      </c>
      <c r="AC23" s="10">
        <v>13.86</v>
      </c>
      <c r="AD23" s="2">
        <f t="shared" si="0"/>
        <v>0.19000000000000128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42577</v>
      </c>
      <c r="X24" s="10" t="s">
        <v>185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42576</v>
      </c>
      <c r="X25" s="10">
        <v>13.86</v>
      </c>
      <c r="Y25" s="10">
        <v>13.95</v>
      </c>
      <c r="Z25" s="10">
        <v>13.76</v>
      </c>
      <c r="AA25" s="10">
        <v>13.83</v>
      </c>
      <c r="AB25" s="95">
        <v>26248500</v>
      </c>
      <c r="AC25" s="10">
        <v>13.68</v>
      </c>
      <c r="AD25" s="2">
        <f t="shared" si="0"/>
        <v>0.1899999999999995</v>
      </c>
      <c r="AE25" s="138">
        <f t="shared" si="1"/>
        <v>-7.3046018991962391E-4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42573</v>
      </c>
      <c r="X26" s="10">
        <v>13.92</v>
      </c>
      <c r="Y26" s="10">
        <v>13.93</v>
      </c>
      <c r="Z26" s="10">
        <v>13.71</v>
      </c>
      <c r="AA26" s="10">
        <v>13.84</v>
      </c>
      <c r="AB26" s="95">
        <v>25134100</v>
      </c>
      <c r="AC26" s="10">
        <v>13.69</v>
      </c>
      <c r="AD26" s="2">
        <f t="shared" si="0"/>
        <v>0.21999999999999886</v>
      </c>
      <c r="AE26" s="138">
        <f t="shared" si="1"/>
        <v>-5.8097312999273454E-3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42572</v>
      </c>
      <c r="X27" s="10">
        <v>13.87</v>
      </c>
      <c r="Y27" s="10">
        <v>14.04</v>
      </c>
      <c r="Z27" s="10">
        <v>13.86</v>
      </c>
      <c r="AA27" s="10">
        <v>13.92</v>
      </c>
      <c r="AB27" s="95">
        <v>40574400</v>
      </c>
      <c r="AC27" s="10">
        <v>13.77</v>
      </c>
      <c r="AD27" s="2">
        <f t="shared" si="0"/>
        <v>0.17999999999999972</v>
      </c>
      <c r="AE27" s="138">
        <f t="shared" si="1"/>
        <v>1.3245033112582849E-2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42571</v>
      </c>
      <c r="X28" s="10">
        <v>13.61</v>
      </c>
      <c r="Y28" s="10">
        <v>13.78</v>
      </c>
      <c r="Z28" s="10">
        <v>13.56</v>
      </c>
      <c r="AA28" s="10">
        <v>13.74</v>
      </c>
      <c r="AB28" s="95">
        <v>22588900</v>
      </c>
      <c r="AC28" s="10">
        <v>13.59</v>
      </c>
      <c r="AD28" s="2">
        <f t="shared" si="0"/>
        <v>0.21999999999999886</v>
      </c>
      <c r="AE28" s="138">
        <f t="shared" si="1"/>
        <v>6.6666666666665986E-3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42570</v>
      </c>
      <c r="X29" s="10">
        <v>13.56</v>
      </c>
      <c r="Y29" s="10">
        <v>13.72</v>
      </c>
      <c r="Z29" s="10">
        <v>13.5</v>
      </c>
      <c r="AA29" s="10">
        <v>13.65</v>
      </c>
      <c r="AB29" s="95">
        <v>26183400</v>
      </c>
      <c r="AC29" s="10">
        <v>13.5</v>
      </c>
      <c r="AD29" s="2">
        <f t="shared" si="0"/>
        <v>0.22000000000000064</v>
      </c>
      <c r="AE29" s="138">
        <f t="shared" si="1"/>
        <v>0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42569</v>
      </c>
      <c r="X30" s="10">
        <v>13.56</v>
      </c>
      <c r="Y30" s="10">
        <v>13.68</v>
      </c>
      <c r="Z30" s="10">
        <v>13.42</v>
      </c>
      <c r="AA30" s="10">
        <v>13.65</v>
      </c>
      <c r="AB30" s="95">
        <v>22545800</v>
      </c>
      <c r="AC30" s="10">
        <v>13.5</v>
      </c>
      <c r="AD30" s="2">
        <f t="shared" si="0"/>
        <v>0.25999999999999979</v>
      </c>
      <c r="AE30" s="138">
        <f t="shared" si="1"/>
        <v>5.9612518628913147E-3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42566</v>
      </c>
      <c r="X31" s="10">
        <v>13.63</v>
      </c>
      <c r="Y31" s="10">
        <v>13.67</v>
      </c>
      <c r="Z31" s="10">
        <v>13.53</v>
      </c>
      <c r="AA31" s="10">
        <v>13.57</v>
      </c>
      <c r="AB31" s="95">
        <v>19546300</v>
      </c>
      <c r="AC31" s="10">
        <v>13.42</v>
      </c>
      <c r="AD31" s="2">
        <f t="shared" si="0"/>
        <v>0.14000000000000057</v>
      </c>
      <c r="AE31" s="138">
        <f t="shared" si="1"/>
        <v>-1.4880952380952328E-3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42565</v>
      </c>
      <c r="X32" s="10">
        <v>13.57</v>
      </c>
      <c r="Y32" s="10">
        <v>13.7</v>
      </c>
      <c r="Z32" s="10">
        <v>13.55</v>
      </c>
      <c r="AA32" s="10">
        <v>13.59</v>
      </c>
      <c r="AB32" s="95">
        <v>31803000</v>
      </c>
      <c r="AC32" s="10">
        <v>13.44</v>
      </c>
      <c r="AD32" s="2">
        <f t="shared" si="0"/>
        <v>0.14999999999999858</v>
      </c>
      <c r="AE32" s="138">
        <f t="shared" si="1"/>
        <v>8.2520630157538744E-3</v>
      </c>
    </row>
    <row r="33" spans="2:31" x14ac:dyDescent="0.25">
      <c r="B33" s="193">
        <v>42545</v>
      </c>
      <c r="C33" s="457">
        <v>250</v>
      </c>
      <c r="D33" s="459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42564</v>
      </c>
      <c r="X33" s="10">
        <v>13.49</v>
      </c>
      <c r="Y33" s="10">
        <v>13.51</v>
      </c>
      <c r="Z33" s="10">
        <v>13.31</v>
      </c>
      <c r="AA33" s="10">
        <v>13.48</v>
      </c>
      <c r="AB33" s="95">
        <v>26779800</v>
      </c>
      <c r="AC33" s="10">
        <v>13.33</v>
      </c>
      <c r="AD33" s="2">
        <f t="shared" si="0"/>
        <v>0.19999999999999929</v>
      </c>
      <c r="AE33" s="138">
        <f t="shared" si="1"/>
        <v>2.2556390977443996E-3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42563</v>
      </c>
      <c r="X34" s="10">
        <v>13.38</v>
      </c>
      <c r="Y34" s="10">
        <v>13.54</v>
      </c>
      <c r="Z34" s="10">
        <v>13.38</v>
      </c>
      <c r="AA34" s="10">
        <v>13.45</v>
      </c>
      <c r="AB34" s="95">
        <v>31320100</v>
      </c>
      <c r="AC34" s="10">
        <v>13.3</v>
      </c>
      <c r="AD34" s="2">
        <f t="shared" si="0"/>
        <v>0.15999999999999837</v>
      </c>
      <c r="AE34" s="138">
        <f t="shared" si="1"/>
        <v>1.2947448591013044E-2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42562</v>
      </c>
      <c r="X35" s="10">
        <v>13.17</v>
      </c>
      <c r="Y35" s="10">
        <v>13.33</v>
      </c>
      <c r="Z35" s="10">
        <v>13.13</v>
      </c>
      <c r="AA35" s="10">
        <v>13.27</v>
      </c>
      <c r="AB35" s="95">
        <v>28626300</v>
      </c>
      <c r="AC35" s="10">
        <v>13.13</v>
      </c>
      <c r="AD35" s="2">
        <f t="shared" si="0"/>
        <v>0.19999999999999929</v>
      </c>
      <c r="AE35" s="138">
        <f t="shared" si="1"/>
        <v>1.3899613899613916E-2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42559</v>
      </c>
      <c r="X36" s="10">
        <v>12.89</v>
      </c>
      <c r="Y36" s="10">
        <v>13.17</v>
      </c>
      <c r="Z36" s="10">
        <v>12.89</v>
      </c>
      <c r="AA36" s="10">
        <v>13.09</v>
      </c>
      <c r="AB36" s="95">
        <v>45945200</v>
      </c>
      <c r="AC36" s="10">
        <v>12.95</v>
      </c>
      <c r="AD36" s="2">
        <f t="shared" si="0"/>
        <v>0.27999999999999936</v>
      </c>
      <c r="AE36" s="138">
        <f t="shared" si="1"/>
        <v>2.6962727993655733E-2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42558</v>
      </c>
      <c r="X37" s="10">
        <v>12.57</v>
      </c>
      <c r="Y37" s="10">
        <v>12.84</v>
      </c>
      <c r="Z37" s="10">
        <v>12.57</v>
      </c>
      <c r="AA37" s="10">
        <v>12.75</v>
      </c>
      <c r="AB37" s="95">
        <v>33473000</v>
      </c>
      <c r="AC37" s="10">
        <v>12.61</v>
      </c>
      <c r="AD37" s="2">
        <f t="shared" si="0"/>
        <v>0.26999999999999957</v>
      </c>
      <c r="AE37" s="138">
        <f t="shared" si="1"/>
        <v>1.4481094127111849E-2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42557</v>
      </c>
      <c r="X38" s="10">
        <v>12.32</v>
      </c>
      <c r="Y38" s="10">
        <v>12.58</v>
      </c>
      <c r="Z38" s="10">
        <v>12.21</v>
      </c>
      <c r="AA38" s="10">
        <v>12.57</v>
      </c>
      <c r="AB38" s="95">
        <v>35091200</v>
      </c>
      <c r="AC38" s="10">
        <v>12.43</v>
      </c>
      <c r="AD38" s="2">
        <f t="shared" si="0"/>
        <v>0.36999999999999922</v>
      </c>
      <c r="AE38" s="138">
        <f t="shared" si="1"/>
        <v>1.3039934800326058E-2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42556</v>
      </c>
      <c r="X39" s="10">
        <v>12.57</v>
      </c>
      <c r="Y39" s="10">
        <v>12.59</v>
      </c>
      <c r="Z39" s="10">
        <v>12.31</v>
      </c>
      <c r="AA39" s="10">
        <v>12.4</v>
      </c>
      <c r="AB39" s="95">
        <v>30243300</v>
      </c>
      <c r="AC39" s="10">
        <v>12.27</v>
      </c>
      <c r="AD39" s="2">
        <f t="shared" si="0"/>
        <v>0.27999999999999936</v>
      </c>
      <c r="AE39" s="138">
        <f t="shared" si="1"/>
        <v>-2.4642289348171698E-2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5" t="s">
        <v>78</v>
      </c>
      <c r="P40" s="535"/>
      <c r="W40" s="133">
        <v>42552</v>
      </c>
      <c r="X40" s="10">
        <v>12.88</v>
      </c>
      <c r="Y40" s="10">
        <v>12.89</v>
      </c>
      <c r="Z40" s="10">
        <v>12.69</v>
      </c>
      <c r="AA40" s="10">
        <v>12.72</v>
      </c>
      <c r="AB40" s="95">
        <v>45067800</v>
      </c>
      <c r="AC40" s="10">
        <v>12.58</v>
      </c>
      <c r="AD40" s="2">
        <f t="shared" si="0"/>
        <v>0.20000000000000107</v>
      </c>
      <c r="AE40" s="138">
        <f t="shared" si="1"/>
        <v>1.2067578439259874E-2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13.530000000000001</v>
      </c>
      <c r="Q41" s="2"/>
      <c r="W41" s="133">
        <v>42551</v>
      </c>
      <c r="X41" s="10">
        <v>12.56</v>
      </c>
      <c r="Y41" s="10">
        <v>12.57</v>
      </c>
      <c r="Z41" s="10">
        <v>12.26</v>
      </c>
      <c r="AA41" s="10">
        <v>12.57</v>
      </c>
      <c r="AB41" s="95">
        <v>44983800</v>
      </c>
      <c r="AC41" s="10">
        <v>12.43</v>
      </c>
      <c r="AD41" s="2">
        <f t="shared" si="0"/>
        <v>0.3100000000000005</v>
      </c>
      <c r="AE41" s="138">
        <f t="shared" si="1"/>
        <v>1.6116035455278066E-3</v>
      </c>
    </row>
    <row r="42" spans="2:31" ht="20.25" thickBot="1" x14ac:dyDescent="0.35">
      <c r="B42" s="193">
        <v>42577</v>
      </c>
      <c r="C42" s="457">
        <v>250</v>
      </c>
      <c r="D42" s="459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7" t="s">
        <v>327</v>
      </c>
      <c r="O42" s="83">
        <v>1.0900000000000001</v>
      </c>
      <c r="P42" s="83">
        <f t="shared" ref="P42:P61" si="24">O42*$Q$4</f>
        <v>13.407000000000002</v>
      </c>
      <c r="Q42" s="2"/>
      <c r="T42" s="91" t="s">
        <v>113</v>
      </c>
      <c r="W42" s="133">
        <v>42550</v>
      </c>
      <c r="X42" s="10">
        <v>12.49</v>
      </c>
      <c r="Y42" s="10">
        <v>12.58</v>
      </c>
      <c r="Z42" s="10">
        <v>12.36</v>
      </c>
      <c r="AA42" s="10">
        <v>12.55</v>
      </c>
      <c r="AB42" s="95">
        <v>31937900</v>
      </c>
      <c r="AC42" s="10">
        <v>12.41</v>
      </c>
      <c r="AD42" s="2">
        <f t="shared" si="0"/>
        <v>0.22000000000000064</v>
      </c>
      <c r="AE42" s="138">
        <f t="shared" si="1"/>
        <v>1.2234910277324706E-2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13.284000000000002</v>
      </c>
      <c r="Q43" s="2"/>
      <c r="T43" s="128" t="s">
        <v>98</v>
      </c>
      <c r="U43" s="98">
        <v>12.42</v>
      </c>
      <c r="W43" s="133">
        <v>42549</v>
      </c>
      <c r="X43" s="10">
        <v>12.42</v>
      </c>
      <c r="Y43" s="10">
        <v>12.44</v>
      </c>
      <c r="Z43" s="10">
        <v>12.21</v>
      </c>
      <c r="AA43" s="10">
        <v>12.39</v>
      </c>
      <c r="AB43" s="95">
        <v>40640400</v>
      </c>
      <c r="AC43" s="10">
        <v>12.26</v>
      </c>
      <c r="AD43" s="2">
        <f t="shared" si="0"/>
        <v>0.22999999999999865</v>
      </c>
      <c r="AE43" s="138">
        <f t="shared" si="1"/>
        <v>1.9118869492934287E-2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13.161000000000001</v>
      </c>
      <c r="Q44" s="2"/>
      <c r="T44" s="93" t="s">
        <v>99</v>
      </c>
      <c r="U44" s="88">
        <v>12.41</v>
      </c>
      <c r="W44" s="133">
        <v>42548</v>
      </c>
      <c r="X44" s="10">
        <v>12.43</v>
      </c>
      <c r="Y44" s="10">
        <v>12.43</v>
      </c>
      <c r="Z44" s="10">
        <v>12</v>
      </c>
      <c r="AA44" s="10">
        <v>12.16</v>
      </c>
      <c r="AB44" s="95">
        <v>52731800</v>
      </c>
      <c r="AC44" s="10">
        <v>12.03</v>
      </c>
      <c r="AD44" s="2">
        <f t="shared" si="0"/>
        <v>0.42999999999999972</v>
      </c>
      <c r="AE44" s="138">
        <f t="shared" si="1"/>
        <v>-2.8271405492730328E-2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13.038000000000002</v>
      </c>
      <c r="Q45" s="2"/>
      <c r="T45" s="93" t="s">
        <v>100</v>
      </c>
      <c r="U45" s="88" t="s">
        <v>425</v>
      </c>
      <c r="W45" s="133">
        <v>42545</v>
      </c>
      <c r="X45" s="10">
        <v>12.79</v>
      </c>
      <c r="Y45" s="10">
        <v>12.91</v>
      </c>
      <c r="Z45" s="10">
        <v>12.45</v>
      </c>
      <c r="AA45" s="10">
        <v>12.52</v>
      </c>
      <c r="AB45" s="95">
        <v>96887300</v>
      </c>
      <c r="AC45" s="10">
        <v>12.38</v>
      </c>
      <c r="AD45" s="2">
        <f t="shared" si="0"/>
        <v>0.46000000000000085</v>
      </c>
      <c r="AE45" s="138">
        <f t="shared" si="1"/>
        <v>-6.5660377358490507E-2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12.915000000000001</v>
      </c>
      <c r="Q46" s="2"/>
      <c r="T46" s="93" t="s">
        <v>101</v>
      </c>
      <c r="U46" s="88" t="s">
        <v>426</v>
      </c>
      <c r="W46" s="133">
        <v>42544</v>
      </c>
      <c r="X46" s="10">
        <v>13.29</v>
      </c>
      <c r="Y46" s="10">
        <v>13.41</v>
      </c>
      <c r="Z46" s="10">
        <v>13.28</v>
      </c>
      <c r="AA46" s="10">
        <v>13.4</v>
      </c>
      <c r="AB46" s="95">
        <v>24579700</v>
      </c>
      <c r="AC46" s="10">
        <v>13.25</v>
      </c>
      <c r="AD46" s="2">
        <f t="shared" si="0"/>
        <v>0.13000000000000078</v>
      </c>
      <c r="AE46" s="138">
        <f t="shared" si="1"/>
        <v>1.6104294478527681E-2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12.792000000000002</v>
      </c>
      <c r="Q47" s="2"/>
      <c r="T47" s="93" t="s">
        <v>102</v>
      </c>
      <c r="U47" s="88">
        <v>13.65</v>
      </c>
      <c r="W47" s="133">
        <v>42543</v>
      </c>
      <c r="X47" s="10">
        <v>13.23</v>
      </c>
      <c r="Y47" s="10">
        <v>13.31</v>
      </c>
      <c r="Z47" s="10">
        <v>13.15</v>
      </c>
      <c r="AA47" s="10">
        <v>13.18</v>
      </c>
      <c r="AB47" s="95">
        <v>20666600</v>
      </c>
      <c r="AC47" s="10">
        <v>13.04</v>
      </c>
      <c r="AD47" s="2">
        <f t="shared" si="0"/>
        <v>0.16000000000000014</v>
      </c>
      <c r="AE47" s="138">
        <f t="shared" si="1"/>
        <v>-3.0581039755351869E-3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12.669</v>
      </c>
      <c r="Q48" s="2"/>
      <c r="T48" s="93" t="s">
        <v>103</v>
      </c>
      <c r="U48" s="88">
        <v>1.2128399999999999</v>
      </c>
      <c r="W48" s="133">
        <v>42542</v>
      </c>
      <c r="X48" s="10">
        <v>13.44</v>
      </c>
      <c r="Y48" s="10">
        <v>13.44</v>
      </c>
      <c r="Z48" s="10">
        <v>13.18</v>
      </c>
      <c r="AA48" s="10">
        <v>13.22</v>
      </c>
      <c r="AB48" s="95">
        <v>36721800</v>
      </c>
      <c r="AC48" s="10">
        <v>13.08</v>
      </c>
      <c r="AD48" s="2">
        <f t="shared" si="0"/>
        <v>0.25999999999999979</v>
      </c>
      <c r="AE48" s="138">
        <f t="shared" si="1"/>
        <v>-1.4318010550112947E-2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12.546000000000001</v>
      </c>
      <c r="Q49" s="2"/>
      <c r="T49" s="93" t="s">
        <v>104</v>
      </c>
      <c r="U49" s="88" t="s">
        <v>329</v>
      </c>
      <c r="W49" s="133">
        <v>42541</v>
      </c>
      <c r="X49" s="10">
        <v>13.39</v>
      </c>
      <c r="Y49" s="10">
        <v>13.55</v>
      </c>
      <c r="Z49" s="10">
        <v>13.39</v>
      </c>
      <c r="AA49" s="10">
        <v>13.42</v>
      </c>
      <c r="AB49" s="95">
        <v>29666700</v>
      </c>
      <c r="AC49" s="10">
        <v>13.27</v>
      </c>
      <c r="AD49" s="2">
        <f t="shared" si="0"/>
        <v>0.16000000000000014</v>
      </c>
      <c r="AE49" s="138">
        <f t="shared" si="1"/>
        <v>1.1432926829268331E-2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12.423</v>
      </c>
      <c r="Q50" s="2"/>
      <c r="T50" s="93"/>
      <c r="U50" s="88"/>
      <c r="W50" s="133">
        <v>42538</v>
      </c>
      <c r="X50" s="10">
        <v>13.16</v>
      </c>
      <c r="Y50" s="10">
        <v>13.4</v>
      </c>
      <c r="Z50" s="10">
        <v>13.15</v>
      </c>
      <c r="AA50" s="10">
        <v>13.26</v>
      </c>
      <c r="AB50" s="95">
        <v>37364900</v>
      </c>
      <c r="AC50" s="10">
        <v>13.12</v>
      </c>
      <c r="AD50" s="2">
        <f t="shared" si="0"/>
        <v>0.25</v>
      </c>
      <c r="AE50" s="138">
        <f t="shared" si="1"/>
        <v>1.0785824345146189E-2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12.3</v>
      </c>
      <c r="Q51" s="2"/>
      <c r="T51" s="93" t="s">
        <v>105</v>
      </c>
      <c r="U51" s="88" t="s">
        <v>427</v>
      </c>
      <c r="W51" s="133">
        <v>42537</v>
      </c>
      <c r="X51" s="10">
        <v>12.93</v>
      </c>
      <c r="Y51" s="10">
        <v>13.14</v>
      </c>
      <c r="Z51" s="10">
        <v>12.85</v>
      </c>
      <c r="AA51" s="10">
        <v>13.12</v>
      </c>
      <c r="AB51" s="95">
        <v>26581200</v>
      </c>
      <c r="AC51" s="10">
        <v>12.98</v>
      </c>
      <c r="AD51" s="2">
        <f t="shared" si="0"/>
        <v>0.29000000000000092</v>
      </c>
      <c r="AE51" s="138">
        <f t="shared" si="1"/>
        <v>8.5470085470087387E-3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12.177000000000001</v>
      </c>
      <c r="Q52" s="2"/>
      <c r="T52" s="93" t="s">
        <v>106</v>
      </c>
      <c r="U52" s="88" t="s">
        <v>385</v>
      </c>
      <c r="W52" s="133">
        <v>42536</v>
      </c>
      <c r="X52" s="10">
        <v>12.91</v>
      </c>
      <c r="Y52" s="10">
        <v>13.16</v>
      </c>
      <c r="Z52" s="10">
        <v>12.88</v>
      </c>
      <c r="AA52" s="10">
        <v>13.01</v>
      </c>
      <c r="AB52" s="95">
        <v>25829700</v>
      </c>
      <c r="AC52" s="10">
        <v>12.87</v>
      </c>
      <c r="AD52" s="2">
        <f t="shared" si="0"/>
        <v>0.27999999999999936</v>
      </c>
      <c r="AE52" s="138">
        <f t="shared" si="1"/>
        <v>1.3385826771653564E-2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12.054</v>
      </c>
      <c r="Q53" s="2"/>
      <c r="T53" s="93" t="s">
        <v>107</v>
      </c>
      <c r="U53" s="90">
        <v>19999632</v>
      </c>
      <c r="W53" s="133">
        <v>42535</v>
      </c>
      <c r="X53" s="10">
        <v>12.99</v>
      </c>
      <c r="Y53" s="10">
        <v>13.07</v>
      </c>
      <c r="Z53" s="10">
        <v>12.76</v>
      </c>
      <c r="AA53" s="10">
        <v>12.84</v>
      </c>
      <c r="AB53" s="95">
        <v>30546000</v>
      </c>
      <c r="AC53" s="10">
        <v>12.7</v>
      </c>
      <c r="AD53" s="2">
        <f t="shared" si="0"/>
        <v>0.3100000000000005</v>
      </c>
      <c r="AE53" s="138">
        <f t="shared" si="1"/>
        <v>-1.0903426791277315E-2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11.931000000000001</v>
      </c>
      <c r="T54" s="93" t="s">
        <v>110</v>
      </c>
      <c r="U54" s="90">
        <v>34490100</v>
      </c>
      <c r="W54" s="133">
        <v>42534</v>
      </c>
      <c r="X54" s="10">
        <v>13.07</v>
      </c>
      <c r="Y54" s="10">
        <v>13.13</v>
      </c>
      <c r="Z54" s="10">
        <v>12.96</v>
      </c>
      <c r="AA54" s="10">
        <v>12.98</v>
      </c>
      <c r="AB54" s="95">
        <v>20745800</v>
      </c>
      <c r="AC54" s="10">
        <v>12.84</v>
      </c>
      <c r="AD54" s="2">
        <f t="shared" si="0"/>
        <v>0.16999999999999993</v>
      </c>
      <c r="AE54" s="138">
        <f t="shared" si="1"/>
        <v>-9.2592592592593004E-3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11.808</v>
      </c>
      <c r="T55" s="93" t="s">
        <v>108</v>
      </c>
      <c r="U55" s="88" t="s">
        <v>428</v>
      </c>
      <c r="W55" s="133">
        <v>42531</v>
      </c>
      <c r="X55" s="10">
        <v>13.17</v>
      </c>
      <c r="Y55" s="10">
        <v>13.25</v>
      </c>
      <c r="Z55" s="10">
        <v>13.05</v>
      </c>
      <c r="AA55" s="10">
        <v>13.1</v>
      </c>
      <c r="AB55" s="95">
        <v>27382700</v>
      </c>
      <c r="AC55" s="10">
        <v>12.96</v>
      </c>
      <c r="AD55" s="2">
        <f t="shared" si="0"/>
        <v>0.19999999999999929</v>
      </c>
      <c r="AE55" s="138">
        <f t="shared" si="1"/>
        <v>-1.2195121951219412E-2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11.685</v>
      </c>
      <c r="T56" s="93" t="s">
        <v>111</v>
      </c>
      <c r="U56" s="88">
        <v>5.8</v>
      </c>
      <c r="W56" s="133">
        <v>42530</v>
      </c>
      <c r="X56" s="10">
        <v>13.26</v>
      </c>
      <c r="Y56" s="10">
        <v>13.3</v>
      </c>
      <c r="Z56" s="10">
        <v>13.14</v>
      </c>
      <c r="AA56" s="10">
        <v>13.26</v>
      </c>
      <c r="AB56" s="95">
        <v>19873800</v>
      </c>
      <c r="AC56" s="10">
        <v>13.12</v>
      </c>
      <c r="AD56" s="2">
        <f t="shared" si="0"/>
        <v>0.16000000000000014</v>
      </c>
      <c r="AE56" s="138">
        <f t="shared" si="1"/>
        <v>-7.5642965204236745E-3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11.561999999999999</v>
      </c>
      <c r="T57" s="93" t="s">
        <v>112</v>
      </c>
      <c r="U57" s="88">
        <v>2.12</v>
      </c>
      <c r="W57" s="133">
        <v>42529</v>
      </c>
      <c r="X57" s="10">
        <v>13.45</v>
      </c>
      <c r="Y57" s="10">
        <v>13.49</v>
      </c>
      <c r="Z57" s="10">
        <v>13.35</v>
      </c>
      <c r="AA57" s="10">
        <v>13.36</v>
      </c>
      <c r="AB57" s="95">
        <v>18084800</v>
      </c>
      <c r="AC57" s="10">
        <v>13.22</v>
      </c>
      <c r="AD57" s="2">
        <f t="shared" si="0"/>
        <v>0.14000000000000057</v>
      </c>
      <c r="AE57" s="138">
        <f t="shared" si="1"/>
        <v>-7.5585789871501774E-4</v>
      </c>
    </row>
    <row r="58" spans="2:31" x14ac:dyDescent="0.25">
      <c r="O58" s="83">
        <v>0.93</v>
      </c>
      <c r="P58" s="83">
        <f t="shared" si="24"/>
        <v>11.439000000000002</v>
      </c>
      <c r="T58" s="93" t="s">
        <v>109</v>
      </c>
      <c r="U58" s="88" t="s">
        <v>375</v>
      </c>
      <c r="W58" s="133">
        <v>42528</v>
      </c>
      <c r="X58" s="10">
        <v>13.23</v>
      </c>
      <c r="Y58" s="10">
        <v>13.45</v>
      </c>
      <c r="Z58" s="10">
        <v>13.18</v>
      </c>
      <c r="AA58" s="10">
        <v>13.38</v>
      </c>
      <c r="AB58" s="95">
        <v>27656900</v>
      </c>
      <c r="AC58" s="10">
        <v>13.23</v>
      </c>
      <c r="AD58" s="2">
        <f t="shared" si="0"/>
        <v>0.26999999999999957</v>
      </c>
      <c r="AE58" s="138">
        <f t="shared" si="1"/>
        <v>1.4570552147239457E-2</v>
      </c>
    </row>
    <row r="59" spans="2:31" x14ac:dyDescent="0.25">
      <c r="O59" s="83">
        <v>0.92</v>
      </c>
      <c r="P59" s="83">
        <f t="shared" si="24"/>
        <v>11.316000000000001</v>
      </c>
      <c r="W59" s="133">
        <v>42527</v>
      </c>
      <c r="X59" s="10">
        <v>13.08</v>
      </c>
      <c r="Y59" s="10">
        <v>13.21</v>
      </c>
      <c r="Z59" s="10">
        <v>13.04</v>
      </c>
      <c r="AA59" s="10">
        <v>13.18</v>
      </c>
      <c r="AB59" s="95">
        <v>25588700</v>
      </c>
      <c r="AC59" s="10">
        <v>13.04</v>
      </c>
      <c r="AD59" s="2">
        <f t="shared" si="0"/>
        <v>0.17000000000000171</v>
      </c>
      <c r="AE59" s="138">
        <f t="shared" si="1"/>
        <v>1.0852713178294504E-2</v>
      </c>
    </row>
    <row r="60" spans="2:31" x14ac:dyDescent="0.25">
      <c r="O60" s="83">
        <v>0.91</v>
      </c>
      <c r="P60" s="83">
        <f t="shared" si="24"/>
        <v>11.193000000000001</v>
      </c>
      <c r="W60" s="133">
        <v>42524</v>
      </c>
      <c r="X60" s="10">
        <v>13.14</v>
      </c>
      <c r="Y60" s="10">
        <v>13.14</v>
      </c>
      <c r="Z60" s="10">
        <v>12.9</v>
      </c>
      <c r="AA60" s="10">
        <v>13.04</v>
      </c>
      <c r="AB60" s="95">
        <v>39850700</v>
      </c>
      <c r="AC60" s="10">
        <v>12.9</v>
      </c>
      <c r="AD60" s="2">
        <f t="shared" si="0"/>
        <v>0.24000000000000021</v>
      </c>
      <c r="AE60" s="138">
        <f t="shared" si="1"/>
        <v>-1.3006885998469775E-2</v>
      </c>
    </row>
    <row r="61" spans="2:31" x14ac:dyDescent="0.25">
      <c r="O61" s="83">
        <v>0.9</v>
      </c>
      <c r="P61" s="83">
        <f t="shared" si="24"/>
        <v>11.07</v>
      </c>
      <c r="W61" s="133">
        <v>42523</v>
      </c>
      <c r="X61" s="10">
        <v>13.09</v>
      </c>
      <c r="Y61" s="10">
        <v>13.32</v>
      </c>
      <c r="Z61" s="10">
        <v>13.05</v>
      </c>
      <c r="AA61" s="10">
        <v>13.21</v>
      </c>
      <c r="AB61" s="95">
        <v>41614600</v>
      </c>
      <c r="AC61" s="10">
        <v>13.07</v>
      </c>
      <c r="AD61" s="2">
        <f t="shared" si="0"/>
        <v>0.26999999999999957</v>
      </c>
      <c r="AE61" s="138">
        <f t="shared" si="1"/>
        <v>7.7101002313029188E-3</v>
      </c>
    </row>
    <row r="62" spans="2:31" x14ac:dyDescent="0.25">
      <c r="W62" s="133">
        <v>42522</v>
      </c>
      <c r="X62" s="10">
        <v>13.43</v>
      </c>
      <c r="Y62" s="10">
        <v>13.44</v>
      </c>
      <c r="Z62" s="10">
        <v>12.97</v>
      </c>
      <c r="AA62" s="10">
        <v>13.11</v>
      </c>
      <c r="AB62" s="95">
        <v>58219600</v>
      </c>
      <c r="AC62" s="10">
        <v>12.97</v>
      </c>
      <c r="AD62" s="2">
        <f t="shared" si="0"/>
        <v>0.46999999999999886</v>
      </c>
      <c r="AE62" s="138">
        <f t="shared" si="1"/>
        <v>-2.7736131934032904E-2</v>
      </c>
    </row>
    <row r="63" spans="2:31" x14ac:dyDescent="0.25">
      <c r="W63" s="133">
        <v>42521</v>
      </c>
      <c r="X63" s="10">
        <v>13.49</v>
      </c>
      <c r="Y63" s="10">
        <v>13.56</v>
      </c>
      <c r="Z63" s="10">
        <v>13.4</v>
      </c>
      <c r="AA63" s="10">
        <v>13.49</v>
      </c>
      <c r="AB63" s="95">
        <v>26096000</v>
      </c>
      <c r="AC63" s="10">
        <v>13.34</v>
      </c>
      <c r="AD63" s="2">
        <f t="shared" si="0"/>
        <v>0.16000000000000014</v>
      </c>
      <c r="AE63" s="138">
        <f t="shared" si="1"/>
        <v>3.0075187969924588E-3</v>
      </c>
    </row>
    <row r="64" spans="2:31" x14ac:dyDescent="0.25">
      <c r="W64" s="133">
        <v>42517</v>
      </c>
      <c r="X64" s="10">
        <v>13.48</v>
      </c>
      <c r="Y64" s="10">
        <v>13.54</v>
      </c>
      <c r="Z64" s="10">
        <v>13.4</v>
      </c>
      <c r="AA64" s="10">
        <v>13.45</v>
      </c>
      <c r="AB64" s="95">
        <v>17263300</v>
      </c>
      <c r="AC64" s="10">
        <v>13.3</v>
      </c>
      <c r="AD64" s="2">
        <f t="shared" si="0"/>
        <v>0.13999999999999879</v>
      </c>
      <c r="AE64" s="138">
        <f t="shared" si="1"/>
        <v>-7.513148009015147E-4</v>
      </c>
    </row>
    <row r="65" spans="23:31" x14ac:dyDescent="0.25">
      <c r="W65" s="133">
        <v>42516</v>
      </c>
      <c r="X65" s="10">
        <v>13.59</v>
      </c>
      <c r="Y65" s="10">
        <v>13.68</v>
      </c>
      <c r="Z65" s="10">
        <v>13.37</v>
      </c>
      <c r="AA65" s="10">
        <v>13.46</v>
      </c>
      <c r="AB65" s="95">
        <v>18369900</v>
      </c>
      <c r="AC65" s="10">
        <v>13.31</v>
      </c>
      <c r="AD65" s="2">
        <f t="shared" si="0"/>
        <v>0.3100000000000005</v>
      </c>
      <c r="AE65" s="138">
        <f t="shared" si="1"/>
        <v>-4.48765893792058E-3</v>
      </c>
    </row>
    <row r="66" spans="23:31" x14ac:dyDescent="0.25">
      <c r="W66" s="133">
        <v>42515</v>
      </c>
      <c r="X66" s="10">
        <v>13.33</v>
      </c>
      <c r="Y66" s="10">
        <v>13.6</v>
      </c>
      <c r="Z66" s="10">
        <v>13.33</v>
      </c>
      <c r="AA66" s="10">
        <v>13.52</v>
      </c>
      <c r="AB66" s="95">
        <v>26188300</v>
      </c>
      <c r="AC66" s="10">
        <v>13.37</v>
      </c>
      <c r="AD66" s="2">
        <f t="shared" si="0"/>
        <v>0.26999999999999957</v>
      </c>
      <c r="AE66" s="138">
        <f t="shared" si="1"/>
        <v>1.6730038022813698E-2</v>
      </c>
    </row>
    <row r="67" spans="23:31" x14ac:dyDescent="0.25">
      <c r="W67" s="133">
        <v>42514</v>
      </c>
      <c r="X67" s="10">
        <v>13.16</v>
      </c>
      <c r="Y67" s="10">
        <v>13.3</v>
      </c>
      <c r="Z67" s="10">
        <v>13.16</v>
      </c>
      <c r="AA67" s="10">
        <v>13.29</v>
      </c>
      <c r="AB67" s="95">
        <v>19721600</v>
      </c>
      <c r="AC67" s="10">
        <v>13.15</v>
      </c>
      <c r="AD67" s="2">
        <f>Y67-Z67</f>
        <v>0.14000000000000057</v>
      </c>
      <c r="AE67" s="138" t="e">
        <f>AC67/#REF!-1</f>
        <v>#REF!</v>
      </c>
    </row>
    <row r="68" spans="23:31" x14ac:dyDescent="0.25">
      <c r="W68" s="133">
        <v>42513</v>
      </c>
      <c r="X68" s="10">
        <v>13.14</v>
      </c>
      <c r="Y68" s="10">
        <v>13.2</v>
      </c>
      <c r="Z68" s="10">
        <v>13.11</v>
      </c>
      <c r="AA68" s="10">
        <v>13.13</v>
      </c>
      <c r="AB68" s="95">
        <v>16234300</v>
      </c>
      <c r="AC68" s="10">
        <v>12.99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5" priority="25">
      <formula>F30&gt;0</formula>
    </cfRule>
    <cfRule type="expression" dxfId="514" priority="26">
      <formula>F30&lt;0</formula>
    </cfRule>
  </conditionalFormatting>
  <conditionalFormatting sqref="F34:F42 F46:F57">
    <cfRule type="expression" dxfId="513" priority="21">
      <formula>F34&gt;0</formula>
    </cfRule>
    <cfRule type="expression" dxfId="512" priority="22">
      <formula>F34&lt;0</formula>
    </cfRule>
  </conditionalFormatting>
  <conditionalFormatting sqref="F34:F42 F46:F57">
    <cfRule type="expression" dxfId="511" priority="23">
      <formula>F34&gt;0</formula>
    </cfRule>
    <cfRule type="expression" dxfId="510" priority="24">
      <formula>F34&lt;0</formula>
    </cfRule>
  </conditionalFormatting>
  <conditionalFormatting sqref="H30:H42 H46:H57">
    <cfRule type="expression" dxfId="509" priority="19">
      <formula>H30&gt;0</formula>
    </cfRule>
    <cfRule type="expression" dxfId="508" priority="20">
      <formula>H30&lt;0</formula>
    </cfRule>
  </conditionalFormatting>
  <conditionalFormatting sqref="F25:F29">
    <cfRule type="expression" dxfId="507" priority="13">
      <formula>F25&gt;0</formula>
    </cfRule>
    <cfRule type="expression" dxfId="506" priority="14">
      <formula>F25&lt;0</formula>
    </cfRule>
  </conditionalFormatting>
  <conditionalFormatting sqref="H25:H29">
    <cfRule type="expression" dxfId="505" priority="11">
      <formula>H25&gt;0</formula>
    </cfRule>
    <cfRule type="expression" dxfId="504" priority="12">
      <formula>H25&lt;0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43:F45">
    <cfRule type="expression" dxfId="499" priority="3">
      <formula>F43&gt;0</formula>
    </cfRule>
    <cfRule type="expression" dxfId="498" priority="4">
      <formula>F43&lt;0</formula>
    </cfRule>
  </conditionalFormatting>
  <conditionalFormatting sqref="F43:F45">
    <cfRule type="expression" dxfId="497" priority="5">
      <formula>F43&gt;0</formula>
    </cfRule>
    <cfRule type="expression" dxfId="496" priority="6">
      <formula>F43&lt;0</formula>
    </cfRule>
  </conditionalFormatting>
  <conditionalFormatting sqref="H43:H45">
    <cfRule type="expression" dxfId="495" priority="1">
      <formula>H43&gt;0</formula>
    </cfRule>
    <cfRule type="expression" dxfId="4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51"/>
  <sheetViews>
    <sheetView workbookViewId="0">
      <pane ySplit="1" topLeftCell="A113" activePane="bottomLeft" state="frozen"/>
      <selection activeCell="A2" sqref="A2"/>
      <selection pane="bottomLeft" activeCell="M140" sqref="M140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7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7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286</v>
      </c>
      <c r="W2" s="123">
        <v>42606</v>
      </c>
      <c r="X2" s="41">
        <v>12.54</v>
      </c>
      <c r="Y2" s="41">
        <v>12.64</v>
      </c>
      <c r="Z2" s="41">
        <v>12.4</v>
      </c>
      <c r="AA2" s="41">
        <v>12.46</v>
      </c>
      <c r="AB2" s="104">
        <v>3348000</v>
      </c>
      <c r="AC2" s="9">
        <v>12.46</v>
      </c>
      <c r="AD2" s="2">
        <f>Y2-Z2</f>
        <v>0.24000000000000021</v>
      </c>
      <c r="AE2" s="138">
        <f>AC2/AC3-1</f>
        <v>-8.7509944311853216E-3</v>
      </c>
    </row>
    <row r="3" spans="1:42" x14ac:dyDescent="0.25">
      <c r="A3" s="23" t="s">
        <v>71</v>
      </c>
      <c r="B3" s="477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7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3">
        <f>IF(Q2=0, Q4, (F80-K80)/Q2)</f>
        <v>18.269631111111117</v>
      </c>
      <c r="W3" s="123">
        <v>42605</v>
      </c>
      <c r="X3" s="41">
        <v>12.26</v>
      </c>
      <c r="Y3" s="41">
        <v>12.74</v>
      </c>
      <c r="Z3" s="41">
        <v>12.26</v>
      </c>
      <c r="AA3" s="41">
        <v>12.57</v>
      </c>
      <c r="AB3" s="104">
        <v>3826500</v>
      </c>
      <c r="AC3" s="9">
        <v>12.57</v>
      </c>
      <c r="AD3" s="2">
        <f t="shared" ref="AD3:AD66" si="1">Y3-Z3</f>
        <v>0.48000000000000043</v>
      </c>
      <c r="AE3" s="138">
        <f t="shared" ref="AE3:AE66" si="2">AC3/AC4-1</f>
        <v>2.6960784313725394E-2</v>
      </c>
      <c r="AJ3" s="235"/>
      <c r="AL3" s="234"/>
      <c r="AO3" s="234"/>
    </row>
    <row r="4" spans="1:42" x14ac:dyDescent="0.25">
      <c r="B4" s="477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7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12.46</v>
      </c>
      <c r="T4" s="1"/>
      <c r="W4" s="123">
        <v>42604</v>
      </c>
      <c r="X4" s="41">
        <v>12.21</v>
      </c>
      <c r="Y4" s="41">
        <v>12.29</v>
      </c>
      <c r="Z4" s="41">
        <v>11.97</v>
      </c>
      <c r="AA4" s="41">
        <v>12.24</v>
      </c>
      <c r="AB4" s="104">
        <v>3264800</v>
      </c>
      <c r="AC4" s="9">
        <v>12.24</v>
      </c>
      <c r="AD4" s="2">
        <f t="shared" si="1"/>
        <v>0.31999999999999851</v>
      </c>
      <c r="AE4" s="138">
        <f t="shared" si="2"/>
        <v>-1.6313213703099683E-3</v>
      </c>
      <c r="AL4" s="234"/>
      <c r="AO4" s="234"/>
    </row>
    <row r="5" spans="1:42" x14ac:dyDescent="0.25">
      <c r="B5" s="477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7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56070.000000000007</v>
      </c>
      <c r="T5" s="1"/>
      <c r="W5" s="123">
        <v>42601</v>
      </c>
      <c r="X5" s="41">
        <v>12.5</v>
      </c>
      <c r="Y5" s="41">
        <v>12.53</v>
      </c>
      <c r="Z5" s="41">
        <v>12.2</v>
      </c>
      <c r="AA5" s="41">
        <v>12.26</v>
      </c>
      <c r="AB5" s="104">
        <v>2653800</v>
      </c>
      <c r="AC5" s="9">
        <v>12.26</v>
      </c>
      <c r="AD5" s="2">
        <f t="shared" si="1"/>
        <v>0.33000000000000007</v>
      </c>
      <c r="AE5" s="138">
        <f t="shared" si="2"/>
        <v>-2.4661893396976997E-2</v>
      </c>
      <c r="AL5" s="234"/>
      <c r="AO5" s="234"/>
    </row>
    <row r="6" spans="1:42" x14ac:dyDescent="0.25">
      <c r="B6" s="477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7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82213.340000000026</v>
      </c>
      <c r="W6" s="123">
        <v>42600</v>
      </c>
      <c r="X6" s="41">
        <v>12.59</v>
      </c>
      <c r="Y6" s="41">
        <v>12.66</v>
      </c>
      <c r="Z6" s="41">
        <v>12.51</v>
      </c>
      <c r="AA6" s="41">
        <v>12.57</v>
      </c>
      <c r="AB6" s="104">
        <v>3117300</v>
      </c>
      <c r="AC6" s="9">
        <v>12.57</v>
      </c>
      <c r="AD6" s="2">
        <f t="shared" si="1"/>
        <v>0.15000000000000036</v>
      </c>
      <c r="AE6" s="138">
        <f t="shared" si="2"/>
        <v>-3.1720856463123281E-3</v>
      </c>
      <c r="AL6" s="234"/>
      <c r="AO6" s="234"/>
    </row>
    <row r="7" spans="1:42" x14ac:dyDescent="0.25">
      <c r="B7" s="477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7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-26143.340000000018</v>
      </c>
      <c r="R7">
        <v>500</v>
      </c>
      <c r="W7" s="123">
        <v>42599</v>
      </c>
      <c r="X7" s="41">
        <v>12.7</v>
      </c>
      <c r="Y7" s="41">
        <v>12.78</v>
      </c>
      <c r="Z7" s="41">
        <v>12.57</v>
      </c>
      <c r="AA7" s="41">
        <v>12.61</v>
      </c>
      <c r="AB7" s="104">
        <v>2682900</v>
      </c>
      <c r="AC7" s="9">
        <v>12.61</v>
      </c>
      <c r="AD7" s="2">
        <f t="shared" si="1"/>
        <v>0.20999999999999908</v>
      </c>
      <c r="AE7" s="138">
        <f t="shared" si="2"/>
        <v>-1.2529365700861383E-2</v>
      </c>
      <c r="AL7" s="234"/>
      <c r="AO7" s="234"/>
    </row>
    <row r="8" spans="1:42" x14ac:dyDescent="0.25">
      <c r="B8" s="477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7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-26143.340000000018</v>
      </c>
      <c r="R8" s="166"/>
      <c r="W8" s="123">
        <v>42598</v>
      </c>
      <c r="X8" s="41">
        <v>12.75</v>
      </c>
      <c r="Y8" s="41">
        <v>12.93</v>
      </c>
      <c r="Z8" s="41">
        <v>12.66</v>
      </c>
      <c r="AA8" s="41">
        <v>12.77</v>
      </c>
      <c r="AB8" s="104">
        <v>4946600</v>
      </c>
      <c r="AC8" s="9">
        <v>12.77</v>
      </c>
      <c r="AD8" s="2">
        <f t="shared" si="1"/>
        <v>0.26999999999999957</v>
      </c>
      <c r="AE8" s="138">
        <f t="shared" si="2"/>
        <v>8.6887835703000071E-3</v>
      </c>
      <c r="AL8" s="234"/>
      <c r="AO8" s="234"/>
    </row>
    <row r="9" spans="1:42" x14ac:dyDescent="0.25">
      <c r="B9" s="477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7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225</v>
      </c>
      <c r="Q9" s="138">
        <f>IF(Q2=0, 0, Q8/Q6)</f>
        <v>-0.31799389247535753</v>
      </c>
      <c r="W9" s="123">
        <v>42597</v>
      </c>
      <c r="X9" s="41">
        <v>12.8</v>
      </c>
      <c r="Y9" s="41">
        <v>12.85</v>
      </c>
      <c r="Z9" s="41">
        <v>12.62</v>
      </c>
      <c r="AA9" s="41">
        <v>12.66</v>
      </c>
      <c r="AB9" s="104">
        <v>3234500</v>
      </c>
      <c r="AC9" s="9">
        <v>12.66</v>
      </c>
      <c r="AD9" s="2">
        <f t="shared" si="1"/>
        <v>0.23000000000000043</v>
      </c>
      <c r="AE9" s="138">
        <f t="shared" si="2"/>
        <v>-5.498821681068411E-3</v>
      </c>
      <c r="AL9" s="234"/>
      <c r="AO9" s="234"/>
    </row>
    <row r="10" spans="1:42" x14ac:dyDescent="0.25">
      <c r="B10" s="477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7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224</v>
      </c>
      <c r="P10" s="34"/>
      <c r="Q10" s="2">
        <v>0</v>
      </c>
      <c r="W10" s="123">
        <v>42594</v>
      </c>
      <c r="X10" s="41">
        <v>12.65</v>
      </c>
      <c r="Y10" s="41">
        <v>12.97</v>
      </c>
      <c r="Z10" s="41">
        <v>12.59</v>
      </c>
      <c r="AA10" s="41">
        <v>12.73</v>
      </c>
      <c r="AB10" s="104">
        <v>4003900</v>
      </c>
      <c r="AC10" s="9">
        <v>12.73</v>
      </c>
      <c r="AD10" s="2">
        <f t="shared" si="1"/>
        <v>0.38000000000000078</v>
      </c>
      <c r="AE10" s="138">
        <f t="shared" si="2"/>
        <v>7.9176563737133332E-3</v>
      </c>
      <c r="AL10" s="234"/>
      <c r="AO10" s="234"/>
    </row>
    <row r="11" spans="1:42" x14ac:dyDescent="0.25">
      <c r="B11" s="477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7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42593</v>
      </c>
      <c r="X11" s="41">
        <v>12.51</v>
      </c>
      <c r="Y11" s="41">
        <v>12.64</v>
      </c>
      <c r="Z11" s="41">
        <v>12.32</v>
      </c>
      <c r="AA11" s="41">
        <v>12.63</v>
      </c>
      <c r="AB11" s="104">
        <v>3850000</v>
      </c>
      <c r="AC11" s="9">
        <v>12.63</v>
      </c>
      <c r="AD11" s="2">
        <f t="shared" si="1"/>
        <v>0.32000000000000028</v>
      </c>
      <c r="AE11" s="138">
        <f t="shared" si="2"/>
        <v>9.5923261390888914E-3</v>
      </c>
      <c r="AL11" s="234"/>
      <c r="AO11" s="234"/>
    </row>
    <row r="12" spans="1:42" x14ac:dyDescent="0.25">
      <c r="B12" s="477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7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42592</v>
      </c>
      <c r="X12" s="41">
        <v>12.66</v>
      </c>
      <c r="Y12" s="41">
        <v>12.72</v>
      </c>
      <c r="Z12" s="41">
        <v>12.4</v>
      </c>
      <c r="AA12" s="41">
        <v>12.51</v>
      </c>
      <c r="AB12" s="104">
        <v>3246300</v>
      </c>
      <c r="AC12" s="9">
        <v>12.51</v>
      </c>
      <c r="AD12" s="2">
        <f t="shared" si="1"/>
        <v>0.32000000000000028</v>
      </c>
      <c r="AE12" s="138">
        <f t="shared" si="2"/>
        <v>-1.2628255722178405E-2</v>
      </c>
      <c r="AL12" s="234"/>
      <c r="AO12" s="234"/>
    </row>
    <row r="13" spans="1:42" x14ac:dyDescent="0.25">
      <c r="B13" s="477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6"/>
      <c r="H13" s="7"/>
      <c r="I13" s="79"/>
      <c r="J13" s="44"/>
      <c r="K13" s="44"/>
      <c r="W13" s="123">
        <v>42591</v>
      </c>
      <c r="X13" s="41">
        <v>13.14</v>
      </c>
      <c r="Y13" s="41">
        <v>13.18</v>
      </c>
      <c r="Z13" s="41">
        <v>12.62</v>
      </c>
      <c r="AA13" s="41">
        <v>12.67</v>
      </c>
      <c r="AB13" s="104">
        <v>7358600</v>
      </c>
      <c r="AC13" s="9">
        <v>12.67</v>
      </c>
      <c r="AD13" s="2">
        <f t="shared" si="1"/>
        <v>0.5600000000000005</v>
      </c>
      <c r="AE13" s="138">
        <f t="shared" si="2"/>
        <v>-3.208556149732622E-2</v>
      </c>
    </row>
    <row r="14" spans="1:42" x14ac:dyDescent="0.25">
      <c r="B14" s="477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30"/>
      <c r="H14" s="7"/>
      <c r="I14" s="79"/>
      <c r="J14" s="44"/>
      <c r="K14" s="44"/>
      <c r="W14" s="123">
        <v>42590</v>
      </c>
      <c r="X14" s="41">
        <v>13.07</v>
      </c>
      <c r="Y14" s="41">
        <v>13.25</v>
      </c>
      <c r="Z14" s="41">
        <v>13.03</v>
      </c>
      <c r="AA14" s="41">
        <v>13.09</v>
      </c>
      <c r="AB14" s="104">
        <v>3649800</v>
      </c>
      <c r="AC14" s="9">
        <v>13.09</v>
      </c>
      <c r="AD14" s="2">
        <f t="shared" si="1"/>
        <v>0.22000000000000064</v>
      </c>
      <c r="AE14" s="138">
        <f t="shared" si="2"/>
        <v>6.1491160645656961E-3</v>
      </c>
    </row>
    <row r="15" spans="1:42" x14ac:dyDescent="0.25">
      <c r="B15" s="477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30"/>
      <c r="H15" s="82"/>
      <c r="I15" s="79"/>
      <c r="J15" s="44"/>
      <c r="K15" s="44"/>
      <c r="V15" s="2"/>
      <c r="W15" s="123">
        <v>42587</v>
      </c>
      <c r="X15" s="41">
        <v>12.98</v>
      </c>
      <c r="Y15" s="41">
        <v>13.14</v>
      </c>
      <c r="Z15" s="41">
        <v>12.86</v>
      </c>
      <c r="AA15" s="41">
        <v>13.01</v>
      </c>
      <c r="AB15" s="104">
        <v>4090200</v>
      </c>
      <c r="AC15" s="9">
        <v>13.01</v>
      </c>
      <c r="AD15" s="2">
        <f t="shared" si="1"/>
        <v>0.28000000000000114</v>
      </c>
      <c r="AE15" s="138">
        <f t="shared" si="2"/>
        <v>3.0840400925211675E-3</v>
      </c>
      <c r="AL15" s="234"/>
      <c r="AO15" s="234"/>
      <c r="AP15" s="234"/>
    </row>
    <row r="16" spans="1:42" x14ac:dyDescent="0.25">
      <c r="B16" s="477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30"/>
      <c r="H16" s="82"/>
      <c r="I16" s="79"/>
      <c r="J16" s="44"/>
      <c r="K16" s="44"/>
      <c r="V16" s="2"/>
      <c r="W16" s="123">
        <v>42586</v>
      </c>
      <c r="X16" s="41">
        <v>13.5</v>
      </c>
      <c r="Y16" s="41">
        <v>13.54</v>
      </c>
      <c r="Z16" s="41">
        <v>12.85</v>
      </c>
      <c r="AA16" s="41">
        <v>12.97</v>
      </c>
      <c r="AB16" s="104">
        <v>5593000</v>
      </c>
      <c r="AC16" s="9">
        <v>12.97</v>
      </c>
      <c r="AD16" s="2">
        <f t="shared" si="1"/>
        <v>0.6899999999999995</v>
      </c>
      <c r="AE16" s="138">
        <f t="shared" si="2"/>
        <v>-4.0680473372781023E-2</v>
      </c>
    </row>
    <row r="17" spans="2:42" x14ac:dyDescent="0.25">
      <c r="B17" s="477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30"/>
      <c r="H17" s="82"/>
      <c r="I17" s="79"/>
      <c r="J17" s="44"/>
      <c r="K17" s="44"/>
      <c r="V17" s="2"/>
      <c r="W17" s="123">
        <v>42585</v>
      </c>
      <c r="X17" s="41">
        <v>13.5</v>
      </c>
      <c r="Y17" s="41">
        <v>13.56</v>
      </c>
      <c r="Z17" s="41">
        <v>13.23</v>
      </c>
      <c r="AA17" s="41">
        <v>13.52</v>
      </c>
      <c r="AB17" s="104">
        <v>3640900</v>
      </c>
      <c r="AC17" s="9">
        <v>13.52</v>
      </c>
      <c r="AD17" s="2">
        <f t="shared" si="1"/>
        <v>0.33000000000000007</v>
      </c>
      <c r="AE17" s="138">
        <f t="shared" si="2"/>
        <v>5.2044609665427011E-3</v>
      </c>
      <c r="AL17" s="234"/>
      <c r="AO17" s="234"/>
      <c r="AP17" s="234"/>
    </row>
    <row r="18" spans="2:42" x14ac:dyDescent="0.25">
      <c r="B18" s="477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30"/>
      <c r="H18" s="82"/>
      <c r="I18" s="79"/>
      <c r="J18" s="44"/>
      <c r="K18" s="44"/>
      <c r="V18" s="2"/>
      <c r="W18" s="123">
        <v>42584</v>
      </c>
      <c r="X18" s="41">
        <v>13.29</v>
      </c>
      <c r="Y18" s="41">
        <v>13.5</v>
      </c>
      <c r="Z18" s="41">
        <v>13.2</v>
      </c>
      <c r="AA18" s="41">
        <v>13.45</v>
      </c>
      <c r="AB18" s="104">
        <v>5455800</v>
      </c>
      <c r="AC18" s="9">
        <v>13.45</v>
      </c>
      <c r="AD18" s="2">
        <f t="shared" si="1"/>
        <v>0.30000000000000071</v>
      </c>
      <c r="AE18" s="138">
        <f t="shared" si="2"/>
        <v>1.4892032762472418E-3</v>
      </c>
    </row>
    <row r="19" spans="2:42" x14ac:dyDescent="0.25">
      <c r="B19" s="477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30"/>
      <c r="H19" s="82"/>
      <c r="I19" s="79"/>
      <c r="J19" s="44"/>
      <c r="K19" s="44"/>
      <c r="W19" s="123">
        <v>42583</v>
      </c>
      <c r="X19" s="41">
        <v>13.67</v>
      </c>
      <c r="Y19" s="41">
        <v>13.73</v>
      </c>
      <c r="Z19" s="41">
        <v>13.35</v>
      </c>
      <c r="AA19" s="41">
        <v>13.43</v>
      </c>
      <c r="AB19" s="104">
        <v>5615500</v>
      </c>
      <c r="AC19" s="9">
        <v>13.43</v>
      </c>
      <c r="AD19" s="2">
        <f t="shared" si="1"/>
        <v>0.38000000000000078</v>
      </c>
      <c r="AE19" s="138">
        <f t="shared" si="2"/>
        <v>-2.2561863173216956E-2</v>
      </c>
      <c r="AL19" s="234"/>
      <c r="AO19" s="234"/>
    </row>
    <row r="20" spans="2:42" x14ac:dyDescent="0.25">
      <c r="B20" s="477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6"/>
      <c r="H20" s="7"/>
      <c r="I20" s="79"/>
      <c r="J20" s="44"/>
      <c r="K20" s="44"/>
      <c r="W20" s="123">
        <v>42580</v>
      </c>
      <c r="X20" s="41">
        <v>14.38</v>
      </c>
      <c r="Y20" s="41">
        <v>14.38</v>
      </c>
      <c r="Z20" s="41">
        <v>13.2</v>
      </c>
      <c r="AA20" s="41">
        <v>13.74</v>
      </c>
      <c r="AB20" s="104">
        <v>13208100</v>
      </c>
      <c r="AC20" s="9">
        <v>13.74</v>
      </c>
      <c r="AD20" s="2">
        <f t="shared" si="1"/>
        <v>1.1800000000000015</v>
      </c>
      <c r="AE20" s="138">
        <f t="shared" si="2"/>
        <v>-3.4434293745607913E-2</v>
      </c>
    </row>
    <row r="21" spans="2:42" x14ac:dyDescent="0.25">
      <c r="B21" s="477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6"/>
      <c r="H21" s="7"/>
      <c r="I21" s="79"/>
      <c r="J21" s="44"/>
      <c r="K21" s="44"/>
      <c r="W21" s="123">
        <v>42579</v>
      </c>
      <c r="X21" s="41">
        <v>14.06</v>
      </c>
      <c r="Y21" s="41">
        <v>14.43</v>
      </c>
      <c r="Z21" s="41">
        <v>13.96</v>
      </c>
      <c r="AA21" s="41">
        <v>14.23</v>
      </c>
      <c r="AB21" s="104">
        <v>3115600</v>
      </c>
      <c r="AC21" s="9">
        <v>14.23</v>
      </c>
      <c r="AD21" s="2">
        <f t="shared" si="1"/>
        <v>0.46999999999999886</v>
      </c>
      <c r="AE21" s="138">
        <f t="shared" si="2"/>
        <v>1.2091038406827792E-2</v>
      </c>
    </row>
    <row r="22" spans="2:42" x14ac:dyDescent="0.25">
      <c r="B22" s="477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6"/>
      <c r="H22" s="7"/>
      <c r="I22" s="79"/>
      <c r="J22" s="44"/>
      <c r="K22" s="44"/>
      <c r="W22" s="123">
        <v>42578</v>
      </c>
      <c r="X22" s="41">
        <v>14.79</v>
      </c>
      <c r="Y22" s="41">
        <v>14.87</v>
      </c>
      <c r="Z22" s="41">
        <v>14.02</v>
      </c>
      <c r="AA22" s="41">
        <v>14.06</v>
      </c>
      <c r="AB22" s="104">
        <v>4290300</v>
      </c>
      <c r="AC22" s="9">
        <v>14.06</v>
      </c>
      <c r="AD22" s="2">
        <f t="shared" si="1"/>
        <v>0.84999999999999964</v>
      </c>
      <c r="AE22" s="138">
        <f t="shared" si="2"/>
        <v>-4.6779661016949081E-2</v>
      </c>
    </row>
    <row r="23" spans="2:42" x14ac:dyDescent="0.25">
      <c r="B23" s="477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6"/>
      <c r="H23" s="82"/>
      <c r="I23" s="79"/>
      <c r="J23" s="44"/>
      <c r="K23" s="44"/>
      <c r="M23" s="2"/>
      <c r="W23" s="123">
        <v>42577</v>
      </c>
      <c r="X23" s="41">
        <v>14.95</v>
      </c>
      <c r="Y23" s="41">
        <v>14.95</v>
      </c>
      <c r="Z23" s="41">
        <v>14.64</v>
      </c>
      <c r="AA23" s="41">
        <v>14.75</v>
      </c>
      <c r="AB23" s="104">
        <v>4581300</v>
      </c>
      <c r="AC23" s="9">
        <v>14.75</v>
      </c>
      <c r="AD23" s="2">
        <f t="shared" si="1"/>
        <v>0.30999999999999872</v>
      </c>
      <c r="AE23" s="138">
        <f t="shared" si="2"/>
        <v>4.0844111640572223E-3</v>
      </c>
    </row>
    <row r="24" spans="2:42" x14ac:dyDescent="0.25">
      <c r="B24" s="477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6"/>
      <c r="H24" s="82"/>
      <c r="I24" s="79"/>
      <c r="J24" s="44"/>
      <c r="K24" s="44"/>
      <c r="W24" s="123">
        <v>42576</v>
      </c>
      <c r="X24" s="41">
        <v>14.71</v>
      </c>
      <c r="Y24" s="41">
        <v>14.9</v>
      </c>
      <c r="Z24" s="41">
        <v>14.67</v>
      </c>
      <c r="AA24" s="41">
        <v>14.69</v>
      </c>
      <c r="AB24" s="104">
        <v>1580000</v>
      </c>
      <c r="AC24" s="9">
        <v>14.69</v>
      </c>
      <c r="AD24" s="2">
        <f t="shared" si="1"/>
        <v>0.23000000000000043</v>
      </c>
      <c r="AE24" s="138">
        <f t="shared" si="2"/>
        <v>-4.7425474254743083E-3</v>
      </c>
    </row>
    <row r="25" spans="2:42" x14ac:dyDescent="0.25">
      <c r="B25" s="477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6"/>
      <c r="H25" s="82"/>
      <c r="I25" s="79"/>
      <c r="J25" s="44"/>
      <c r="K25" s="44"/>
      <c r="W25" s="123">
        <v>42573</v>
      </c>
      <c r="X25" s="41">
        <v>14.68</v>
      </c>
      <c r="Y25" s="41">
        <v>14.95</v>
      </c>
      <c r="Z25" s="41">
        <v>14.57</v>
      </c>
      <c r="AA25" s="41">
        <v>14.76</v>
      </c>
      <c r="AB25" s="104">
        <v>1871600</v>
      </c>
      <c r="AC25" s="9">
        <v>14.76</v>
      </c>
      <c r="AD25" s="2">
        <f t="shared" si="1"/>
        <v>0.37999999999999901</v>
      </c>
      <c r="AE25" s="138">
        <f t="shared" si="2"/>
        <v>8.8858509911140526E-3</v>
      </c>
      <c r="AL25" s="234"/>
      <c r="AO25" s="234"/>
    </row>
    <row r="26" spans="2:42" x14ac:dyDescent="0.25">
      <c r="B26" s="477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6"/>
      <c r="H26" s="82"/>
      <c r="I26" s="79"/>
      <c r="J26" s="44"/>
      <c r="K26" s="44"/>
      <c r="W26" s="123">
        <v>42572</v>
      </c>
      <c r="X26" s="41">
        <v>14.46</v>
      </c>
      <c r="Y26" s="41">
        <v>14.9</v>
      </c>
      <c r="Z26" s="41">
        <v>14.46</v>
      </c>
      <c r="AA26" s="41">
        <v>14.63</v>
      </c>
      <c r="AB26" s="104">
        <v>3784600</v>
      </c>
      <c r="AC26" s="9">
        <v>14.63</v>
      </c>
      <c r="AD26" s="2">
        <f t="shared" si="1"/>
        <v>0.4399999999999995</v>
      </c>
      <c r="AE26" s="138">
        <f t="shared" si="2"/>
        <v>1.3860013860014009E-2</v>
      </c>
    </row>
    <row r="27" spans="2:42" x14ac:dyDescent="0.25">
      <c r="B27" s="477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6"/>
      <c r="H27" s="7"/>
      <c r="I27" s="79"/>
      <c r="J27" s="44"/>
      <c r="K27" s="44"/>
      <c r="W27" s="123">
        <v>42571</v>
      </c>
      <c r="X27" s="41">
        <v>14.55</v>
      </c>
      <c r="Y27" s="41">
        <v>14.72</v>
      </c>
      <c r="Z27" s="41">
        <v>14.25</v>
      </c>
      <c r="AA27" s="41">
        <v>14.43</v>
      </c>
      <c r="AB27" s="104">
        <v>3895900</v>
      </c>
      <c r="AC27" s="9">
        <v>14.43</v>
      </c>
      <c r="AD27" s="2">
        <f t="shared" si="1"/>
        <v>0.47000000000000064</v>
      </c>
      <c r="AE27" s="138">
        <f t="shared" si="2"/>
        <v>-4.1407867494824835E-3</v>
      </c>
      <c r="AL27" s="234"/>
      <c r="AO27" s="234"/>
    </row>
    <row r="28" spans="2:42" x14ac:dyDescent="0.25">
      <c r="B28" s="477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6"/>
      <c r="H28" s="7"/>
      <c r="I28" s="79"/>
      <c r="J28" s="44"/>
      <c r="K28" s="44"/>
      <c r="W28" s="123">
        <v>42570</v>
      </c>
      <c r="X28" s="41">
        <v>14.97</v>
      </c>
      <c r="Y28" s="41">
        <v>15.03</v>
      </c>
      <c r="Z28" s="41">
        <v>14.38</v>
      </c>
      <c r="AA28" s="41">
        <v>14.49</v>
      </c>
      <c r="AB28" s="104">
        <v>4010800</v>
      </c>
      <c r="AC28" s="9">
        <v>14.49</v>
      </c>
      <c r="AD28" s="2">
        <f t="shared" si="1"/>
        <v>0.64999999999999858</v>
      </c>
      <c r="AE28" s="138">
        <f t="shared" si="2"/>
        <v>-3.076923076923066E-2</v>
      </c>
    </row>
    <row r="29" spans="2:42" x14ac:dyDescent="0.25">
      <c r="B29" s="477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6"/>
      <c r="H29" s="7"/>
      <c r="I29" s="79"/>
      <c r="J29" s="44"/>
      <c r="K29" s="44"/>
      <c r="W29" s="123">
        <v>42569</v>
      </c>
      <c r="X29" s="41">
        <v>14.92</v>
      </c>
      <c r="Y29" s="41">
        <v>14.98</v>
      </c>
      <c r="Z29" s="41">
        <v>14.86</v>
      </c>
      <c r="AA29" s="41">
        <v>14.95</v>
      </c>
      <c r="AB29" s="104">
        <v>1613100</v>
      </c>
      <c r="AC29" s="9">
        <v>14.95</v>
      </c>
      <c r="AD29" s="2">
        <f t="shared" si="1"/>
        <v>0.12000000000000099</v>
      </c>
      <c r="AE29" s="138">
        <f t="shared" si="2"/>
        <v>2.0107238605897582E-3</v>
      </c>
    </row>
    <row r="30" spans="2:42" x14ac:dyDescent="0.25">
      <c r="B30" s="477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42566</v>
      </c>
      <c r="X30" s="41">
        <v>15.03</v>
      </c>
      <c r="Y30" s="41">
        <v>15.08</v>
      </c>
      <c r="Z30" s="41">
        <v>14.86</v>
      </c>
      <c r="AA30" s="41">
        <v>14.92</v>
      </c>
      <c r="AB30" s="104">
        <v>1353300</v>
      </c>
      <c r="AC30" s="9">
        <v>14.92</v>
      </c>
      <c r="AD30" s="2">
        <f t="shared" si="1"/>
        <v>0.22000000000000064</v>
      </c>
      <c r="AE30" s="138">
        <f t="shared" si="2"/>
        <v>-5.3333333333333011E-3</v>
      </c>
    </row>
    <row r="31" spans="2:42" x14ac:dyDescent="0.25">
      <c r="B31" s="477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42565</v>
      </c>
      <c r="X31" s="41">
        <v>15.02</v>
      </c>
      <c r="Y31" s="41">
        <v>15.11</v>
      </c>
      <c r="Z31" s="41">
        <v>14.84</v>
      </c>
      <c r="AA31" s="41">
        <v>15</v>
      </c>
      <c r="AB31" s="104">
        <v>2145600</v>
      </c>
      <c r="AC31" s="9">
        <v>15</v>
      </c>
      <c r="AD31" s="2">
        <f t="shared" si="1"/>
        <v>0.26999999999999957</v>
      </c>
      <c r="AE31" s="138">
        <f t="shared" si="2"/>
        <v>-1.3315579227696217E-3</v>
      </c>
      <c r="AL31" s="234"/>
      <c r="AO31" s="234"/>
    </row>
    <row r="32" spans="2:42" x14ac:dyDescent="0.25">
      <c r="B32" s="477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42564</v>
      </c>
      <c r="X32" s="41">
        <v>15.04</v>
      </c>
      <c r="Y32" s="41">
        <v>15.09</v>
      </c>
      <c r="Z32" s="41">
        <v>14.81</v>
      </c>
      <c r="AA32" s="41">
        <v>15.02</v>
      </c>
      <c r="AB32" s="104">
        <v>1867100</v>
      </c>
      <c r="AC32" s="9">
        <v>15.02</v>
      </c>
      <c r="AD32" s="2">
        <f t="shared" si="1"/>
        <v>0.27999999999999936</v>
      </c>
      <c r="AE32" s="138">
        <f t="shared" si="2"/>
        <v>2.6702269692924219E-3</v>
      </c>
    </row>
    <row r="33" spans="2:41" x14ac:dyDescent="0.25">
      <c r="B33" s="477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42563</v>
      </c>
      <c r="X33" s="41">
        <v>14.81</v>
      </c>
      <c r="Y33" s="41">
        <v>15.12</v>
      </c>
      <c r="Z33" s="41">
        <v>14.81</v>
      </c>
      <c r="AA33" s="41">
        <v>14.98</v>
      </c>
      <c r="AB33" s="104">
        <v>3502200</v>
      </c>
      <c r="AC33" s="9">
        <v>14.98</v>
      </c>
      <c r="AD33" s="2">
        <f t="shared" si="1"/>
        <v>0.30999999999999872</v>
      </c>
      <c r="AE33" s="138">
        <f t="shared" si="2"/>
        <v>1.6972165648336812E-2</v>
      </c>
      <c r="AL33" s="234"/>
      <c r="AO33" s="234"/>
    </row>
    <row r="34" spans="2:41" x14ac:dyDescent="0.25">
      <c r="B34" s="477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42562</v>
      </c>
      <c r="X34" s="41">
        <v>14.51</v>
      </c>
      <c r="Y34" s="41">
        <v>14.76</v>
      </c>
      <c r="Z34" s="41">
        <v>14.5</v>
      </c>
      <c r="AA34" s="41">
        <v>14.73</v>
      </c>
      <c r="AB34" s="104">
        <v>1911100</v>
      </c>
      <c r="AC34" s="9">
        <v>14.73</v>
      </c>
      <c r="AD34" s="2">
        <f t="shared" si="1"/>
        <v>0.25999999999999979</v>
      </c>
      <c r="AE34" s="138">
        <f t="shared" si="2"/>
        <v>1.5161957270847681E-2</v>
      </c>
    </row>
    <row r="35" spans="2:41" x14ac:dyDescent="0.25">
      <c r="B35" s="477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42559</v>
      </c>
      <c r="X35" s="41">
        <v>14.33</v>
      </c>
      <c r="Y35" s="41">
        <v>14.52</v>
      </c>
      <c r="Z35" s="41">
        <v>14.25</v>
      </c>
      <c r="AA35" s="41">
        <v>14.51</v>
      </c>
      <c r="AB35" s="104">
        <v>4171200</v>
      </c>
      <c r="AC35" s="9">
        <v>14.51</v>
      </c>
      <c r="AD35" s="2">
        <f t="shared" si="1"/>
        <v>0.26999999999999957</v>
      </c>
      <c r="AE35" s="138">
        <f t="shared" si="2"/>
        <v>1.9676739283204459E-2</v>
      </c>
      <c r="AL35" s="234"/>
      <c r="AO35" s="234"/>
    </row>
    <row r="36" spans="2:41" x14ac:dyDescent="0.25">
      <c r="B36" s="477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42558</v>
      </c>
      <c r="X36" s="41">
        <v>14.34</v>
      </c>
      <c r="Y36" s="41">
        <v>14.54</v>
      </c>
      <c r="Z36" s="41">
        <v>14.12</v>
      </c>
      <c r="AA36" s="41">
        <v>14.23</v>
      </c>
      <c r="AB36" s="104">
        <v>1888700</v>
      </c>
      <c r="AC36" s="9">
        <v>14.23</v>
      </c>
      <c r="AD36" s="2">
        <f t="shared" si="1"/>
        <v>0.41999999999999993</v>
      </c>
      <c r="AE36" s="138">
        <f t="shared" si="2"/>
        <v>-6.9783670621074156E-3</v>
      </c>
    </row>
    <row r="37" spans="2:41" x14ac:dyDescent="0.25">
      <c r="B37" s="477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3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42557</v>
      </c>
      <c r="X37" s="41">
        <v>14.28</v>
      </c>
      <c r="Y37" s="41">
        <v>14.47</v>
      </c>
      <c r="Z37" s="41">
        <v>14.17</v>
      </c>
      <c r="AA37" s="41">
        <v>14.33</v>
      </c>
      <c r="AB37" s="104">
        <v>3976500</v>
      </c>
      <c r="AC37" s="9">
        <v>14.33</v>
      </c>
      <c r="AD37" s="2">
        <f t="shared" si="1"/>
        <v>0.30000000000000071</v>
      </c>
      <c r="AE37" s="138">
        <f t="shared" si="2"/>
        <v>1.3976240391333494E-3</v>
      </c>
    </row>
    <row r="38" spans="2:41" x14ac:dyDescent="0.25">
      <c r="B38" s="477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42556</v>
      </c>
      <c r="X38" s="41">
        <v>14.61</v>
      </c>
      <c r="Y38" s="41">
        <v>14.61</v>
      </c>
      <c r="Z38" s="41">
        <v>14.1</v>
      </c>
      <c r="AA38" s="41">
        <v>14.31</v>
      </c>
      <c r="AB38" s="104">
        <v>3317600</v>
      </c>
      <c r="AC38" s="9">
        <v>14.31</v>
      </c>
      <c r="AD38" s="2">
        <f t="shared" si="1"/>
        <v>0.50999999999999979</v>
      </c>
      <c r="AE38" s="138">
        <f t="shared" si="2"/>
        <v>-2.7192386131883128E-2</v>
      </c>
    </row>
    <row r="39" spans="2:41" x14ac:dyDescent="0.25">
      <c r="B39" s="477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42552</v>
      </c>
      <c r="X39" s="41">
        <v>14.81</v>
      </c>
      <c r="Y39" s="41">
        <v>14.92</v>
      </c>
      <c r="Z39" s="41">
        <v>14.6</v>
      </c>
      <c r="AA39" s="41">
        <v>14.71</v>
      </c>
      <c r="AB39" s="104">
        <v>2653300</v>
      </c>
      <c r="AC39" s="9">
        <v>14.71</v>
      </c>
      <c r="AD39" s="2">
        <f t="shared" si="1"/>
        <v>0.32000000000000028</v>
      </c>
      <c r="AE39" s="138">
        <f t="shared" si="2"/>
        <v>-2.7118644067796183E-3</v>
      </c>
    </row>
    <row r="40" spans="2:41" x14ac:dyDescent="0.25">
      <c r="B40" s="477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42551</v>
      </c>
      <c r="X40" s="41">
        <v>14.58</v>
      </c>
      <c r="Y40" s="41">
        <v>14.79</v>
      </c>
      <c r="Z40" s="41">
        <v>14.35</v>
      </c>
      <c r="AA40" s="41">
        <v>14.75</v>
      </c>
      <c r="AB40" s="104">
        <v>2825100</v>
      </c>
      <c r="AC40" s="9">
        <v>14.75</v>
      </c>
      <c r="AD40" s="2">
        <f t="shared" si="1"/>
        <v>0.4399999999999995</v>
      </c>
      <c r="AE40" s="138">
        <f t="shared" si="2"/>
        <v>1.1659807956104329E-2</v>
      </c>
    </row>
    <row r="41" spans="2:41" x14ac:dyDescent="0.25">
      <c r="B41" s="477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0">
        <v>42361</v>
      </c>
      <c r="H41" s="185">
        <v>200</v>
      </c>
      <c r="I41" s="240">
        <v>12.77</v>
      </c>
      <c r="J41" s="3">
        <v>0</v>
      </c>
      <c r="K41" s="3">
        <f t="shared" si="6"/>
        <v>2554</v>
      </c>
      <c r="W41" s="123">
        <v>42550</v>
      </c>
      <c r="X41" s="41">
        <v>14.44</v>
      </c>
      <c r="Y41" s="41">
        <v>14.98</v>
      </c>
      <c r="Z41" s="41">
        <v>14.44</v>
      </c>
      <c r="AA41" s="41">
        <v>14.58</v>
      </c>
      <c r="AB41" s="104">
        <v>4448000</v>
      </c>
      <c r="AC41" s="9">
        <v>14.58</v>
      </c>
      <c r="AD41" s="2">
        <f t="shared" si="1"/>
        <v>0.54000000000000092</v>
      </c>
      <c r="AE41" s="138">
        <f t="shared" si="2"/>
        <v>2.5316455696202445E-2</v>
      </c>
      <c r="AL41" s="234"/>
      <c r="AO41" s="234"/>
    </row>
    <row r="42" spans="2:41" ht="20.25" thickBot="1" x14ac:dyDescent="0.35">
      <c r="B42" s="477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8" t="s">
        <v>78</v>
      </c>
      <c r="P42" s="378"/>
      <c r="T42" s="105" t="s">
        <v>92</v>
      </c>
      <c r="U42" s="109"/>
      <c r="W42" s="123">
        <v>42549</v>
      </c>
      <c r="X42" s="41">
        <v>13.52</v>
      </c>
      <c r="Y42" s="41">
        <v>14.28</v>
      </c>
      <c r="Z42" s="41">
        <v>13.52</v>
      </c>
      <c r="AA42" s="41">
        <v>14.22</v>
      </c>
      <c r="AB42" s="104">
        <v>4617200</v>
      </c>
      <c r="AC42" s="9">
        <v>14.22</v>
      </c>
      <c r="AD42" s="2">
        <f t="shared" si="1"/>
        <v>0.75999999999999979</v>
      </c>
      <c r="AE42" s="138">
        <f t="shared" si="2"/>
        <v>6.0402684563758413E-2</v>
      </c>
    </row>
    <row r="43" spans="2:41" ht="15.75" thickTop="1" x14ac:dyDescent="0.25">
      <c r="B43" s="477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13.706000000000001</v>
      </c>
      <c r="T43" s="108" t="s">
        <v>98</v>
      </c>
      <c r="U43" s="106">
        <v>12.57</v>
      </c>
      <c r="W43" s="123">
        <v>42548</v>
      </c>
      <c r="X43" s="41">
        <v>13.56</v>
      </c>
      <c r="Y43" s="41">
        <v>13.6</v>
      </c>
      <c r="Z43" s="41">
        <v>13.22</v>
      </c>
      <c r="AA43" s="41">
        <v>13.41</v>
      </c>
      <c r="AB43" s="104">
        <v>4363200</v>
      </c>
      <c r="AC43" s="9">
        <v>13.41</v>
      </c>
      <c r="AD43" s="2">
        <f t="shared" si="1"/>
        <v>0.37999999999999901</v>
      </c>
      <c r="AE43" s="138">
        <f t="shared" si="2"/>
        <v>-2.1167883211678729E-2</v>
      </c>
    </row>
    <row r="44" spans="2:41" x14ac:dyDescent="0.25">
      <c r="B44" s="477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13.581400000000002</v>
      </c>
      <c r="T44" s="108" t="s">
        <v>99</v>
      </c>
      <c r="U44" s="106">
        <v>12.54</v>
      </c>
      <c r="W44" s="123">
        <v>42545</v>
      </c>
      <c r="X44" s="41">
        <v>13.8</v>
      </c>
      <c r="Y44" s="41">
        <v>13.84</v>
      </c>
      <c r="Z44" s="41">
        <v>13.5</v>
      </c>
      <c r="AA44" s="41">
        <v>13.7</v>
      </c>
      <c r="AB44" s="104">
        <v>5813000</v>
      </c>
      <c r="AC44" s="9">
        <v>13.7</v>
      </c>
      <c r="AD44" s="2">
        <f t="shared" si="1"/>
        <v>0.33999999999999986</v>
      </c>
      <c r="AE44" s="138">
        <f t="shared" si="2"/>
        <v>-3.3850493653032498E-2</v>
      </c>
    </row>
    <row r="45" spans="2:41" x14ac:dyDescent="0.25">
      <c r="B45" s="477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13.456800000000001</v>
      </c>
      <c r="Q45" s="2"/>
      <c r="T45" s="108" t="s">
        <v>100</v>
      </c>
      <c r="U45" s="106" t="s">
        <v>429</v>
      </c>
      <c r="W45" s="123">
        <v>42544</v>
      </c>
      <c r="X45" s="41">
        <v>13.97</v>
      </c>
      <c r="Y45" s="41">
        <v>14.2</v>
      </c>
      <c r="Z45" s="41">
        <v>13.88</v>
      </c>
      <c r="AA45" s="41">
        <v>14.18</v>
      </c>
      <c r="AB45" s="104">
        <v>3124500</v>
      </c>
      <c r="AC45" s="9">
        <v>14.18</v>
      </c>
      <c r="AD45" s="2">
        <f t="shared" si="1"/>
        <v>0.31999999999999851</v>
      </c>
      <c r="AE45" s="138">
        <f t="shared" si="2"/>
        <v>2.8281363306744023E-2</v>
      </c>
      <c r="AL45" s="234"/>
      <c r="AO45" s="234"/>
    </row>
    <row r="46" spans="2:41" x14ac:dyDescent="0.25">
      <c r="B46" s="477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0">
        <v>42361</v>
      </c>
      <c r="H46" s="82"/>
      <c r="I46" s="79"/>
      <c r="J46" s="44"/>
      <c r="K46" s="44"/>
      <c r="O46" s="83">
        <v>1.07</v>
      </c>
      <c r="P46" s="83">
        <f t="shared" si="8"/>
        <v>13.332200000000002</v>
      </c>
      <c r="Q46" s="2"/>
      <c r="T46" s="108" t="s">
        <v>101</v>
      </c>
      <c r="U46" s="106" t="s">
        <v>430</v>
      </c>
      <c r="W46" s="123">
        <v>42543</v>
      </c>
      <c r="X46" s="41">
        <v>14.14</v>
      </c>
      <c r="Y46" s="41">
        <v>14.16</v>
      </c>
      <c r="Z46" s="41">
        <v>13.75</v>
      </c>
      <c r="AA46" s="41">
        <v>13.79</v>
      </c>
      <c r="AB46" s="104">
        <v>4122400</v>
      </c>
      <c r="AC46" s="9">
        <v>13.79</v>
      </c>
      <c r="AD46" s="2">
        <f t="shared" si="1"/>
        <v>0.41000000000000014</v>
      </c>
      <c r="AE46" s="138">
        <f t="shared" si="2"/>
        <v>-2.2678951098511702E-2</v>
      </c>
    </row>
    <row r="47" spans="2:41" x14ac:dyDescent="0.25">
      <c r="B47" s="54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13.207600000000001</v>
      </c>
      <c r="Q47" s="2"/>
      <c r="T47" s="108" t="s">
        <v>102</v>
      </c>
      <c r="U47" s="106">
        <v>17.8</v>
      </c>
      <c r="W47" s="123">
        <v>42542</v>
      </c>
      <c r="X47" s="41">
        <v>14.13</v>
      </c>
      <c r="Y47" s="41">
        <v>14.25</v>
      </c>
      <c r="Z47" s="41">
        <v>13.9</v>
      </c>
      <c r="AA47" s="41">
        <v>14.11</v>
      </c>
      <c r="AB47" s="104">
        <v>3132600</v>
      </c>
      <c r="AC47" s="9">
        <v>14.11</v>
      </c>
      <c r="AD47" s="2">
        <f t="shared" si="1"/>
        <v>0.34999999999999964</v>
      </c>
      <c r="AE47" s="138">
        <f t="shared" si="2"/>
        <v>-2.1216407355022504E-3</v>
      </c>
    </row>
    <row r="48" spans="2:41" x14ac:dyDescent="0.25">
      <c r="B48" s="54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7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13.083000000000002</v>
      </c>
      <c r="Q48" s="2"/>
      <c r="T48" s="108" t="s">
        <v>103</v>
      </c>
      <c r="U48" s="106">
        <v>1.1376599999999999</v>
      </c>
      <c r="W48" s="123">
        <v>42541</v>
      </c>
      <c r="X48" s="41">
        <v>14.26</v>
      </c>
      <c r="Y48" s="41">
        <v>14.69</v>
      </c>
      <c r="Z48" s="41">
        <v>14.09</v>
      </c>
      <c r="AA48" s="41">
        <v>14.14</v>
      </c>
      <c r="AB48" s="104">
        <v>4080200</v>
      </c>
      <c r="AC48" s="9">
        <v>14.14</v>
      </c>
      <c r="AD48" s="2">
        <f t="shared" si="1"/>
        <v>0.59999999999999964</v>
      </c>
      <c r="AE48" s="138">
        <f t="shared" si="2"/>
        <v>-7.0224719101122934E-3</v>
      </c>
    </row>
    <row r="49" spans="2:42" x14ac:dyDescent="0.25">
      <c r="B49" s="477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7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12.958400000000001</v>
      </c>
      <c r="Q49" s="2"/>
      <c r="T49" s="108" t="s">
        <v>123</v>
      </c>
      <c r="U49" s="106" t="s">
        <v>330</v>
      </c>
      <c r="W49" s="123">
        <v>42538</v>
      </c>
      <c r="X49" s="41">
        <v>13.81</v>
      </c>
      <c r="Y49" s="41">
        <v>14.26</v>
      </c>
      <c r="Z49" s="41">
        <v>13.76</v>
      </c>
      <c r="AA49" s="41">
        <v>14.24</v>
      </c>
      <c r="AB49" s="104">
        <v>3710400</v>
      </c>
      <c r="AC49" s="9">
        <v>14.24</v>
      </c>
      <c r="AD49" s="2">
        <f t="shared" si="1"/>
        <v>0.5</v>
      </c>
      <c r="AE49" s="138">
        <f t="shared" si="2"/>
        <v>3.5636363636363688E-2</v>
      </c>
    </row>
    <row r="50" spans="2:42" x14ac:dyDescent="0.25">
      <c r="B50" s="477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7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12.833800000000002</v>
      </c>
      <c r="Q50" s="2"/>
      <c r="T50" s="108"/>
      <c r="U50" s="106"/>
      <c r="W50" s="123">
        <v>42537</v>
      </c>
      <c r="X50" s="41">
        <v>13.37</v>
      </c>
      <c r="Y50" s="41">
        <v>13.86</v>
      </c>
      <c r="Z50" s="41">
        <v>13.32</v>
      </c>
      <c r="AA50" s="41">
        <v>13.75</v>
      </c>
      <c r="AB50" s="104">
        <v>3775800</v>
      </c>
      <c r="AC50" s="9">
        <v>13.75</v>
      </c>
      <c r="AD50" s="2">
        <f t="shared" si="1"/>
        <v>0.53999999999999915</v>
      </c>
      <c r="AE50" s="138">
        <f t="shared" si="2"/>
        <v>1.4011799410029502E-2</v>
      </c>
    </row>
    <row r="51" spans="2:42" x14ac:dyDescent="0.25">
      <c r="B51" s="477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7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12.709200000000001</v>
      </c>
      <c r="Q51" s="2"/>
      <c r="T51" s="108" t="s">
        <v>105</v>
      </c>
      <c r="U51" s="106" t="s">
        <v>431</v>
      </c>
      <c r="W51" s="123">
        <v>42536</v>
      </c>
      <c r="X51" s="41">
        <v>13.81</v>
      </c>
      <c r="Y51" s="41">
        <v>13.96</v>
      </c>
      <c r="Z51" s="41">
        <v>13.53</v>
      </c>
      <c r="AA51" s="41">
        <v>13.56</v>
      </c>
      <c r="AB51" s="104">
        <v>3352400</v>
      </c>
      <c r="AC51" s="9">
        <v>13.56</v>
      </c>
      <c r="AD51" s="2">
        <f t="shared" si="1"/>
        <v>0.43000000000000149</v>
      </c>
      <c r="AE51" s="138">
        <f t="shared" si="2"/>
        <v>-2.3054755043227737E-2</v>
      </c>
    </row>
    <row r="52" spans="2:42" x14ac:dyDescent="0.25">
      <c r="B52" s="477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7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12.584600000000002</v>
      </c>
      <c r="Q52" s="2"/>
      <c r="T52" s="108" t="s">
        <v>106</v>
      </c>
      <c r="U52" s="106" t="s">
        <v>415</v>
      </c>
      <c r="W52" s="123">
        <v>42535</v>
      </c>
      <c r="X52" s="41">
        <v>14.24</v>
      </c>
      <c r="Y52" s="41">
        <v>14.37</v>
      </c>
      <c r="Z52" s="41">
        <v>13.62</v>
      </c>
      <c r="AA52" s="41">
        <v>13.88</v>
      </c>
      <c r="AB52" s="104">
        <v>7535700</v>
      </c>
      <c r="AC52" s="9">
        <v>13.88</v>
      </c>
      <c r="AD52" s="2">
        <f t="shared" si="1"/>
        <v>0.75</v>
      </c>
      <c r="AE52" s="138">
        <f t="shared" si="2"/>
        <v>-2.5964912280701746E-2</v>
      </c>
    </row>
    <row r="53" spans="2:42" x14ac:dyDescent="0.25">
      <c r="B53" s="477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7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12.46</v>
      </c>
      <c r="Q53" s="2"/>
      <c r="T53" s="108" t="s">
        <v>107</v>
      </c>
      <c r="U53" s="107">
        <v>3347971</v>
      </c>
      <c r="W53" s="123">
        <v>42534</v>
      </c>
      <c r="X53" s="41">
        <v>14.34</v>
      </c>
      <c r="Y53" s="41">
        <v>14.58</v>
      </c>
      <c r="Z53" s="41">
        <v>14.13</v>
      </c>
      <c r="AA53" s="41">
        <v>14.25</v>
      </c>
      <c r="AB53" s="104">
        <v>6731700</v>
      </c>
      <c r="AC53" s="9">
        <v>14.25</v>
      </c>
      <c r="AD53" s="2">
        <f t="shared" si="1"/>
        <v>0.44999999999999929</v>
      </c>
      <c r="AE53" s="138">
        <f t="shared" si="2"/>
        <v>-1.7918676774638209E-2</v>
      </c>
      <c r="AL53" s="234"/>
      <c r="AO53" s="234"/>
    </row>
    <row r="54" spans="2:42" x14ac:dyDescent="0.25">
      <c r="B54" s="477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7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12.3354</v>
      </c>
      <c r="Q54" s="2"/>
      <c r="T54" s="108" t="s">
        <v>110</v>
      </c>
      <c r="U54" s="107">
        <v>3806600</v>
      </c>
      <c r="W54" s="123">
        <v>42531</v>
      </c>
      <c r="X54" s="41">
        <v>15.28</v>
      </c>
      <c r="Y54" s="41">
        <v>15.38</v>
      </c>
      <c r="Z54" s="41">
        <v>14.48</v>
      </c>
      <c r="AA54" s="41">
        <v>14.51</v>
      </c>
      <c r="AB54" s="104">
        <v>6048400</v>
      </c>
      <c r="AC54" s="9">
        <v>14.51</v>
      </c>
      <c r="AD54" s="2">
        <f t="shared" si="1"/>
        <v>0.90000000000000036</v>
      </c>
      <c r="AE54" s="138">
        <f t="shared" si="2"/>
        <v>-6.9871794871794846E-2</v>
      </c>
    </row>
    <row r="55" spans="2:42" x14ac:dyDescent="0.25">
      <c r="B55" s="477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7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12.210800000000001</v>
      </c>
      <c r="T55" s="108" t="s">
        <v>108</v>
      </c>
      <c r="U55" s="106" t="s">
        <v>432</v>
      </c>
      <c r="W55" s="123">
        <v>42530</v>
      </c>
      <c r="X55" s="41">
        <v>15.63</v>
      </c>
      <c r="Y55" s="41">
        <v>15.73</v>
      </c>
      <c r="Z55" s="41">
        <v>15.43</v>
      </c>
      <c r="AA55" s="41">
        <v>15.6</v>
      </c>
      <c r="AB55" s="104">
        <v>2905600</v>
      </c>
      <c r="AC55" s="9">
        <v>15.6</v>
      </c>
      <c r="AD55" s="2">
        <f t="shared" si="1"/>
        <v>0.30000000000000071</v>
      </c>
      <c r="AE55" s="138">
        <f t="shared" si="2"/>
        <v>-1.5772870662460581E-2</v>
      </c>
    </row>
    <row r="56" spans="2:42" x14ac:dyDescent="0.25">
      <c r="B56" s="477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7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12.0862</v>
      </c>
      <c r="T56" s="108" t="s">
        <v>111</v>
      </c>
      <c r="U56" s="106" t="s">
        <v>130</v>
      </c>
      <c r="W56" s="123">
        <v>42529</v>
      </c>
      <c r="X56" s="41">
        <v>15.98</v>
      </c>
      <c r="Y56" s="41">
        <v>16.07</v>
      </c>
      <c r="Z56" s="41">
        <v>15.83</v>
      </c>
      <c r="AA56" s="41">
        <v>15.85</v>
      </c>
      <c r="AB56" s="104">
        <v>2208300</v>
      </c>
      <c r="AC56" s="9">
        <v>15.85</v>
      </c>
      <c r="AD56" s="2">
        <f t="shared" si="1"/>
        <v>0.24000000000000021</v>
      </c>
      <c r="AE56" s="138">
        <f t="shared" si="2"/>
        <v>-6.3051702395966469E-4</v>
      </c>
    </row>
    <row r="57" spans="2:42" x14ac:dyDescent="0.25">
      <c r="B57" s="477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7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11.961600000000001</v>
      </c>
      <c r="T57" s="108" t="s">
        <v>112</v>
      </c>
      <c r="U57" s="106">
        <v>0</v>
      </c>
      <c r="W57" s="123">
        <v>42528</v>
      </c>
      <c r="X57" s="41">
        <v>15.96</v>
      </c>
      <c r="Y57" s="41">
        <v>16.04</v>
      </c>
      <c r="Z57" s="41">
        <v>15.73</v>
      </c>
      <c r="AA57" s="41">
        <v>15.86</v>
      </c>
      <c r="AB57" s="104">
        <v>2230500</v>
      </c>
      <c r="AC57" s="9">
        <v>15.86</v>
      </c>
      <c r="AD57" s="2">
        <f t="shared" si="1"/>
        <v>0.30999999999999872</v>
      </c>
      <c r="AE57" s="138">
        <f t="shared" si="2"/>
        <v>-8.7500000000000355E-3</v>
      </c>
      <c r="AL57" s="234"/>
      <c r="AO57" s="234"/>
    </row>
    <row r="58" spans="2:42" x14ac:dyDescent="0.25">
      <c r="B58" s="477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7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11.837</v>
      </c>
      <c r="T58" s="108" t="s">
        <v>109</v>
      </c>
      <c r="U58" s="106" t="s">
        <v>124</v>
      </c>
      <c r="W58" s="123">
        <v>42527</v>
      </c>
      <c r="X58" s="41">
        <v>15.44</v>
      </c>
      <c r="Y58" s="41">
        <v>16.03</v>
      </c>
      <c r="Z58" s="41">
        <v>15.39</v>
      </c>
      <c r="AA58" s="41">
        <v>16</v>
      </c>
      <c r="AB58" s="104">
        <v>5231600</v>
      </c>
      <c r="AC58" s="9">
        <v>16</v>
      </c>
      <c r="AD58" s="2">
        <f t="shared" si="1"/>
        <v>0.64000000000000057</v>
      </c>
      <c r="AE58" s="138">
        <f t="shared" si="2"/>
        <v>4.5751633986928164E-2</v>
      </c>
    </row>
    <row r="59" spans="2:42" x14ac:dyDescent="0.25">
      <c r="B59" s="477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6"/>
      <c r="H59" s="7"/>
      <c r="I59" s="79"/>
      <c r="J59" s="44"/>
      <c r="K59" s="44"/>
      <c r="O59" s="83">
        <v>0.94</v>
      </c>
      <c r="P59" s="83">
        <f t="shared" si="8"/>
        <v>11.712400000000001</v>
      </c>
      <c r="W59" s="123">
        <v>42524</v>
      </c>
      <c r="X59" s="41">
        <v>15.41</v>
      </c>
      <c r="Y59" s="41">
        <v>15.46</v>
      </c>
      <c r="Z59" s="41">
        <v>14.97</v>
      </c>
      <c r="AA59" s="41">
        <v>15.3</v>
      </c>
      <c r="AB59" s="104">
        <v>2280200</v>
      </c>
      <c r="AC59" s="9">
        <v>15.3</v>
      </c>
      <c r="AD59" s="2">
        <f t="shared" si="1"/>
        <v>0.49000000000000021</v>
      </c>
      <c r="AE59" s="138">
        <f t="shared" si="2"/>
        <v>7.2416063199474134E-3</v>
      </c>
      <c r="AL59" s="234"/>
    </row>
    <row r="60" spans="2:42" x14ac:dyDescent="0.25">
      <c r="B60" s="1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7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11.587800000000001</v>
      </c>
      <c r="W60" s="123">
        <v>42523</v>
      </c>
      <c r="X60" s="41">
        <v>15.06</v>
      </c>
      <c r="Y60" s="41">
        <v>15.42</v>
      </c>
      <c r="Z60" s="41">
        <v>15.04</v>
      </c>
      <c r="AA60" s="41">
        <v>15.19</v>
      </c>
      <c r="AB60" s="104">
        <v>2293400</v>
      </c>
      <c r="AC60" s="9">
        <v>15.19</v>
      </c>
      <c r="AD60" s="2">
        <f t="shared" si="1"/>
        <v>0.38000000000000078</v>
      </c>
      <c r="AE60" s="138">
        <f t="shared" si="2"/>
        <v>7.2944297082226939E-3</v>
      </c>
    </row>
    <row r="61" spans="2:42" x14ac:dyDescent="0.25">
      <c r="B61" s="74">
        <v>42535</v>
      </c>
      <c r="C61" s="7">
        <v>480</v>
      </c>
      <c r="D61" s="79">
        <v>13.95</v>
      </c>
      <c r="E61" s="44">
        <v>0</v>
      </c>
      <c r="F61" s="44">
        <f t="shared" ref="F61:F74" si="10">C61*D61+E61</f>
        <v>6696</v>
      </c>
      <c r="G61" s="477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11.463200000000001</v>
      </c>
      <c r="W61" s="123">
        <v>42522</v>
      </c>
      <c r="X61" s="41">
        <v>14.76</v>
      </c>
      <c r="Y61" s="41">
        <v>15.11</v>
      </c>
      <c r="Z61" s="41">
        <v>14.55</v>
      </c>
      <c r="AA61" s="41">
        <v>15.08</v>
      </c>
      <c r="AB61" s="104">
        <v>3729100</v>
      </c>
      <c r="AC61" s="9">
        <v>15.08</v>
      </c>
      <c r="AD61" s="2">
        <f t="shared" si="1"/>
        <v>0.55999999999999872</v>
      </c>
      <c r="AE61" s="138">
        <f t="shared" si="2"/>
        <v>1.8918918918918948E-2</v>
      </c>
      <c r="AL61" s="234"/>
      <c r="AO61" s="234"/>
    </row>
    <row r="62" spans="2:42" x14ac:dyDescent="0.25">
      <c r="B62" s="477">
        <v>42543</v>
      </c>
      <c r="C62" s="7">
        <v>480</v>
      </c>
      <c r="D62" s="79">
        <v>13.88</v>
      </c>
      <c r="E62" s="44">
        <v>0</v>
      </c>
      <c r="F62" s="44">
        <f t="shared" si="10"/>
        <v>6662.4000000000005</v>
      </c>
      <c r="G62" s="477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11.338600000000001</v>
      </c>
      <c r="W62" s="123">
        <v>42521</v>
      </c>
      <c r="X62" s="41">
        <v>14.76</v>
      </c>
      <c r="Y62" s="41">
        <v>14.94</v>
      </c>
      <c r="Z62" s="41">
        <v>14.64</v>
      </c>
      <c r="AA62" s="41">
        <v>14.8</v>
      </c>
      <c r="AB62" s="104">
        <v>2692000</v>
      </c>
      <c r="AC62" s="9">
        <v>14.8</v>
      </c>
      <c r="AD62" s="2">
        <f t="shared" si="1"/>
        <v>0.29999999999999893</v>
      </c>
      <c r="AE62" s="138">
        <f t="shared" si="2"/>
        <v>4.070556309362372E-3</v>
      </c>
    </row>
    <row r="63" spans="2:42" x14ac:dyDescent="0.25">
      <c r="B63" s="477">
        <v>42545</v>
      </c>
      <c r="C63" s="7">
        <v>480</v>
      </c>
      <c r="D63" s="79">
        <v>13.65</v>
      </c>
      <c r="E63" s="44">
        <v>-0.05</v>
      </c>
      <c r="F63" s="44">
        <f t="shared" si="10"/>
        <v>6551.95</v>
      </c>
      <c r="G63" s="477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11.214</v>
      </c>
      <c r="W63" s="123">
        <v>42517</v>
      </c>
      <c r="X63" s="41">
        <v>14.51</v>
      </c>
      <c r="Y63" s="41">
        <v>14.8</v>
      </c>
      <c r="Z63" s="41">
        <v>14.45</v>
      </c>
      <c r="AA63" s="41">
        <v>14.74</v>
      </c>
      <c r="AB63" s="104">
        <v>2814300</v>
      </c>
      <c r="AC63" s="9">
        <v>14.74</v>
      </c>
      <c r="AD63" s="2">
        <f t="shared" si="1"/>
        <v>0.35000000000000142</v>
      </c>
      <c r="AE63" s="138">
        <f t="shared" si="2"/>
        <v>1.5151515151515138E-2</v>
      </c>
      <c r="AL63" s="234"/>
      <c r="AO63" s="234"/>
      <c r="AP63" s="234"/>
    </row>
    <row r="64" spans="2:42" ht="15" customHeight="1" x14ac:dyDescent="0.25">
      <c r="B64" s="477">
        <v>42556</v>
      </c>
      <c r="C64" s="7">
        <v>480</v>
      </c>
      <c r="D64" s="79">
        <v>14.18</v>
      </c>
      <c r="E64" s="44">
        <v>0</v>
      </c>
      <c r="F64" s="44">
        <f t="shared" si="10"/>
        <v>6806.4</v>
      </c>
      <c r="G64" s="477">
        <v>42605</v>
      </c>
      <c r="H64" s="82">
        <v>500</v>
      </c>
      <c r="I64" s="79">
        <v>12.72</v>
      </c>
      <c r="J64" s="44">
        <v>0.14000000000000001</v>
      </c>
      <c r="K64" s="44">
        <f>H64*I64-J64</f>
        <v>6359.86</v>
      </c>
      <c r="W64" s="123">
        <v>42516</v>
      </c>
      <c r="X64" s="41">
        <v>14.55</v>
      </c>
      <c r="Y64" s="41">
        <v>14.78</v>
      </c>
      <c r="Z64" s="41">
        <v>14.46</v>
      </c>
      <c r="AA64" s="41">
        <v>14.52</v>
      </c>
      <c r="AB64" s="104">
        <v>2104300</v>
      </c>
      <c r="AC64" s="9">
        <v>14.52</v>
      </c>
      <c r="AD64" s="2">
        <f t="shared" si="1"/>
        <v>0.31999999999999851</v>
      </c>
      <c r="AE64" s="138">
        <f t="shared" si="2"/>
        <v>6.8917987594763197E-4</v>
      </c>
    </row>
    <row r="65" spans="1:41" ht="17.25" customHeight="1" x14ac:dyDescent="0.25">
      <c r="A65" s="533" t="s">
        <v>326</v>
      </c>
      <c r="B65" s="1">
        <v>42578</v>
      </c>
      <c r="C65" s="7">
        <v>200</v>
      </c>
      <c r="D65" s="79">
        <v>14.05</v>
      </c>
      <c r="E65" s="44">
        <v>0</v>
      </c>
      <c r="F65" s="44">
        <f t="shared" si="10"/>
        <v>2810</v>
      </c>
      <c r="H65" s="185"/>
      <c r="I65" s="240"/>
      <c r="J65" s="3"/>
      <c r="K65" s="3"/>
      <c r="W65" s="123">
        <v>42515</v>
      </c>
      <c r="X65" s="41">
        <v>14.46</v>
      </c>
      <c r="Y65" s="41">
        <v>14.78</v>
      </c>
      <c r="Z65" s="41">
        <v>14.25</v>
      </c>
      <c r="AA65" s="41">
        <v>14.51</v>
      </c>
      <c r="AB65" s="104">
        <v>5134600</v>
      </c>
      <c r="AC65" s="9">
        <v>14.51</v>
      </c>
      <c r="AD65" s="2">
        <f t="shared" si="1"/>
        <v>0.52999999999999936</v>
      </c>
      <c r="AE65" s="138">
        <f t="shared" si="2"/>
        <v>-2.9431438127090259E-2</v>
      </c>
      <c r="AL65" s="234"/>
      <c r="AO65" s="234"/>
    </row>
    <row r="66" spans="1:41" x14ac:dyDescent="0.25">
      <c r="A66" s="533"/>
      <c r="B66" s="1">
        <v>42580</v>
      </c>
      <c r="C66" s="7">
        <v>500</v>
      </c>
      <c r="D66" s="79">
        <v>13.55</v>
      </c>
      <c r="E66" s="44">
        <v>0</v>
      </c>
      <c r="F66" s="44">
        <f t="shared" si="10"/>
        <v>6775</v>
      </c>
      <c r="W66" s="123">
        <v>42514</v>
      </c>
      <c r="X66" s="41">
        <v>14.91</v>
      </c>
      <c r="Y66" s="41">
        <v>15.07</v>
      </c>
      <c r="Z66" s="41">
        <v>14.74</v>
      </c>
      <c r="AA66" s="41">
        <v>14.95</v>
      </c>
      <c r="AB66" s="104">
        <v>2564800</v>
      </c>
      <c r="AC66" s="9">
        <v>14.95</v>
      </c>
      <c r="AD66" s="2">
        <f t="shared" si="1"/>
        <v>0.33000000000000007</v>
      </c>
      <c r="AE66" s="138">
        <f t="shared" si="2"/>
        <v>8.0917060013485642E-3</v>
      </c>
    </row>
    <row r="67" spans="1:41" ht="17.25" customHeight="1" x14ac:dyDescent="0.25">
      <c r="A67" s="533"/>
      <c r="B67" s="1">
        <v>42580</v>
      </c>
      <c r="C67" s="7">
        <v>300</v>
      </c>
      <c r="D67" s="79">
        <v>13.28</v>
      </c>
      <c r="E67" s="44">
        <v>0</v>
      </c>
      <c r="F67" s="44">
        <f t="shared" si="10"/>
        <v>3984</v>
      </c>
      <c r="W67" s="123">
        <v>42513</v>
      </c>
      <c r="X67" s="41">
        <v>14.93</v>
      </c>
      <c r="Y67" s="41">
        <v>15.01</v>
      </c>
      <c r="Z67" s="41">
        <v>14.68</v>
      </c>
      <c r="AA67" s="41">
        <v>14.83</v>
      </c>
      <c r="AB67" s="104">
        <v>2851500</v>
      </c>
      <c r="AC67" s="9">
        <v>14.83</v>
      </c>
      <c r="AD67" s="2">
        <f>Y67-Z67</f>
        <v>0.33000000000000007</v>
      </c>
      <c r="AE67" s="138" t="e">
        <f>AC67/AC68-1</f>
        <v>#DIV/0!</v>
      </c>
      <c r="AL67" s="234"/>
    </row>
    <row r="68" spans="1:41" ht="18" customHeight="1" x14ac:dyDescent="0.25">
      <c r="A68" s="548" t="s">
        <v>383</v>
      </c>
      <c r="B68" s="1">
        <v>42586</v>
      </c>
      <c r="C68" s="7">
        <v>500</v>
      </c>
      <c r="D68" s="79">
        <v>13.1</v>
      </c>
      <c r="E68" s="44">
        <v>0</v>
      </c>
      <c r="F68" s="44">
        <f t="shared" si="10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8"/>
      <c r="B69" s="1">
        <v>42590</v>
      </c>
      <c r="C69" s="7">
        <v>500</v>
      </c>
      <c r="D69" s="79">
        <v>13.05</v>
      </c>
      <c r="E69" s="44">
        <v>0</v>
      </c>
      <c r="F69" s="44">
        <f t="shared" si="10"/>
        <v>6525</v>
      </c>
      <c r="O69" s="2"/>
    </row>
    <row r="70" spans="1:41" x14ac:dyDescent="0.25">
      <c r="A70" s="548"/>
      <c r="B70" s="1">
        <v>42591</v>
      </c>
      <c r="C70" s="7">
        <v>200</v>
      </c>
      <c r="D70" s="79">
        <v>12.76</v>
      </c>
      <c r="E70" s="44">
        <v>0</v>
      </c>
      <c r="F70" s="44">
        <f t="shared" si="10"/>
        <v>2552</v>
      </c>
    </row>
    <row r="71" spans="1:41" x14ac:dyDescent="0.25">
      <c r="A71" s="548"/>
      <c r="B71" s="1">
        <v>42591</v>
      </c>
      <c r="C71" s="7">
        <v>300</v>
      </c>
      <c r="D71" s="79">
        <v>12.62</v>
      </c>
      <c r="E71" s="44">
        <v>0</v>
      </c>
      <c r="F71" s="44">
        <f t="shared" si="10"/>
        <v>3785.9999999999995</v>
      </c>
    </row>
    <row r="72" spans="1:41" ht="15" customHeight="1" x14ac:dyDescent="0.25">
      <c r="A72" s="548"/>
      <c r="B72" s="1">
        <v>42601</v>
      </c>
      <c r="C72" s="7">
        <v>500</v>
      </c>
      <c r="D72" s="79">
        <v>12.28</v>
      </c>
      <c r="E72" s="44">
        <v>0</v>
      </c>
      <c r="F72" s="44">
        <f t="shared" si="10"/>
        <v>6140</v>
      </c>
    </row>
    <row r="73" spans="1:41" x14ac:dyDescent="0.25">
      <c r="A73" s="548"/>
      <c r="B73" s="1">
        <v>42604</v>
      </c>
      <c r="C73" s="7">
        <v>500</v>
      </c>
      <c r="D73" s="79">
        <v>12.08</v>
      </c>
      <c r="E73" s="44">
        <v>0</v>
      </c>
      <c r="F73" s="44">
        <f t="shared" si="10"/>
        <v>6040</v>
      </c>
    </row>
    <row r="74" spans="1:41" x14ac:dyDescent="0.25">
      <c r="B74" s="1">
        <v>42605</v>
      </c>
      <c r="C74" s="7">
        <v>500</v>
      </c>
      <c r="D74" s="79">
        <v>12.55</v>
      </c>
      <c r="E74" s="44">
        <v>0</v>
      </c>
      <c r="F74" s="44">
        <f t="shared" si="10"/>
        <v>6275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31505</v>
      </c>
      <c r="D80" s="81"/>
      <c r="E80" s="14"/>
      <c r="F80" s="18">
        <f>SUM(F2:F79)</f>
        <v>466051.52000000008</v>
      </c>
      <c r="G80" s="14"/>
      <c r="H80" s="14">
        <f>SUM(H2:H79)</f>
        <v>27005</v>
      </c>
      <c r="I80" s="81"/>
      <c r="J80" s="14"/>
      <c r="K80" s="18">
        <f>SUM(K2:K79)</f>
        <v>383838.18000000005</v>
      </c>
      <c r="L80" s="14"/>
      <c r="M80" s="14"/>
    </row>
    <row r="81" spans="1:13" ht="15.75" thickBot="1" x14ac:dyDescent="0.3">
      <c r="A81" s="360" t="s">
        <v>204</v>
      </c>
      <c r="B81" s="361"/>
      <c r="C81" s="362">
        <f>SumByColor($A$81,C2:C79)</f>
        <v>26805</v>
      </c>
      <c r="D81" s="362"/>
      <c r="E81" s="362"/>
      <c r="F81" s="363">
        <f>SumByColor($A$81,F2:F79)</f>
        <v>380777</v>
      </c>
      <c r="G81" s="362"/>
      <c r="H81" s="362">
        <f>SumByColor($A$81,H2:H79)</f>
        <v>26805</v>
      </c>
      <c r="I81" s="362"/>
      <c r="J81" s="362"/>
      <c r="K81" s="363">
        <f>SumByColor($A$81,K2:K79)</f>
        <v>381285</v>
      </c>
      <c r="L81" s="362"/>
      <c r="M81" s="363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1">C87*(E87-D87)</f>
        <v>-13659.100000000004</v>
      </c>
      <c r="G87" s="40">
        <f t="shared" ref="G87:G128" si="12">IF(C87=0, 0,D87*C87)</f>
        <v>96277.3</v>
      </c>
      <c r="H87" s="232">
        <f t="shared" ref="H87:H128" si="13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1"/>
        <v>-10428.599999999991</v>
      </c>
      <c r="G88" s="40">
        <f t="shared" si="12"/>
        <v>99300.9</v>
      </c>
      <c r="H88" s="232">
        <f t="shared" si="13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1"/>
        <v>-14039.999999999989</v>
      </c>
      <c r="G89" s="40">
        <f t="shared" si="12"/>
        <v>103320</v>
      </c>
      <c r="H89" s="232">
        <f t="shared" si="13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1"/>
        <v>-16884.459999999988</v>
      </c>
      <c r="G90" s="40">
        <f t="shared" si="12"/>
        <v>117910.97999999998</v>
      </c>
      <c r="H90" s="232">
        <f t="shared" si="13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1"/>
        <v>-13559.999999999998</v>
      </c>
      <c r="G91" s="40">
        <f t="shared" si="12"/>
        <v>103080</v>
      </c>
      <c r="H91" s="232">
        <f t="shared" si="13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1"/>
        <v>-16869.999999999989</v>
      </c>
      <c r="G92" s="40">
        <f t="shared" si="12"/>
        <v>117530</v>
      </c>
      <c r="H92" s="232">
        <f t="shared" si="13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1"/>
        <v>-15059.999999999998</v>
      </c>
      <c r="G93" s="40">
        <f t="shared" si="12"/>
        <v>102960</v>
      </c>
      <c r="H93" s="232">
        <f t="shared" si="13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1"/>
        <v>-16103.999999999993</v>
      </c>
      <c r="G94" s="40">
        <f t="shared" si="12"/>
        <v>104371</v>
      </c>
      <c r="H94" s="232">
        <f t="shared" si="13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1"/>
        <v>-16099.999999999993</v>
      </c>
      <c r="G95" s="40">
        <f t="shared" si="12"/>
        <v>117390</v>
      </c>
      <c r="H95" s="232">
        <f t="shared" si="13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1"/>
        <v>-13920.000000000013</v>
      </c>
      <c r="G96" s="40">
        <f t="shared" si="12"/>
        <v>102600.00000000001</v>
      </c>
      <c r="H96" s="232">
        <f t="shared" si="13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1"/>
        <v>-13924.000000000007</v>
      </c>
      <c r="G97" s="40">
        <f t="shared" si="12"/>
        <v>101126</v>
      </c>
      <c r="H97" s="232">
        <f t="shared" si="13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1"/>
        <v>-19390.000000000011</v>
      </c>
      <c r="G98" s="40">
        <f t="shared" si="12"/>
        <v>116690.00000000001</v>
      </c>
      <c r="H98" s="232">
        <f t="shared" si="13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1"/>
        <v>-19575.000000000007</v>
      </c>
      <c r="G99" s="40">
        <f t="shared" si="12"/>
        <v>123825.00000000001</v>
      </c>
      <c r="H99" s="232">
        <f t="shared" si="13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1"/>
        <v>-25200.000000000007</v>
      </c>
      <c r="G100" s="40">
        <f t="shared" si="12"/>
        <v>123825.00000000001</v>
      </c>
      <c r="H100" s="232">
        <f t="shared" si="13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1"/>
        <v>-30320.000000000007</v>
      </c>
      <c r="G101" s="40">
        <f t="shared" si="12"/>
        <v>130080.00000000001</v>
      </c>
      <c r="H101" s="232">
        <f t="shared" si="13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1"/>
        <v>-29325.000000000015</v>
      </c>
      <c r="G102" s="40">
        <f t="shared" si="12"/>
        <v>123825.00000000001</v>
      </c>
      <c r="H102" s="232">
        <f t="shared" si="13"/>
        <v>-0.23682616596002432</v>
      </c>
      <c r="I102" s="200"/>
    </row>
    <row r="103" spans="2:9" x14ac:dyDescent="0.25">
      <c r="B103" s="193">
        <v>42356</v>
      </c>
      <c r="C103" s="448">
        <v>4500</v>
      </c>
      <c r="D103" s="532">
        <v>19.079999999999998</v>
      </c>
      <c r="E103" s="40">
        <v>12.88</v>
      </c>
      <c r="F103" s="40">
        <f t="shared" si="11"/>
        <v>-27899.999999999989</v>
      </c>
      <c r="G103" s="40">
        <f t="shared" si="12"/>
        <v>85859.999999999985</v>
      </c>
      <c r="H103" s="232">
        <f t="shared" si="13"/>
        <v>-0.32494758909853239</v>
      </c>
      <c r="I103" s="200"/>
    </row>
    <row r="104" spans="2:9" x14ac:dyDescent="0.25">
      <c r="B104" s="193">
        <v>42397</v>
      </c>
      <c r="C104" s="430">
        <v>2000</v>
      </c>
      <c r="D104" s="212">
        <v>26.06</v>
      </c>
      <c r="E104" s="40">
        <v>15.27</v>
      </c>
      <c r="F104" s="40">
        <f t="shared" si="11"/>
        <v>-21580</v>
      </c>
      <c r="G104" s="40">
        <f t="shared" si="12"/>
        <v>52120</v>
      </c>
      <c r="H104" s="232">
        <f t="shared" si="13"/>
        <v>-0.41404451266308517</v>
      </c>
      <c r="I104" s="200"/>
    </row>
    <row r="105" spans="2:9" x14ac:dyDescent="0.25">
      <c r="B105" s="193">
        <v>42398</v>
      </c>
      <c r="C105" s="283">
        <v>1800</v>
      </c>
      <c r="D105" s="284">
        <v>27.26</v>
      </c>
      <c r="E105" s="40">
        <v>15.27</v>
      </c>
      <c r="F105" s="40">
        <f t="shared" si="11"/>
        <v>-21582.000000000004</v>
      </c>
      <c r="G105" s="40">
        <f t="shared" si="12"/>
        <v>49068</v>
      </c>
      <c r="H105" s="232">
        <f t="shared" si="13"/>
        <v>-0.43983859134262659</v>
      </c>
      <c r="I105" s="200"/>
    </row>
    <row r="106" spans="2:9" x14ac:dyDescent="0.25">
      <c r="B106" s="193">
        <v>42402</v>
      </c>
      <c r="C106" s="283">
        <v>2000</v>
      </c>
      <c r="D106" s="284">
        <v>26</v>
      </c>
      <c r="E106" s="40">
        <v>15.18</v>
      </c>
      <c r="F106" s="40">
        <f t="shared" si="11"/>
        <v>-21640</v>
      </c>
      <c r="G106" s="40">
        <f t="shared" si="12"/>
        <v>52000</v>
      </c>
      <c r="H106" s="232">
        <f t="shared" si="13"/>
        <v>-0.41615384615384615</v>
      </c>
      <c r="I106" s="200"/>
    </row>
    <row r="107" spans="2:9" x14ac:dyDescent="0.25">
      <c r="B107" s="193">
        <v>42412</v>
      </c>
      <c r="C107" s="283">
        <v>2200</v>
      </c>
      <c r="D107" s="284">
        <v>24.75</v>
      </c>
      <c r="E107" s="40">
        <v>12.35</v>
      </c>
      <c r="F107" s="40">
        <f t="shared" si="11"/>
        <v>-27280</v>
      </c>
      <c r="G107" s="40">
        <f t="shared" si="12"/>
        <v>54450</v>
      </c>
      <c r="H107" s="232">
        <f t="shared" si="13"/>
        <v>-0.50101010101010102</v>
      </c>
      <c r="I107" s="200"/>
    </row>
    <row r="108" spans="2:9" x14ac:dyDescent="0.25">
      <c r="B108" s="193">
        <v>42416</v>
      </c>
      <c r="C108" s="283">
        <v>2000</v>
      </c>
      <c r="D108" s="284">
        <v>25.96</v>
      </c>
      <c r="E108" s="40">
        <v>12.35</v>
      </c>
      <c r="F108" s="40">
        <f t="shared" si="11"/>
        <v>-27220.000000000004</v>
      </c>
      <c r="G108" s="40">
        <f t="shared" si="12"/>
        <v>51920</v>
      </c>
      <c r="H108" s="232">
        <f t="shared" si="13"/>
        <v>-0.52426810477657937</v>
      </c>
      <c r="I108" s="200"/>
    </row>
    <row r="109" spans="2:9" x14ac:dyDescent="0.25">
      <c r="B109" s="193">
        <v>42416</v>
      </c>
      <c r="C109" s="283">
        <v>1750</v>
      </c>
      <c r="D109" s="284">
        <v>27.81</v>
      </c>
      <c r="E109" s="40">
        <v>12.89</v>
      </c>
      <c r="F109" s="40">
        <f t="shared" si="11"/>
        <v>-26109.999999999996</v>
      </c>
      <c r="G109" s="40">
        <f t="shared" si="12"/>
        <v>48667.5</v>
      </c>
      <c r="H109" s="232">
        <f t="shared" si="13"/>
        <v>-0.53649766271125487</v>
      </c>
      <c r="I109" s="200"/>
    </row>
    <row r="110" spans="2:9" x14ac:dyDescent="0.25">
      <c r="B110" s="193">
        <v>42416</v>
      </c>
      <c r="C110" s="283">
        <v>2000</v>
      </c>
      <c r="D110" s="284">
        <v>25.948</v>
      </c>
      <c r="E110" s="40">
        <v>12.94</v>
      </c>
      <c r="F110" s="40">
        <f t="shared" si="11"/>
        <v>-26016</v>
      </c>
      <c r="G110" s="40">
        <f t="shared" si="12"/>
        <v>51896</v>
      </c>
      <c r="H110" s="232">
        <f t="shared" si="13"/>
        <v>-0.50131031293355943</v>
      </c>
      <c r="I110" s="200"/>
    </row>
    <row r="111" spans="2:9" x14ac:dyDescent="0.25">
      <c r="B111" s="193">
        <v>42426</v>
      </c>
      <c r="C111" s="283">
        <v>2000</v>
      </c>
      <c r="D111" s="284">
        <v>25.914999999999999</v>
      </c>
      <c r="E111" s="40">
        <v>12.37</v>
      </c>
      <c r="F111" s="40">
        <f t="shared" si="11"/>
        <v>-27090</v>
      </c>
      <c r="G111" s="40">
        <f t="shared" si="12"/>
        <v>51830</v>
      </c>
      <c r="H111" s="232">
        <f t="shared" si="13"/>
        <v>-0.52267026818444917</v>
      </c>
      <c r="I111" s="200"/>
    </row>
    <row r="112" spans="2:9" x14ac:dyDescent="0.25">
      <c r="B112" s="193">
        <v>42430</v>
      </c>
      <c r="C112" s="430">
        <v>2000</v>
      </c>
      <c r="D112" s="212">
        <v>25.914999999999999</v>
      </c>
      <c r="E112" s="40">
        <v>12.82</v>
      </c>
      <c r="F112" s="40">
        <f t="shared" si="11"/>
        <v>-26189.999999999996</v>
      </c>
      <c r="G112" s="40">
        <f t="shared" si="12"/>
        <v>51830</v>
      </c>
      <c r="H112" s="232">
        <f t="shared" si="13"/>
        <v>-0.50530580744742426</v>
      </c>
      <c r="I112" s="473">
        <v>25.5</v>
      </c>
    </row>
    <row r="113" spans="2:9" x14ac:dyDescent="0.25">
      <c r="B113" s="193">
        <v>42431</v>
      </c>
      <c r="C113" s="283">
        <v>1500</v>
      </c>
      <c r="D113" s="284">
        <v>30.137</v>
      </c>
      <c r="E113" s="40">
        <v>13.3</v>
      </c>
      <c r="F113" s="40">
        <f t="shared" si="11"/>
        <v>-25255.5</v>
      </c>
      <c r="G113" s="40">
        <f t="shared" si="12"/>
        <v>45205.5</v>
      </c>
      <c r="H113" s="232">
        <f t="shared" si="13"/>
        <v>-0.55868201878090051</v>
      </c>
      <c r="I113" s="200"/>
    </row>
    <row r="114" spans="2:9" x14ac:dyDescent="0.25">
      <c r="B114" s="193">
        <v>42444</v>
      </c>
      <c r="C114" s="283">
        <v>1500</v>
      </c>
      <c r="D114" s="284">
        <v>30.137</v>
      </c>
      <c r="E114" s="40">
        <v>14.28</v>
      </c>
      <c r="F114" s="40">
        <f t="shared" si="11"/>
        <v>-23785.5</v>
      </c>
      <c r="G114" s="40">
        <f t="shared" si="12"/>
        <v>45205.5</v>
      </c>
      <c r="H114" s="232">
        <f t="shared" si="13"/>
        <v>-0.52616385174370384</v>
      </c>
      <c r="I114" s="200"/>
    </row>
    <row r="115" spans="2:9" x14ac:dyDescent="0.25">
      <c r="B115" s="193">
        <v>42447</v>
      </c>
      <c r="C115" s="283">
        <v>1500</v>
      </c>
      <c r="D115" s="284">
        <v>30.137</v>
      </c>
      <c r="E115" s="40">
        <v>14.98</v>
      </c>
      <c r="F115" s="40">
        <f t="shared" si="11"/>
        <v>-22735.5</v>
      </c>
      <c r="G115" s="40">
        <f t="shared" si="12"/>
        <v>45205.5</v>
      </c>
      <c r="H115" s="232">
        <f t="shared" si="13"/>
        <v>-0.50293658957427745</v>
      </c>
      <c r="I115" s="200"/>
    </row>
    <row r="116" spans="2:9" x14ac:dyDescent="0.25">
      <c r="B116" s="193">
        <v>42480</v>
      </c>
      <c r="C116" s="283">
        <v>1500</v>
      </c>
      <c r="D116" s="284">
        <v>30.07</v>
      </c>
      <c r="E116" s="40">
        <v>15.44</v>
      </c>
      <c r="F116" s="40">
        <f t="shared" si="11"/>
        <v>-21945</v>
      </c>
      <c r="G116" s="40">
        <f t="shared" si="12"/>
        <v>45105</v>
      </c>
      <c r="H116" s="232">
        <f t="shared" si="13"/>
        <v>-0.48653142667110078</v>
      </c>
      <c r="I116" s="200"/>
    </row>
    <row r="117" spans="2:9" x14ac:dyDescent="0.25">
      <c r="B117" s="193">
        <v>42488</v>
      </c>
      <c r="C117" s="283">
        <v>1500</v>
      </c>
      <c r="D117" s="284">
        <v>30.030999999999999</v>
      </c>
      <c r="E117" s="40">
        <v>15.55</v>
      </c>
      <c r="F117" s="40">
        <f t="shared" si="11"/>
        <v>-21721.499999999996</v>
      </c>
      <c r="G117" s="40">
        <f t="shared" si="12"/>
        <v>45046.5</v>
      </c>
      <c r="H117" s="232">
        <f t="shared" si="13"/>
        <v>-0.4822017248842862</v>
      </c>
      <c r="I117" s="200"/>
    </row>
    <row r="118" spans="2:9" x14ac:dyDescent="0.25">
      <c r="B118" s="193">
        <v>42494</v>
      </c>
      <c r="C118" s="283">
        <v>1500</v>
      </c>
      <c r="D118" s="284">
        <v>30.030999999999999</v>
      </c>
      <c r="E118" s="40">
        <v>15.02</v>
      </c>
      <c r="F118" s="40">
        <f t="shared" si="11"/>
        <v>-22516.5</v>
      </c>
      <c r="G118" s="40">
        <f t="shared" si="12"/>
        <v>45046.5</v>
      </c>
      <c r="H118" s="232">
        <f t="shared" si="13"/>
        <v>-0.49985015483999867</v>
      </c>
      <c r="I118" s="200"/>
    </row>
    <row r="119" spans="2:9" x14ac:dyDescent="0.25">
      <c r="B119" s="193">
        <v>42517</v>
      </c>
      <c r="C119" s="283">
        <v>1500</v>
      </c>
      <c r="D119" s="284">
        <v>30.024000000000001</v>
      </c>
      <c r="E119" s="40">
        <v>14.74</v>
      </c>
      <c r="F119" s="40">
        <f t="shared" si="11"/>
        <v>-22926</v>
      </c>
      <c r="G119" s="40">
        <f t="shared" si="12"/>
        <v>45036</v>
      </c>
      <c r="H119" s="232">
        <f t="shared" si="13"/>
        <v>-0.50905941913136155</v>
      </c>
      <c r="I119" s="200"/>
    </row>
    <row r="120" spans="2:9" x14ac:dyDescent="0.25">
      <c r="B120" s="193">
        <v>42522</v>
      </c>
      <c r="C120" s="283">
        <v>1500</v>
      </c>
      <c r="D120" s="284">
        <v>30.024000000000001</v>
      </c>
      <c r="E120" s="40">
        <v>15.08</v>
      </c>
      <c r="F120" s="40">
        <f t="shared" si="11"/>
        <v>-22416</v>
      </c>
      <c r="G120" s="40">
        <f t="shared" si="12"/>
        <v>45036</v>
      </c>
      <c r="H120" s="232">
        <f t="shared" si="13"/>
        <v>-0.49773514521715961</v>
      </c>
      <c r="I120" s="200"/>
    </row>
    <row r="121" spans="2:9" x14ac:dyDescent="0.25">
      <c r="B121" s="193">
        <v>42530</v>
      </c>
      <c r="C121" s="454">
        <v>1520</v>
      </c>
      <c r="D121" s="456">
        <v>29.5</v>
      </c>
      <c r="E121" s="40">
        <v>15.6</v>
      </c>
      <c r="F121" s="40">
        <f t="shared" si="11"/>
        <v>-21128</v>
      </c>
      <c r="G121" s="40">
        <f t="shared" si="12"/>
        <v>44840</v>
      </c>
      <c r="H121" s="232">
        <f t="shared" si="13"/>
        <v>-0.47118644067796611</v>
      </c>
      <c r="I121" s="200"/>
    </row>
    <row r="122" spans="2:9" x14ac:dyDescent="0.25">
      <c r="B122" s="193">
        <v>42534</v>
      </c>
      <c r="C122" s="283">
        <v>1520</v>
      </c>
      <c r="D122" s="284">
        <v>29.5</v>
      </c>
      <c r="E122" s="40">
        <v>14.25</v>
      </c>
      <c r="F122" s="40">
        <f t="shared" si="11"/>
        <v>-23180</v>
      </c>
      <c r="G122" s="40">
        <f t="shared" si="12"/>
        <v>44840</v>
      </c>
      <c r="H122" s="232">
        <f t="shared" si="13"/>
        <v>-0.51694915254237284</v>
      </c>
      <c r="I122" s="200"/>
    </row>
    <row r="123" spans="2:9" x14ac:dyDescent="0.25">
      <c r="B123" s="193">
        <v>42535</v>
      </c>
      <c r="C123" s="283">
        <v>2000</v>
      </c>
      <c r="D123" s="284">
        <v>25.768000000000001</v>
      </c>
      <c r="E123" s="40">
        <v>13.88</v>
      </c>
      <c r="F123" s="40">
        <f t="shared" si="11"/>
        <v>-23776</v>
      </c>
      <c r="G123" s="40">
        <f t="shared" si="12"/>
        <v>51536</v>
      </c>
      <c r="H123" s="232">
        <f t="shared" si="13"/>
        <v>-0.46134740763737969</v>
      </c>
      <c r="I123" s="200"/>
    </row>
    <row r="124" spans="2:9" x14ac:dyDescent="0.25">
      <c r="B124" s="193">
        <v>42538</v>
      </c>
      <c r="C124" s="283">
        <v>1520</v>
      </c>
      <c r="D124" s="284">
        <v>29.428000000000001</v>
      </c>
      <c r="E124" s="40">
        <v>14.24</v>
      </c>
      <c r="F124" s="40">
        <f t="shared" si="11"/>
        <v>-23085.760000000002</v>
      </c>
      <c r="G124" s="40">
        <f t="shared" si="12"/>
        <v>44730.559999999998</v>
      </c>
      <c r="H124" s="232">
        <f t="shared" si="13"/>
        <v>-0.5161071088759005</v>
      </c>
      <c r="I124" s="200"/>
    </row>
    <row r="125" spans="2:9" x14ac:dyDescent="0.25">
      <c r="B125" s="193">
        <v>42543</v>
      </c>
      <c r="C125" s="283">
        <v>2000</v>
      </c>
      <c r="D125" s="284">
        <v>25.696000000000002</v>
      </c>
      <c r="E125" s="40">
        <v>13.79</v>
      </c>
      <c r="F125" s="40">
        <f t="shared" si="11"/>
        <v>-23812.000000000004</v>
      </c>
      <c r="G125" s="40">
        <f t="shared" si="12"/>
        <v>51392</v>
      </c>
      <c r="H125" s="232">
        <f t="shared" si="13"/>
        <v>-0.46334059775840603</v>
      </c>
      <c r="I125" s="200"/>
    </row>
    <row r="126" spans="2:9" x14ac:dyDescent="0.25">
      <c r="B126" s="193">
        <v>42544</v>
      </c>
      <c r="C126" s="454">
        <v>1520</v>
      </c>
      <c r="D126" s="456">
        <v>29.338999999999999</v>
      </c>
      <c r="E126" s="40">
        <v>14.18</v>
      </c>
      <c r="F126" s="40">
        <f t="shared" si="11"/>
        <v>-23041.679999999997</v>
      </c>
      <c r="G126" s="40">
        <f t="shared" si="12"/>
        <v>44595.28</v>
      </c>
      <c r="H126" s="232">
        <f t="shared" si="13"/>
        <v>-0.51668427690105323</v>
      </c>
      <c r="I126" s="200"/>
    </row>
    <row r="127" spans="2:9" x14ac:dyDescent="0.25">
      <c r="B127" s="193">
        <v>42545</v>
      </c>
      <c r="C127" s="283">
        <v>2000</v>
      </c>
      <c r="D127" s="284">
        <v>25.574000000000002</v>
      </c>
      <c r="E127" s="40">
        <v>13.65</v>
      </c>
      <c r="F127" s="40">
        <f t="shared" si="11"/>
        <v>-23848.000000000004</v>
      </c>
      <c r="G127" s="40">
        <f t="shared" si="12"/>
        <v>51148</v>
      </c>
      <c r="H127" s="232">
        <f t="shared" si="13"/>
        <v>-0.4662547900211152</v>
      </c>
      <c r="I127" s="200"/>
    </row>
    <row r="128" spans="2:9" x14ac:dyDescent="0.25">
      <c r="B128" s="193">
        <v>42548</v>
      </c>
      <c r="C128" s="283">
        <v>2000</v>
      </c>
      <c r="D128" s="284">
        <v>25.574000000000002</v>
      </c>
      <c r="E128" s="40">
        <v>13.41</v>
      </c>
      <c r="F128" s="40">
        <f t="shared" si="11"/>
        <v>-24328.000000000004</v>
      </c>
      <c r="G128" s="40">
        <f t="shared" si="12"/>
        <v>51148</v>
      </c>
      <c r="H128" s="232">
        <f t="shared" si="13"/>
        <v>-0.47563932118557911</v>
      </c>
      <c r="I128" s="200"/>
    </row>
    <row r="129" spans="2:9" x14ac:dyDescent="0.25">
      <c r="B129" s="193">
        <v>42549</v>
      </c>
      <c r="C129" s="430">
        <v>2000</v>
      </c>
      <c r="D129" s="212">
        <v>25.574000000000002</v>
      </c>
      <c r="E129" s="40">
        <v>14.22</v>
      </c>
      <c r="F129" s="40">
        <f t="shared" ref="F129" si="14">C129*(E129-D129)</f>
        <v>-22708.000000000004</v>
      </c>
      <c r="G129" s="40">
        <f t="shared" ref="G129" si="15">IF(C129=0, 0,D129*C129)</f>
        <v>51148</v>
      </c>
      <c r="H129" s="232">
        <f t="shared" ref="H129" si="16">IF(C129=0, D129, (E129-D129)/D129)</f>
        <v>-0.44396652850551344</v>
      </c>
      <c r="I129" s="200"/>
    </row>
    <row r="130" spans="2:9" x14ac:dyDescent="0.25">
      <c r="B130" s="193">
        <v>42550</v>
      </c>
      <c r="C130" s="454">
        <v>1520</v>
      </c>
      <c r="D130" s="456">
        <v>28.986999999999998</v>
      </c>
      <c r="E130" s="40">
        <v>14.58</v>
      </c>
      <c r="F130" s="40">
        <f t="shared" ref="F130:F131" si="17">C130*(E130-D130)</f>
        <v>-21898.639999999996</v>
      </c>
      <c r="G130" s="40">
        <f t="shared" ref="G130:G131" si="18">IF(C130=0, 0,D130*C130)</f>
        <v>44060.24</v>
      </c>
      <c r="H130" s="232">
        <f t="shared" ref="H130:H131" si="19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7"/>
        <v>-22246</v>
      </c>
      <c r="G131" s="40">
        <f t="shared" si="18"/>
        <v>50866</v>
      </c>
      <c r="H131" s="232">
        <f t="shared" si="19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0">C132*(E132-D132)</f>
        <v>-20906</v>
      </c>
      <c r="G132" s="40">
        <f t="shared" ref="G132" si="21">IF(C132=0, 0,D132*C132)</f>
        <v>50866</v>
      </c>
      <c r="H132" s="232">
        <f t="shared" ref="H132" si="22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3">C133*(E133-D133)</f>
        <v>-22745.8</v>
      </c>
      <c r="G133" s="40">
        <f t="shared" ref="G133:G136" si="24">IF(C133=0, 0,D133*C133)</f>
        <v>53677.8</v>
      </c>
      <c r="H133" s="232">
        <f t="shared" ref="H133:H136" si="25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3"/>
        <v>-23355</v>
      </c>
      <c r="G134" s="40">
        <f t="shared" si="24"/>
        <v>60453</v>
      </c>
      <c r="H134" s="232">
        <f t="shared" si="25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3"/>
        <v>-23216.999999999996</v>
      </c>
      <c r="G135" s="40">
        <f t="shared" si="24"/>
        <v>64437</v>
      </c>
      <c r="H135" s="232">
        <f t="shared" si="25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3"/>
        <v>-23226.000000000004</v>
      </c>
      <c r="G136" s="40">
        <f t="shared" si="24"/>
        <v>50706</v>
      </c>
      <c r="H136" s="232">
        <f t="shared" si="25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6">C137*(E137-D137)</f>
        <v>-23806.000000000004</v>
      </c>
      <c r="G137" s="40">
        <f t="shared" ref="G137:G140" si="27">IF(C137=0, 0,D137*C137)</f>
        <v>50706</v>
      </c>
      <c r="H137" s="232">
        <f t="shared" ref="H137:H140" si="28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6"/>
        <v>-24830</v>
      </c>
      <c r="G138" s="40">
        <f t="shared" si="27"/>
        <v>57255</v>
      </c>
      <c r="H138" s="232">
        <f t="shared" si="28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6"/>
        <v>-24750.000000000004</v>
      </c>
      <c r="G139" s="40">
        <f t="shared" si="27"/>
        <v>63780.000000000007</v>
      </c>
      <c r="H139" s="232">
        <f t="shared" si="28"/>
        <v>-0.38805268109125124</v>
      </c>
      <c r="I139" s="200"/>
    </row>
    <row r="140" spans="2:9" x14ac:dyDescent="0.25">
      <c r="B140" s="193">
        <v>42591</v>
      </c>
      <c r="C140" s="520">
        <v>3500</v>
      </c>
      <c r="D140" s="521">
        <v>20.033999999999999</v>
      </c>
      <c r="E140" s="40">
        <v>12.67</v>
      </c>
      <c r="F140" s="40">
        <f t="shared" si="26"/>
        <v>-25773.999999999996</v>
      </c>
      <c r="G140" s="40">
        <f t="shared" si="27"/>
        <v>70119</v>
      </c>
      <c r="H140" s="232">
        <f t="shared" si="28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29">C141*(E141-D141)</f>
        <v>-26333.195000000003</v>
      </c>
      <c r="G141" s="40">
        <f t="shared" ref="G141" si="30">IF(C141=0, 0,D141*C141)</f>
        <v>70118.195000000007</v>
      </c>
      <c r="H141" s="232">
        <f t="shared" ref="H141" si="31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2">C142*(E142-D142)</f>
        <v>-25983.195000000003</v>
      </c>
      <c r="G142" s="40">
        <f t="shared" ref="G142" si="33">IF(C142=0, 0,D142*C142)</f>
        <v>70118.195000000007</v>
      </c>
      <c r="H142" s="232">
        <f t="shared" ref="H142" si="34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5">C143*(E143-D143)</f>
        <v>-26123.195</v>
      </c>
      <c r="G143" s="40">
        <f t="shared" ref="G143:G147" si="36">IF(C143=0, 0,D143*C143)</f>
        <v>70118.195000000007</v>
      </c>
      <c r="H143" s="232">
        <f t="shared" ref="H143:H147" si="37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5"/>
        <v>-27218.200000000004</v>
      </c>
      <c r="G144" s="40">
        <f t="shared" si="36"/>
        <v>76258.2</v>
      </c>
      <c r="H144" s="232">
        <f t="shared" si="37"/>
        <v>-0.35692161629831287</v>
      </c>
      <c r="I144" s="200"/>
    </row>
    <row r="145" spans="2:9" x14ac:dyDescent="0.25">
      <c r="B145" s="193">
        <v>42604</v>
      </c>
      <c r="C145" s="450">
        <v>4500</v>
      </c>
      <c r="D145" s="531">
        <v>18.288489999999999</v>
      </c>
      <c r="E145" s="40">
        <v>12.24</v>
      </c>
      <c r="F145" s="40">
        <f t="shared" si="35"/>
        <v>-27218.204999999998</v>
      </c>
      <c r="G145" s="40">
        <f t="shared" si="36"/>
        <v>82298.205000000002</v>
      </c>
      <c r="H145" s="232">
        <f t="shared" si="37"/>
        <v>-0.33072659361161033</v>
      </c>
      <c r="I145" s="200"/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5"/>
        <v>-25658.36</v>
      </c>
      <c r="G146" s="40">
        <f t="shared" si="36"/>
        <v>75938.36</v>
      </c>
      <c r="H146" s="232">
        <f t="shared" si="37"/>
        <v>-0.33788404174122277</v>
      </c>
      <c r="I146" s="200"/>
    </row>
    <row r="147" spans="2:9" x14ac:dyDescent="0.25">
      <c r="B147" s="193">
        <v>42605</v>
      </c>
      <c r="C147" s="450">
        <v>4500</v>
      </c>
      <c r="D147" s="531">
        <v>18.269629999999999</v>
      </c>
      <c r="E147" s="40">
        <v>12.57</v>
      </c>
      <c r="F147" s="40">
        <f t="shared" si="35"/>
        <v>-25648.334999999995</v>
      </c>
      <c r="G147" s="40">
        <f t="shared" si="36"/>
        <v>82213.334999999992</v>
      </c>
      <c r="H147" s="232">
        <f t="shared" si="37"/>
        <v>-0.31197292993892045</v>
      </c>
      <c r="I147" s="200"/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8">C148*(E148-D148)</f>
        <v>-26143.334999999992</v>
      </c>
      <c r="G148" s="40">
        <f t="shared" ref="G148" si="39">IF(C148=0, 0,D148*C148)</f>
        <v>82213.334999999992</v>
      </c>
      <c r="H148" s="232">
        <f t="shared" ref="H148" si="40">IF(C148=0, D148, (E148-D148)/D148)</f>
        <v>-0.31799385099752969</v>
      </c>
      <c r="I148" s="200"/>
    </row>
    <row r="149" spans="2:9" x14ac:dyDescent="0.25">
      <c r="B149" s="193"/>
      <c r="C149" s="10"/>
      <c r="D149" s="200"/>
      <c r="E149" s="40"/>
      <c r="F149" s="40"/>
      <c r="G149" s="40"/>
      <c r="H149" s="232"/>
      <c r="I149" s="200"/>
    </row>
    <row r="150" spans="2:9" x14ac:dyDescent="0.25">
      <c r="B150" s="193"/>
      <c r="C150" s="10"/>
      <c r="D150" s="200"/>
      <c r="E150" s="40"/>
      <c r="F150" s="40"/>
      <c r="G150" s="40"/>
      <c r="H150" s="232"/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</sheetData>
  <mergeCells count="2">
    <mergeCell ref="B47:B48"/>
    <mergeCell ref="A68:A73"/>
  </mergeCells>
  <conditionalFormatting sqref="Q12 F107:F151 H99:H151">
    <cfRule type="expression" dxfId="493" priority="38">
      <formula>F12&gt;0</formula>
    </cfRule>
    <cfRule type="expression" dxfId="49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91" priority="31">
      <formula>F86&gt;0</formula>
    </cfRule>
    <cfRule type="expression" dxfId="490" priority="32">
      <formula>F86&lt;0</formula>
    </cfRule>
  </conditionalFormatting>
  <conditionalFormatting sqref="H86:H92">
    <cfRule type="expression" dxfId="489" priority="19">
      <formula>H86&gt;0</formula>
    </cfRule>
    <cfRule type="expression" dxfId="488" priority="20">
      <formula>H86&lt;0</formula>
    </cfRule>
  </conditionalFormatting>
  <conditionalFormatting sqref="H93">
    <cfRule type="expression" dxfId="487" priority="17">
      <formula>H93&gt;0</formula>
    </cfRule>
    <cfRule type="expression" dxfId="486" priority="18">
      <formula>H93&lt;0</formula>
    </cfRule>
  </conditionalFormatting>
  <conditionalFormatting sqref="H94">
    <cfRule type="expression" dxfId="485" priority="15">
      <formula>H94&gt;0</formula>
    </cfRule>
    <cfRule type="expression" dxfId="484" priority="16">
      <formula>H94&lt;0</formula>
    </cfRule>
  </conditionalFormatting>
  <conditionalFormatting sqref="H95:H97">
    <cfRule type="expression" dxfId="483" priority="13">
      <formula>H95&gt;0</formula>
    </cfRule>
    <cfRule type="expression" dxfId="482" priority="14">
      <formula>H95&lt;0</formula>
    </cfRule>
  </conditionalFormatting>
  <conditionalFormatting sqref="H98">
    <cfRule type="expression" dxfId="481" priority="9">
      <formula>H98&gt;0</formula>
    </cfRule>
    <cfRule type="expression" dxfId="480" priority="10">
      <formula>H98&lt;0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42606</v>
      </c>
      <c r="X2" s="142">
        <v>59.89</v>
      </c>
      <c r="Y2" s="142">
        <v>60.33</v>
      </c>
      <c r="Z2" s="10">
        <v>59.72</v>
      </c>
      <c r="AA2" s="10">
        <v>60.22</v>
      </c>
      <c r="AB2" s="95">
        <v>10992500</v>
      </c>
      <c r="AC2" s="10">
        <v>60.22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60.22</v>
      </c>
      <c r="W3" s="133">
        <v>42605</v>
      </c>
      <c r="X3" s="10">
        <v>58.8</v>
      </c>
      <c r="Y3" s="10">
        <v>59.8</v>
      </c>
      <c r="Z3" s="10">
        <v>58.8</v>
      </c>
      <c r="AA3" s="10">
        <v>59.62</v>
      </c>
      <c r="AB3" s="95">
        <v>8222800</v>
      </c>
      <c r="AC3" s="10">
        <v>59.62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60.22</v>
      </c>
      <c r="T4" s="1"/>
      <c r="W4" s="133">
        <v>42604</v>
      </c>
      <c r="X4" s="10">
        <v>58.82</v>
      </c>
      <c r="Y4" s="10">
        <v>59.46</v>
      </c>
      <c r="Z4" s="10">
        <v>58.65</v>
      </c>
      <c r="AA4" s="10">
        <v>58.66</v>
      </c>
      <c r="AB4" s="95">
        <v>8266000</v>
      </c>
      <c r="AC4" s="10">
        <v>58.66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42601</v>
      </c>
      <c r="X5" s="10">
        <v>57.4</v>
      </c>
      <c r="Y5" s="10">
        <v>59.14</v>
      </c>
      <c r="Z5" s="10">
        <v>57.25</v>
      </c>
      <c r="AA5" s="10">
        <v>58.9</v>
      </c>
      <c r="AB5" s="95">
        <v>15987100</v>
      </c>
      <c r="AC5" s="10">
        <v>58.9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42600</v>
      </c>
      <c r="X6" s="10">
        <v>56.99</v>
      </c>
      <c r="Y6" s="10">
        <v>57.46</v>
      </c>
      <c r="Z6" s="10">
        <v>56.9</v>
      </c>
      <c r="AA6" s="10">
        <v>57.21</v>
      </c>
      <c r="AB6" s="95">
        <v>6043600</v>
      </c>
      <c r="AC6" s="10">
        <v>57.21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42599</v>
      </c>
      <c r="X7" s="10">
        <v>56.87</v>
      </c>
      <c r="Y7" s="10">
        <v>56.97</v>
      </c>
      <c r="Z7" s="10">
        <v>56.54</v>
      </c>
      <c r="AA7" s="10">
        <v>56.86</v>
      </c>
      <c r="AB7" s="95">
        <v>7340500</v>
      </c>
      <c r="AC7" s="10">
        <v>56.86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56.8</v>
      </c>
      <c r="Y8" s="10">
        <v>57.04</v>
      </c>
      <c r="Z8" s="10">
        <v>56.42</v>
      </c>
      <c r="AA8" s="10">
        <v>56.88</v>
      </c>
      <c r="AB8" s="95">
        <v>4901800</v>
      </c>
      <c r="AC8" s="10">
        <v>56.88</v>
      </c>
      <c r="AE8" s="138"/>
      <c r="AL8" s="234"/>
      <c r="AO8" s="234"/>
      <c r="AP8" s="234"/>
    </row>
    <row r="9" spans="1:42" x14ac:dyDescent="0.25">
      <c r="H9" s="72"/>
      <c r="O9" s="11" t="s">
        <v>225</v>
      </c>
      <c r="Q9" s="138">
        <f>IF(Q2=0, 0, Q8/Q6)</f>
        <v>0</v>
      </c>
      <c r="W9" s="133">
        <v>42597</v>
      </c>
      <c r="X9" s="10">
        <v>56.65</v>
      </c>
      <c r="Y9" s="10">
        <v>57.06</v>
      </c>
      <c r="Z9" s="10">
        <v>56.62</v>
      </c>
      <c r="AA9" s="10">
        <v>56.77</v>
      </c>
      <c r="AB9" s="95">
        <v>4836300</v>
      </c>
      <c r="AC9" s="10">
        <v>56.77</v>
      </c>
      <c r="AE9" s="138"/>
    </row>
    <row r="10" spans="1:42" x14ac:dyDescent="0.25">
      <c r="H10" s="72"/>
      <c r="O10" s="11" t="s">
        <v>224</v>
      </c>
      <c r="P10" s="34"/>
      <c r="Q10" s="2">
        <f>M63</f>
        <v>281.96000000000095</v>
      </c>
      <c r="T10" s="11"/>
      <c r="W10" s="133">
        <v>42594</v>
      </c>
      <c r="X10" s="10">
        <v>56.7</v>
      </c>
      <c r="Y10" s="10">
        <v>56.76</v>
      </c>
      <c r="Z10" s="10">
        <v>56.13</v>
      </c>
      <c r="AA10" s="10">
        <v>56.45</v>
      </c>
      <c r="AB10" s="95">
        <v>5393400</v>
      </c>
      <c r="AC10" s="10">
        <v>56.45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42593</v>
      </c>
      <c r="X11" s="10">
        <v>55.63</v>
      </c>
      <c r="Y11" s="10">
        <v>56.89</v>
      </c>
      <c r="Z11" s="10">
        <v>55.48</v>
      </c>
      <c r="AA11" s="10">
        <v>56.73</v>
      </c>
      <c r="AB11" s="95">
        <v>9539500</v>
      </c>
      <c r="AC11" s="10">
        <v>56.73</v>
      </c>
      <c r="AE11" s="138"/>
    </row>
    <row r="12" spans="1:42" x14ac:dyDescent="0.25">
      <c r="H12" s="72"/>
      <c r="W12" s="133">
        <v>42592</v>
      </c>
      <c r="X12" s="10">
        <v>55.95</v>
      </c>
      <c r="Y12" s="10">
        <v>56.18</v>
      </c>
      <c r="Z12" s="10">
        <v>55.07</v>
      </c>
      <c r="AA12" s="10">
        <v>55.13</v>
      </c>
      <c r="AB12" s="95">
        <v>6881400</v>
      </c>
      <c r="AC12" s="10">
        <v>55.13</v>
      </c>
      <c r="AE12" s="138"/>
      <c r="AL12" s="234"/>
      <c r="AO12" s="234"/>
    </row>
    <row r="13" spans="1:42" x14ac:dyDescent="0.25">
      <c r="H13" s="72"/>
      <c r="T13" s="1"/>
      <c r="W13" s="133">
        <v>42591</v>
      </c>
      <c r="X13" s="10">
        <v>56.08</v>
      </c>
      <c r="Y13" s="10">
        <v>56.24</v>
      </c>
      <c r="Z13" s="10">
        <v>55.69</v>
      </c>
      <c r="AA13" s="10">
        <v>55.77</v>
      </c>
      <c r="AB13" s="95">
        <v>8044400</v>
      </c>
      <c r="AC13" s="10">
        <v>55.77</v>
      </c>
      <c r="AE13" s="138"/>
    </row>
    <row r="14" spans="1:42" x14ac:dyDescent="0.25">
      <c r="H14" s="72"/>
      <c r="W14" s="133">
        <v>42590</v>
      </c>
      <c r="X14" s="10">
        <v>56.13</v>
      </c>
      <c r="Y14" s="10">
        <v>56.39</v>
      </c>
      <c r="Z14" s="10">
        <v>55.68</v>
      </c>
      <c r="AA14" s="10">
        <v>55.98</v>
      </c>
      <c r="AB14" s="95">
        <v>6307000</v>
      </c>
      <c r="AC14" s="10">
        <v>55.98</v>
      </c>
      <c r="AE14" s="138"/>
      <c r="AL14" s="234"/>
      <c r="AO14" s="234"/>
      <c r="AP14" s="234"/>
    </row>
    <row r="15" spans="1:42" x14ac:dyDescent="0.25">
      <c r="H15" s="72"/>
      <c r="W15" s="133">
        <v>42587</v>
      </c>
      <c r="X15" s="10">
        <v>55.32</v>
      </c>
      <c r="Y15" s="10">
        <v>56.06</v>
      </c>
      <c r="Z15" s="10">
        <v>55.17</v>
      </c>
      <c r="AA15" s="10">
        <v>55.85</v>
      </c>
      <c r="AB15" s="95">
        <v>7512500</v>
      </c>
      <c r="AC15" s="10">
        <v>55.85</v>
      </c>
      <c r="AE15" s="138"/>
    </row>
    <row r="16" spans="1:42" x14ac:dyDescent="0.25">
      <c r="H16" s="72"/>
      <c r="O16" s="2"/>
      <c r="P16" s="2"/>
      <c r="Q16" s="2"/>
      <c r="T16" s="69"/>
      <c r="W16" s="133">
        <v>42586</v>
      </c>
      <c r="X16" s="10">
        <v>54.96</v>
      </c>
      <c r="Y16" s="10">
        <v>55.57</v>
      </c>
      <c r="Z16" s="10">
        <v>54.65</v>
      </c>
      <c r="AA16" s="10">
        <v>54.79</v>
      </c>
      <c r="AB16" s="95">
        <v>8678100</v>
      </c>
      <c r="AC16" s="10">
        <v>54.79</v>
      </c>
      <c r="AE16" s="138"/>
    </row>
    <row r="17" spans="1:41" x14ac:dyDescent="0.25">
      <c r="H17" s="72"/>
      <c r="O17" s="2"/>
      <c r="P17" s="2"/>
      <c r="Q17" s="2"/>
      <c r="W17" s="133">
        <v>42585</v>
      </c>
      <c r="X17" s="10">
        <v>54.55</v>
      </c>
      <c r="Y17" s="10">
        <v>55.19</v>
      </c>
      <c r="Z17" s="10">
        <v>54.28</v>
      </c>
      <c r="AA17" s="10">
        <v>54.75</v>
      </c>
      <c r="AB17" s="95">
        <v>9687300</v>
      </c>
      <c r="AC17" s="10">
        <v>54.75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42584</v>
      </c>
      <c r="X18" s="10">
        <v>55.23</v>
      </c>
      <c r="Y18" s="10">
        <v>55.28</v>
      </c>
      <c r="Z18" s="10">
        <v>54.78</v>
      </c>
      <c r="AA18" s="10">
        <v>54.92</v>
      </c>
      <c r="AB18" s="95">
        <v>7145600</v>
      </c>
      <c r="AC18" s="10">
        <v>54.92</v>
      </c>
      <c r="AE18" s="138"/>
      <c r="AL18" s="234"/>
      <c r="AO18" s="234"/>
    </row>
    <row r="19" spans="1:4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SumByColor($A$19,F2:F5)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>SumByColor($A$19,M2:M17)</f>
        <v>0</v>
      </c>
      <c r="O19" s="2"/>
      <c r="P19" s="2"/>
      <c r="Q19" s="2"/>
      <c r="W19" s="133">
        <v>42583</v>
      </c>
      <c r="X19" s="10">
        <v>55.73</v>
      </c>
      <c r="Y19" s="10">
        <v>55.87</v>
      </c>
      <c r="Z19" s="10">
        <v>55.3</v>
      </c>
      <c r="AA19" s="10">
        <v>55.41</v>
      </c>
      <c r="AB19" s="95">
        <v>6268400</v>
      </c>
      <c r="AC19" s="10">
        <v>55.41</v>
      </c>
      <c r="AE19" s="138"/>
    </row>
    <row r="20" spans="1:41" x14ac:dyDescent="0.25">
      <c r="O20" s="2"/>
      <c r="P20" s="2"/>
      <c r="Q20" s="2"/>
      <c r="W20" s="133">
        <v>42580</v>
      </c>
      <c r="X20" s="10">
        <v>55.27</v>
      </c>
      <c r="Y20" s="10">
        <v>55.66</v>
      </c>
      <c r="Z20" s="10">
        <v>55.21</v>
      </c>
      <c r="AA20" s="10">
        <v>55.5</v>
      </c>
      <c r="AB20" s="95">
        <v>6353400</v>
      </c>
      <c r="AC20" s="10">
        <v>55.5</v>
      </c>
      <c r="AE20" s="138"/>
    </row>
    <row r="21" spans="1:41" x14ac:dyDescent="0.25">
      <c r="O21" s="2"/>
      <c r="P21" s="2"/>
      <c r="Q21" s="2"/>
      <c r="W21" s="133">
        <v>42579</v>
      </c>
      <c r="X21" s="10">
        <v>55.59</v>
      </c>
      <c r="Y21" s="10">
        <v>55.81</v>
      </c>
      <c r="Z21" s="10">
        <v>54.98</v>
      </c>
      <c r="AA21" s="10">
        <v>55.45</v>
      </c>
      <c r="AB21" s="95">
        <v>9574100</v>
      </c>
      <c r="AC21" s="10">
        <v>55.45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42578</v>
      </c>
      <c r="X22" s="10">
        <v>56.5</v>
      </c>
      <c r="Y22" s="10">
        <v>57</v>
      </c>
      <c r="Z22" s="10">
        <v>55.47</v>
      </c>
      <c r="AA22" s="10">
        <v>55.79</v>
      </c>
      <c r="AB22" s="95">
        <v>10295400</v>
      </c>
      <c r="AC22" s="10">
        <v>55.79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42577</v>
      </c>
      <c r="X23" s="10">
        <v>57.2</v>
      </c>
      <c r="Y23" s="10">
        <v>57.87</v>
      </c>
      <c r="Z23" s="10">
        <v>56.25</v>
      </c>
      <c r="AA23" s="10">
        <v>56.37</v>
      </c>
      <c r="AB23" s="95">
        <v>8546700</v>
      </c>
      <c r="AC23" s="10">
        <v>56.37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42576</v>
      </c>
      <c r="X24" s="10">
        <v>56.87</v>
      </c>
      <c r="Y24" s="10">
        <v>57.15</v>
      </c>
      <c r="Z24" s="10">
        <v>56.46</v>
      </c>
      <c r="AA24" s="10">
        <v>57.14</v>
      </c>
      <c r="AB24" s="95">
        <v>7256300</v>
      </c>
      <c r="AC24" s="10">
        <v>57.14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42573</v>
      </c>
      <c r="X25" s="10">
        <v>56.82</v>
      </c>
      <c r="Y25" s="10">
        <v>56.96</v>
      </c>
      <c r="Z25" s="10">
        <v>56.43</v>
      </c>
      <c r="AA25" s="10">
        <v>56.73</v>
      </c>
      <c r="AB25" s="95">
        <v>8614700</v>
      </c>
      <c r="AC25" s="10">
        <v>56.73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42572</v>
      </c>
      <c r="X26" s="10">
        <v>57.99</v>
      </c>
      <c r="Y26" s="10">
        <v>58.03</v>
      </c>
      <c r="Z26" s="10">
        <v>56.57</v>
      </c>
      <c r="AA26" s="10">
        <v>56.99</v>
      </c>
      <c r="AB26" s="95">
        <v>8262000</v>
      </c>
      <c r="AC26" s="10">
        <v>56.99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42571</v>
      </c>
      <c r="X27" s="10">
        <v>57.99</v>
      </c>
      <c r="Y27" s="10">
        <v>58.1</v>
      </c>
      <c r="Z27" s="10">
        <v>57.74</v>
      </c>
      <c r="AA27" s="10">
        <v>57.76</v>
      </c>
      <c r="AB27" s="95">
        <v>5872400</v>
      </c>
      <c r="AC27" s="10">
        <v>57.76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42570</v>
      </c>
      <c r="X28" s="10">
        <v>57.46</v>
      </c>
      <c r="Y28" s="10">
        <v>57.77</v>
      </c>
      <c r="Z28" s="10">
        <v>57.15</v>
      </c>
      <c r="AA28" s="10">
        <v>57.76</v>
      </c>
      <c r="AB28" s="95">
        <v>7442700</v>
      </c>
      <c r="AC28" s="10">
        <v>57.76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42569</v>
      </c>
      <c r="X29" s="10">
        <v>58</v>
      </c>
      <c r="Y29" s="10">
        <v>58.16</v>
      </c>
      <c r="Z29" s="10">
        <v>57.74</v>
      </c>
      <c r="AA29" s="10">
        <v>57.74</v>
      </c>
      <c r="AB29" s="95">
        <v>6478900</v>
      </c>
      <c r="AC29" s="10">
        <v>57.74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42566</v>
      </c>
      <c r="X30" s="10">
        <v>58.59</v>
      </c>
      <c r="Y30" s="10">
        <v>58.87</v>
      </c>
      <c r="Z30" s="10">
        <v>57.87</v>
      </c>
      <c r="AA30" s="10">
        <v>57.87</v>
      </c>
      <c r="AB30" s="95">
        <v>9225200</v>
      </c>
      <c r="AC30" s="10">
        <v>57.87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42565</v>
      </c>
      <c r="X31" s="10">
        <v>58.3</v>
      </c>
      <c r="Y31" s="10">
        <v>58.6</v>
      </c>
      <c r="Z31" s="10">
        <v>58.15</v>
      </c>
      <c r="AA31" s="10">
        <v>58.49</v>
      </c>
      <c r="AB31" s="95">
        <v>7488400</v>
      </c>
      <c r="AC31" s="10">
        <v>58.49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272</v>
      </c>
      <c r="W32" s="133">
        <v>42564</v>
      </c>
      <c r="X32" s="10">
        <v>58.18</v>
      </c>
      <c r="Y32" s="10">
        <v>58.44</v>
      </c>
      <c r="Z32" s="10">
        <v>57.73</v>
      </c>
      <c r="AA32" s="10">
        <v>57.99</v>
      </c>
      <c r="AB32" s="95">
        <v>9126500</v>
      </c>
      <c r="AC32" s="10">
        <v>57.99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273</v>
      </c>
      <c r="W33" s="133">
        <v>42563</v>
      </c>
      <c r="X33" s="10">
        <v>57.09</v>
      </c>
      <c r="Y33" s="10">
        <v>58.2</v>
      </c>
      <c r="Z33" s="10">
        <v>57.07</v>
      </c>
      <c r="AA33" s="10">
        <v>58.06</v>
      </c>
      <c r="AB33" s="95">
        <v>11164400</v>
      </c>
      <c r="AC33" s="10">
        <v>58.06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42562</v>
      </c>
      <c r="X34" s="10">
        <v>56.83</v>
      </c>
      <c r="Y34" s="10">
        <v>57.23</v>
      </c>
      <c r="Z34" s="10">
        <v>56.71</v>
      </c>
      <c r="AA34" s="10">
        <v>56.83</v>
      </c>
      <c r="AB34" s="95">
        <v>8122500</v>
      </c>
      <c r="AC34" s="10">
        <v>56.83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42559</v>
      </c>
      <c r="X35" s="10">
        <v>56.1</v>
      </c>
      <c r="Y35" s="10">
        <v>56.82</v>
      </c>
      <c r="Z35" s="10">
        <v>56.09</v>
      </c>
      <c r="AA35" s="10">
        <v>56.72</v>
      </c>
      <c r="AB35" s="95">
        <v>8645900</v>
      </c>
      <c r="AC35" s="10">
        <v>56.72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42558</v>
      </c>
      <c r="X36" s="10">
        <v>55.8</v>
      </c>
      <c r="Y36" s="10">
        <v>55.98</v>
      </c>
      <c r="Z36" s="10">
        <v>55.56</v>
      </c>
      <c r="AA36" s="10">
        <v>55.92</v>
      </c>
      <c r="AB36" s="95">
        <v>6948000</v>
      </c>
      <c r="AC36" s="10">
        <v>55.92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42557</v>
      </c>
      <c r="X37" s="10">
        <v>54.88</v>
      </c>
      <c r="Y37" s="10">
        <v>55.81</v>
      </c>
      <c r="Z37" s="10">
        <v>54.82</v>
      </c>
      <c r="AA37" s="10">
        <v>55.8</v>
      </c>
      <c r="AB37" s="95">
        <v>7863400</v>
      </c>
      <c r="AC37" s="10">
        <v>55.8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42556</v>
      </c>
      <c r="X38" s="10">
        <v>55.34</v>
      </c>
      <c r="Y38" s="10">
        <v>55.91</v>
      </c>
      <c r="Z38" s="10">
        <v>55.01</v>
      </c>
      <c r="AA38" s="10">
        <v>55.2</v>
      </c>
      <c r="AB38" s="95">
        <v>10256100</v>
      </c>
      <c r="AC38" s="10">
        <v>55.2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42552</v>
      </c>
      <c r="X39" s="10">
        <v>55.07</v>
      </c>
      <c r="Y39" s="10">
        <v>55.81</v>
      </c>
      <c r="Z39" s="10">
        <v>54.91</v>
      </c>
      <c r="AA39" s="10">
        <v>55.61</v>
      </c>
      <c r="AB39" s="95">
        <v>9285100</v>
      </c>
      <c r="AC39" s="10">
        <v>55.61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42551</v>
      </c>
      <c r="X40" s="10">
        <v>55.29</v>
      </c>
      <c r="Y40" s="10">
        <v>55.43</v>
      </c>
      <c r="Z40" s="10">
        <v>54.6</v>
      </c>
      <c r="AA40" s="10">
        <v>55.2</v>
      </c>
      <c r="AB40" s="95">
        <v>17350500</v>
      </c>
      <c r="AC40" s="10">
        <v>55.2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42550</v>
      </c>
      <c r="X41" s="10">
        <v>54.5</v>
      </c>
      <c r="Y41" s="10">
        <v>55.14</v>
      </c>
      <c r="Z41" s="10">
        <v>52.89</v>
      </c>
      <c r="AA41" s="10">
        <v>55.13</v>
      </c>
      <c r="AB41" s="95">
        <v>36084800</v>
      </c>
      <c r="AC41" s="10">
        <v>55.13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42549</v>
      </c>
      <c r="X42" s="10">
        <v>52.04</v>
      </c>
      <c r="Y42" s="10">
        <v>53.2</v>
      </c>
      <c r="Z42" s="10">
        <v>51.57</v>
      </c>
      <c r="AA42" s="10">
        <v>53.09</v>
      </c>
      <c r="AB42" s="95">
        <v>20837800</v>
      </c>
      <c r="AC42" s="10">
        <v>53.09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59.62</v>
      </c>
      <c r="W43" s="133">
        <v>42548</v>
      </c>
      <c r="X43" s="10">
        <v>52</v>
      </c>
      <c r="Y43" s="10">
        <v>52.52</v>
      </c>
      <c r="Z43" s="10">
        <v>51.48</v>
      </c>
      <c r="AA43" s="10">
        <v>51.89</v>
      </c>
      <c r="AB43" s="95">
        <v>15265700</v>
      </c>
      <c r="AC43" s="10">
        <v>51.89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5" t="s">
        <v>78</v>
      </c>
      <c r="P44" s="535"/>
      <c r="T44" s="93" t="s">
        <v>99</v>
      </c>
      <c r="U44" s="130">
        <v>59.89</v>
      </c>
      <c r="W44" s="133">
        <v>42545</v>
      </c>
      <c r="X44" s="10">
        <v>52.36</v>
      </c>
      <c r="Y44" s="10">
        <v>53.36</v>
      </c>
      <c r="Z44" s="10">
        <v>52.18</v>
      </c>
      <c r="AA44" s="10">
        <v>52.59</v>
      </c>
      <c r="AB44" s="95">
        <v>18481200</v>
      </c>
      <c r="AC44" s="10">
        <v>52.59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66.242000000000004</v>
      </c>
      <c r="T45" s="93" t="s">
        <v>100</v>
      </c>
      <c r="U45" s="130" t="s">
        <v>549</v>
      </c>
      <c r="W45" s="133">
        <v>42544</v>
      </c>
      <c r="X45" s="10">
        <v>55.11</v>
      </c>
      <c r="Y45" s="10">
        <v>55.18</v>
      </c>
      <c r="Z45" s="10">
        <v>53.95</v>
      </c>
      <c r="AA45" s="10">
        <v>54.12</v>
      </c>
      <c r="AB45" s="95">
        <v>11219800</v>
      </c>
      <c r="AC45" s="10">
        <v>54.12</v>
      </c>
      <c r="AE45" s="138"/>
    </row>
    <row r="46" spans="2:41" x14ac:dyDescent="0.25">
      <c r="O46" s="83">
        <v>1.0900000000000001</v>
      </c>
      <c r="P46" s="83">
        <f t="shared" ref="P46:P65" si="28">O46*$Q$4</f>
        <v>65.639800000000008</v>
      </c>
      <c r="T46" s="93" t="s">
        <v>101</v>
      </c>
      <c r="U46" s="130" t="s">
        <v>550</v>
      </c>
      <c r="W46" s="133">
        <v>42543</v>
      </c>
      <c r="X46" s="10">
        <v>55</v>
      </c>
      <c r="Y46" s="10">
        <v>55.14</v>
      </c>
      <c r="Z46" s="10">
        <v>54.53</v>
      </c>
      <c r="AA46" s="10">
        <v>54.57</v>
      </c>
      <c r="AB46" s="95">
        <v>7019600</v>
      </c>
      <c r="AC46" s="10">
        <v>54.57</v>
      </c>
      <c r="AE46" s="138"/>
    </row>
    <row r="47" spans="2:41" x14ac:dyDescent="0.25">
      <c r="O47" s="83">
        <v>1.08</v>
      </c>
      <c r="P47" s="83">
        <f t="shared" si="28"/>
        <v>65.037599999999998</v>
      </c>
      <c r="T47" s="93" t="s">
        <v>102</v>
      </c>
      <c r="U47" s="130">
        <v>65.790000000000006</v>
      </c>
      <c r="W47" s="133">
        <v>42542</v>
      </c>
      <c r="X47" s="10">
        <v>54.46</v>
      </c>
      <c r="Y47" s="10">
        <v>55.09</v>
      </c>
      <c r="Z47" s="10">
        <v>54.44</v>
      </c>
      <c r="AA47" s="10">
        <v>54.77</v>
      </c>
      <c r="AB47" s="95">
        <v>8278200</v>
      </c>
      <c r="AC47" s="10">
        <v>54.77</v>
      </c>
      <c r="AE47" s="138"/>
    </row>
    <row r="48" spans="2:41" x14ac:dyDescent="0.25">
      <c r="O48" s="83">
        <v>1.07</v>
      </c>
      <c r="P48" s="83">
        <f t="shared" si="28"/>
        <v>64.435400000000001</v>
      </c>
      <c r="T48" s="93" t="s">
        <v>103</v>
      </c>
      <c r="U48" s="130">
        <v>0.56589199999999995</v>
      </c>
      <c r="W48" s="133">
        <v>42541</v>
      </c>
      <c r="X48" s="10">
        <v>54.23</v>
      </c>
      <c r="Y48" s="10">
        <v>55.15</v>
      </c>
      <c r="Z48" s="10">
        <v>54.23</v>
      </c>
      <c r="AA48" s="10">
        <v>54.36</v>
      </c>
      <c r="AB48" s="95">
        <v>8429400</v>
      </c>
      <c r="AC48" s="10">
        <v>54.36</v>
      </c>
      <c r="AE48" s="138"/>
    </row>
    <row r="49" spans="1:41" x14ac:dyDescent="0.25">
      <c r="O49" s="83">
        <v>1.06</v>
      </c>
      <c r="P49" s="83">
        <f t="shared" si="28"/>
        <v>63.833200000000005</v>
      </c>
      <c r="T49" s="93" t="s">
        <v>123</v>
      </c>
      <c r="U49" s="130" t="s">
        <v>276</v>
      </c>
      <c r="W49" s="133">
        <v>42538</v>
      </c>
      <c r="X49" s="10">
        <v>53.45</v>
      </c>
      <c r="Y49" s="10">
        <v>53.87</v>
      </c>
      <c r="Z49" s="10">
        <v>53.16</v>
      </c>
      <c r="AA49" s="10">
        <v>53.71</v>
      </c>
      <c r="AB49" s="95">
        <v>11007100</v>
      </c>
      <c r="AC49" s="10">
        <v>53.71</v>
      </c>
      <c r="AE49" s="138"/>
    </row>
    <row r="50" spans="1:41" x14ac:dyDescent="0.25">
      <c r="O50" s="83">
        <v>1.05</v>
      </c>
      <c r="P50" s="83">
        <f t="shared" si="28"/>
        <v>63.231000000000002</v>
      </c>
      <c r="T50" s="93"/>
      <c r="U50" s="130"/>
      <c r="W50" s="133">
        <v>42537</v>
      </c>
      <c r="X50" s="10">
        <v>53.54</v>
      </c>
      <c r="Y50" s="10">
        <v>53.64</v>
      </c>
      <c r="Z50" s="10">
        <v>52.94</v>
      </c>
      <c r="AA50" s="10">
        <v>53.47</v>
      </c>
      <c r="AB50" s="95">
        <v>14456500</v>
      </c>
      <c r="AC50" s="10">
        <v>53.47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62.628799999999998</v>
      </c>
      <c r="T51" s="93" t="s">
        <v>105</v>
      </c>
      <c r="U51" s="130" t="s">
        <v>551</v>
      </c>
      <c r="W51" s="133">
        <v>42536</v>
      </c>
      <c r="X51" s="10">
        <v>54.24</v>
      </c>
      <c r="Y51" s="10">
        <v>55.06</v>
      </c>
      <c r="Z51" s="10">
        <v>54.24</v>
      </c>
      <c r="AA51" s="10">
        <v>54.31</v>
      </c>
      <c r="AB51" s="95">
        <v>7498400</v>
      </c>
      <c r="AC51" s="10">
        <v>54.31</v>
      </c>
      <c r="AE51" s="138"/>
    </row>
    <row r="52" spans="1:41" x14ac:dyDescent="0.25">
      <c r="O52" s="83">
        <v>1.03</v>
      </c>
      <c r="P52" s="83">
        <f t="shared" si="28"/>
        <v>62.026600000000002</v>
      </c>
      <c r="T52" s="93" t="s">
        <v>106</v>
      </c>
      <c r="U52" s="130" t="s">
        <v>409</v>
      </c>
      <c r="W52" s="133">
        <v>42535</v>
      </c>
      <c r="X52" s="10">
        <v>54.58</v>
      </c>
      <c r="Y52" s="10">
        <v>54.94</v>
      </c>
      <c r="Z52" s="10">
        <v>54.08</v>
      </c>
      <c r="AA52" s="10">
        <v>54.12</v>
      </c>
      <c r="AB52" s="95">
        <v>9585600</v>
      </c>
      <c r="AC52" s="10">
        <v>54.12</v>
      </c>
      <c r="AE52" s="138"/>
    </row>
    <row r="53" spans="1:41" x14ac:dyDescent="0.25">
      <c r="O53" s="83">
        <v>1.02</v>
      </c>
      <c r="P53" s="83">
        <f t="shared" si="28"/>
        <v>61.424399999999999</v>
      </c>
      <c r="T53" s="93" t="s">
        <v>107</v>
      </c>
      <c r="U53" s="131">
        <v>11379038</v>
      </c>
      <c r="W53" s="133">
        <v>42534</v>
      </c>
      <c r="X53" s="10">
        <v>55</v>
      </c>
      <c r="Y53" s="10">
        <v>55.64</v>
      </c>
      <c r="Z53" s="10">
        <v>54.88</v>
      </c>
      <c r="AA53" s="10">
        <v>54.91</v>
      </c>
      <c r="AB53" s="95">
        <v>8582200</v>
      </c>
      <c r="AC53" s="10">
        <v>54.91</v>
      </c>
      <c r="AE53" s="138"/>
    </row>
    <row r="54" spans="1:41" x14ac:dyDescent="0.25">
      <c r="O54" s="83">
        <v>1.01</v>
      </c>
      <c r="P54" s="83">
        <f t="shared" si="28"/>
        <v>60.822200000000002</v>
      </c>
      <c r="T54" s="93" t="s">
        <v>110</v>
      </c>
      <c r="U54" s="131">
        <v>10426400</v>
      </c>
      <c r="W54" s="133">
        <v>42531</v>
      </c>
      <c r="X54" s="10">
        <v>54.64</v>
      </c>
      <c r="Y54" s="10">
        <v>55.36</v>
      </c>
      <c r="Z54" s="10">
        <v>54.55</v>
      </c>
      <c r="AA54" s="10">
        <v>55.11</v>
      </c>
      <c r="AB54" s="95">
        <v>12183600</v>
      </c>
      <c r="AC54" s="10">
        <v>55.11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60.22</v>
      </c>
      <c r="T55" s="93" t="s">
        <v>108</v>
      </c>
      <c r="U55" s="130" t="s">
        <v>552</v>
      </c>
      <c r="W55" s="133">
        <v>42530</v>
      </c>
      <c r="X55" s="10">
        <v>54.11</v>
      </c>
      <c r="Y55" s="10">
        <v>55.05</v>
      </c>
      <c r="Z55" s="10">
        <v>53.88</v>
      </c>
      <c r="AA55" s="10">
        <v>54.94</v>
      </c>
      <c r="AB55" s="95">
        <v>11609800</v>
      </c>
      <c r="AC55" s="10">
        <v>54.94</v>
      </c>
      <c r="AE55" s="138"/>
    </row>
    <row r="56" spans="1:41" x14ac:dyDescent="0.25">
      <c r="O56" s="83">
        <v>0.99</v>
      </c>
      <c r="P56" s="83">
        <f t="shared" si="28"/>
        <v>59.617799999999995</v>
      </c>
      <c r="T56" s="93" t="s">
        <v>111</v>
      </c>
      <c r="U56" s="130">
        <v>27.88</v>
      </c>
      <c r="W56" s="133">
        <v>42529</v>
      </c>
      <c r="X56" s="10">
        <v>53.83</v>
      </c>
      <c r="Y56" s="10">
        <v>54.34</v>
      </c>
      <c r="Z56" s="10">
        <v>53.66</v>
      </c>
      <c r="AA56" s="10">
        <v>54.12</v>
      </c>
      <c r="AB56" s="95">
        <v>12068500</v>
      </c>
      <c r="AC56" s="10">
        <v>54.12</v>
      </c>
      <c r="AE56" s="138"/>
    </row>
    <row r="57" spans="1:41" x14ac:dyDescent="0.25">
      <c r="O57" s="83">
        <v>0.98</v>
      </c>
      <c r="P57" s="83">
        <f t="shared" si="28"/>
        <v>59.015599999999999</v>
      </c>
      <c r="T57" s="93" t="s">
        <v>112</v>
      </c>
      <c r="U57" s="130">
        <v>2.16</v>
      </c>
      <c r="W57" s="133">
        <v>42528</v>
      </c>
      <c r="X57" s="10">
        <v>54.16</v>
      </c>
      <c r="Y57" s="10">
        <v>54.35</v>
      </c>
      <c r="Z57" s="10">
        <v>53.55</v>
      </c>
      <c r="AA57" s="10">
        <v>53.55</v>
      </c>
      <c r="AB57" s="95">
        <v>13334000</v>
      </c>
      <c r="AC57" s="10">
        <v>53.55</v>
      </c>
      <c r="AE57" s="138"/>
    </row>
    <row r="58" spans="1:41" x14ac:dyDescent="0.25">
      <c r="O58" s="83">
        <v>0.97</v>
      </c>
      <c r="P58" s="83">
        <f t="shared" si="28"/>
        <v>58.413399999999996</v>
      </c>
      <c r="T58" s="93" t="s">
        <v>109</v>
      </c>
      <c r="U58" s="130" t="s">
        <v>410</v>
      </c>
      <c r="W58" s="133">
        <v>42527</v>
      </c>
      <c r="X58" s="10">
        <v>53.77</v>
      </c>
      <c r="Y58" s="10">
        <v>54.54</v>
      </c>
      <c r="Z58" s="10">
        <v>53.69</v>
      </c>
      <c r="AA58" s="10">
        <v>54.3</v>
      </c>
      <c r="AB58" s="95">
        <v>13808300</v>
      </c>
      <c r="AC58" s="10">
        <v>54.3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57.811199999999999</v>
      </c>
      <c r="W59" s="133">
        <v>42524</v>
      </c>
      <c r="X59" s="10">
        <v>54.29</v>
      </c>
      <c r="Y59" s="10">
        <v>54.57</v>
      </c>
      <c r="Z59" s="10">
        <v>53.4</v>
      </c>
      <c r="AA59" s="10">
        <v>53.45</v>
      </c>
      <c r="AB59" s="95">
        <v>17265800</v>
      </c>
      <c r="AC59" s="10">
        <v>53.45</v>
      </c>
      <c r="AE59" s="138"/>
    </row>
    <row r="60" spans="1:41" x14ac:dyDescent="0.25">
      <c r="O60" s="83">
        <v>0.95</v>
      </c>
      <c r="P60" s="83">
        <f t="shared" si="28"/>
        <v>57.208999999999996</v>
      </c>
      <c r="W60" s="133">
        <v>42523</v>
      </c>
      <c r="X60" s="10">
        <v>54.22</v>
      </c>
      <c r="Y60" s="10">
        <v>54.67</v>
      </c>
      <c r="Z60" s="10">
        <v>54.22</v>
      </c>
      <c r="AA60" s="10">
        <v>54.53</v>
      </c>
      <c r="AB60" s="95">
        <v>13901700</v>
      </c>
      <c r="AC60" s="10">
        <v>54.53</v>
      </c>
      <c r="AE60" s="138"/>
    </row>
    <row r="61" spans="1:41" x14ac:dyDescent="0.25">
      <c r="O61" s="83">
        <v>0.94</v>
      </c>
      <c r="P61" s="83">
        <f t="shared" si="28"/>
        <v>56.606799999999993</v>
      </c>
      <c r="W61" s="133">
        <v>42523</v>
      </c>
      <c r="X61" s="10" t="s">
        <v>206</v>
      </c>
      <c r="Y61" s="10"/>
      <c r="Z61" s="10"/>
      <c r="AA61" s="10"/>
      <c r="AB61" s="95"/>
      <c r="AC61" s="10"/>
      <c r="AE61" s="138"/>
    </row>
    <row r="62" spans="1:41" x14ac:dyDescent="0.25">
      <c r="O62" s="83">
        <v>0.93</v>
      </c>
      <c r="P62" s="83">
        <f t="shared" si="28"/>
        <v>56.004600000000003</v>
      </c>
      <c r="W62" s="133">
        <v>42522</v>
      </c>
      <c r="X62" s="10">
        <v>53.33</v>
      </c>
      <c r="Y62" s="10">
        <v>55.04</v>
      </c>
      <c r="Z62" s="10">
        <v>52.92</v>
      </c>
      <c r="AA62" s="10">
        <v>54.93</v>
      </c>
      <c r="AB62" s="95">
        <v>28409300</v>
      </c>
      <c r="AC62" s="10">
        <v>54.77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55.4024</v>
      </c>
      <c r="W63" s="133">
        <v>42521</v>
      </c>
      <c r="X63" s="10">
        <v>56.41</v>
      </c>
      <c r="Y63" s="10">
        <v>56.47</v>
      </c>
      <c r="Z63" s="10">
        <v>55.17</v>
      </c>
      <c r="AA63" s="10">
        <v>55.22</v>
      </c>
      <c r="AB63" s="95">
        <v>14233600</v>
      </c>
      <c r="AC63" s="10">
        <v>55.06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6" t="s">
        <v>7</v>
      </c>
      <c r="J64" s="526" t="s">
        <v>95</v>
      </c>
      <c r="K64" s="526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54.800200000000004</v>
      </c>
      <c r="W64" s="133">
        <v>42517</v>
      </c>
      <c r="X64" s="10">
        <v>56.17</v>
      </c>
      <c r="Y64" s="10">
        <v>56.53</v>
      </c>
      <c r="Z64" s="10">
        <v>55.98</v>
      </c>
      <c r="AA64" s="10">
        <v>56.19</v>
      </c>
      <c r="AB64" s="95">
        <v>8525900</v>
      </c>
      <c r="AC64" s="10">
        <v>56.03</v>
      </c>
      <c r="AE64" s="138"/>
    </row>
    <row r="65" spans="1:31" x14ac:dyDescent="0.25">
      <c r="A65" s="266" t="s">
        <v>205</v>
      </c>
      <c r="B65" s="267">
        <v>42472</v>
      </c>
      <c r="C65" s="262">
        <v>50</v>
      </c>
      <c r="D65" s="263">
        <v>56.99</v>
      </c>
      <c r="E65" s="263">
        <v>0</v>
      </c>
      <c r="F65" s="263">
        <f>C65*D65+E65</f>
        <v>2849.5</v>
      </c>
      <c r="G65" s="267">
        <v>42550</v>
      </c>
      <c r="H65" s="268">
        <v>50</v>
      </c>
      <c r="I65" s="263">
        <v>54.95</v>
      </c>
      <c r="J65" s="263">
        <v>7.01</v>
      </c>
      <c r="K65" s="263">
        <f>I65*H65-J65</f>
        <v>2740.49</v>
      </c>
      <c r="L65" s="267">
        <v>42556</v>
      </c>
      <c r="M65" s="263">
        <v>11.2</v>
      </c>
      <c r="O65" s="83">
        <v>0.9</v>
      </c>
      <c r="P65" s="83">
        <f t="shared" si="28"/>
        <v>54.198</v>
      </c>
      <c r="W65" s="133">
        <v>42516</v>
      </c>
      <c r="X65" s="10">
        <v>56.05</v>
      </c>
      <c r="Y65" s="10">
        <v>56.36</v>
      </c>
      <c r="Z65" s="10">
        <v>55.6</v>
      </c>
      <c r="AA65" s="10">
        <v>55.84</v>
      </c>
      <c r="AB65" s="95">
        <v>9063100</v>
      </c>
      <c r="AC65" s="10">
        <v>55.68</v>
      </c>
      <c r="AE65" s="138"/>
    </row>
    <row r="66" spans="1:31" x14ac:dyDescent="0.25">
      <c r="A66" s="269" t="s">
        <v>71</v>
      </c>
      <c r="B66" s="267">
        <v>42521</v>
      </c>
      <c r="C66" s="262">
        <v>20</v>
      </c>
      <c r="D66" s="263">
        <v>55.21</v>
      </c>
      <c r="E66" s="263">
        <v>0</v>
      </c>
      <c r="F66" s="263">
        <f>C66*D66+E66</f>
        <v>1104.2</v>
      </c>
      <c r="G66" s="267"/>
      <c r="H66" s="268"/>
      <c r="I66" s="263"/>
      <c r="J66" s="263"/>
      <c r="K66" s="263"/>
      <c r="L66" s="262" t="s">
        <v>294</v>
      </c>
      <c r="M66" s="262"/>
      <c r="W66" s="133">
        <v>42515</v>
      </c>
      <c r="X66" s="10">
        <v>56.47</v>
      </c>
      <c r="Y66" s="10">
        <v>56.69</v>
      </c>
      <c r="Z66" s="10">
        <v>55.77</v>
      </c>
      <c r="AA66" s="10">
        <v>55.99</v>
      </c>
      <c r="AB66" s="95">
        <v>9921500</v>
      </c>
      <c r="AC66" s="10">
        <v>55.83</v>
      </c>
      <c r="AE66" s="138"/>
    </row>
    <row r="67" spans="1:31" x14ac:dyDescent="0.25">
      <c r="A67" s="262"/>
      <c r="B67" s="267">
        <v>42524</v>
      </c>
      <c r="C67" s="262">
        <v>30</v>
      </c>
      <c r="D67" s="263">
        <v>53.75</v>
      </c>
      <c r="E67" s="263">
        <v>0</v>
      </c>
      <c r="F67" s="263">
        <f>C67*D67+E67</f>
        <v>1612.5</v>
      </c>
      <c r="G67" s="267"/>
      <c r="H67" s="268"/>
      <c r="I67" s="263"/>
      <c r="J67" s="263"/>
      <c r="K67" s="263"/>
      <c r="L67" s="262"/>
      <c r="M67" s="262"/>
      <c r="W67" s="133">
        <v>42514</v>
      </c>
      <c r="X67" s="10">
        <v>56.05</v>
      </c>
      <c r="Y67" s="10">
        <v>56.77</v>
      </c>
      <c r="Z67" s="10">
        <v>55.86</v>
      </c>
      <c r="AA67" s="10">
        <v>56.59</v>
      </c>
      <c r="AB67" s="95">
        <v>11098700</v>
      </c>
      <c r="AC67" s="10">
        <v>56.43</v>
      </c>
      <c r="AE67" s="138"/>
    </row>
    <row r="68" spans="1:31" x14ac:dyDescent="0.25">
      <c r="A68" s="262"/>
      <c r="B68" s="267">
        <v>42524</v>
      </c>
      <c r="C68" s="262">
        <v>20</v>
      </c>
      <c r="D68" s="263">
        <v>53.4</v>
      </c>
      <c r="E68" s="263">
        <v>0</v>
      </c>
      <c r="F68" s="263">
        <f>C68*D68+E68</f>
        <v>1068</v>
      </c>
      <c r="G68" s="267">
        <v>42563</v>
      </c>
      <c r="H68" s="268">
        <v>70</v>
      </c>
      <c r="I68" s="263">
        <v>57.78</v>
      </c>
      <c r="J68" s="263">
        <v>0.09</v>
      </c>
      <c r="K68" s="263">
        <f>I68*H68-J68</f>
        <v>4044.5099999999998</v>
      </c>
      <c r="L68" s="262"/>
      <c r="M68" s="262"/>
      <c r="W68" s="133">
        <v>42513</v>
      </c>
      <c r="X68" s="10">
        <v>56.6</v>
      </c>
      <c r="Y68" s="10">
        <v>56.97</v>
      </c>
      <c r="Z68" s="10">
        <v>55.95</v>
      </c>
      <c r="AA68" s="10">
        <v>55.99</v>
      </c>
      <c r="AB68" s="95">
        <v>7780700</v>
      </c>
      <c r="AC68" s="10">
        <v>55.83</v>
      </c>
      <c r="AE68" s="138"/>
    </row>
    <row r="69" spans="1:31" x14ac:dyDescent="0.25">
      <c r="A69" s="262"/>
      <c r="B69" s="267">
        <v>42545</v>
      </c>
      <c r="C69" s="262">
        <v>30</v>
      </c>
      <c r="D69" s="263">
        <v>52.38</v>
      </c>
      <c r="E69" s="263">
        <v>0</v>
      </c>
      <c r="F69" s="263">
        <f>C69*D69+E69</f>
        <v>1571.4</v>
      </c>
      <c r="G69" s="267">
        <v>42593</v>
      </c>
      <c r="H69" s="268">
        <v>30</v>
      </c>
      <c r="I69" s="263">
        <v>56.38</v>
      </c>
      <c r="J69" s="263">
        <v>0.04</v>
      </c>
      <c r="K69" s="263">
        <f>I69*H69-J69</f>
        <v>1691.3600000000001</v>
      </c>
      <c r="L69" s="262"/>
      <c r="M69" s="262"/>
      <c r="W69" s="285" t="s">
        <v>122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8"/>
      <c r="I70" s="263"/>
      <c r="J70" s="263"/>
      <c r="K70" s="263"/>
      <c r="L70" s="262"/>
      <c r="M70" s="262"/>
    </row>
    <row r="71" spans="1:31" x14ac:dyDescent="0.25">
      <c r="A71" s="262"/>
      <c r="B71" s="262"/>
      <c r="C71" s="262"/>
      <c r="D71" s="262"/>
      <c r="E71" s="262"/>
      <c r="F71" s="262"/>
      <c r="G71" s="262"/>
      <c r="H71" s="268"/>
      <c r="I71" s="263"/>
      <c r="J71" s="263"/>
      <c r="K71" s="263"/>
      <c r="L71" s="262"/>
      <c r="M71" s="262"/>
    </row>
    <row r="72" spans="1:31" x14ac:dyDescent="0.25">
      <c r="A72" s="262"/>
      <c r="B72" s="262"/>
      <c r="C72" s="262"/>
      <c r="D72" s="262"/>
      <c r="E72" s="262"/>
      <c r="F72" s="262"/>
      <c r="G72" s="262"/>
      <c r="H72" s="268"/>
      <c r="I72" s="263"/>
      <c r="J72" s="263"/>
      <c r="K72" s="263"/>
      <c r="L72" s="262"/>
      <c r="M72" s="262"/>
    </row>
    <row r="73" spans="1:31" x14ac:dyDescent="0.25">
      <c r="A73" s="262"/>
      <c r="B73" s="262"/>
      <c r="C73" s="262"/>
      <c r="D73" s="262"/>
      <c r="E73" s="262"/>
      <c r="F73" s="262"/>
      <c r="G73" s="262"/>
      <c r="H73" s="268"/>
      <c r="I73" s="263"/>
      <c r="J73" s="263"/>
      <c r="K73" s="263"/>
      <c r="L73" s="262"/>
      <c r="M73" s="262"/>
    </row>
    <row r="74" spans="1:31" x14ac:dyDescent="0.25">
      <c r="A74" s="262"/>
      <c r="B74" s="262"/>
      <c r="C74" s="262"/>
      <c r="D74" s="262"/>
      <c r="E74" s="262"/>
      <c r="F74" s="262"/>
      <c r="G74" s="262"/>
      <c r="H74" s="268"/>
      <c r="I74" s="263"/>
      <c r="J74" s="263"/>
      <c r="K74" s="263"/>
      <c r="L74" s="262"/>
      <c r="M74" s="262"/>
    </row>
    <row r="75" spans="1:31" x14ac:dyDescent="0.25">
      <c r="A75" s="262"/>
      <c r="B75" s="262"/>
      <c r="C75" s="262"/>
      <c r="D75" s="262"/>
      <c r="E75" s="262"/>
      <c r="F75" s="262"/>
      <c r="G75" s="262"/>
      <c r="H75" s="268"/>
      <c r="I75" s="263"/>
      <c r="J75" s="263"/>
      <c r="K75" s="263"/>
      <c r="L75" s="262"/>
      <c r="M75" s="262"/>
    </row>
    <row r="76" spans="1:31" x14ac:dyDescent="0.25">
      <c r="A76" s="262"/>
      <c r="B76" s="262"/>
      <c r="C76" s="262"/>
      <c r="D76" s="262"/>
      <c r="E76" s="262"/>
      <c r="F76" s="262"/>
      <c r="G76" s="262"/>
      <c r="H76" s="268"/>
      <c r="I76" s="263"/>
      <c r="J76" s="263"/>
      <c r="K76" s="263"/>
      <c r="L76" s="262"/>
      <c r="M76" s="262"/>
    </row>
    <row r="77" spans="1:31" x14ac:dyDescent="0.25">
      <c r="A77" s="262"/>
      <c r="B77" s="262"/>
      <c r="C77" s="262"/>
      <c r="D77" s="262"/>
      <c r="E77" s="262"/>
      <c r="F77" s="262"/>
      <c r="G77" s="262"/>
      <c r="H77" s="268"/>
      <c r="I77" s="263"/>
      <c r="J77" s="263"/>
      <c r="K77" s="263"/>
      <c r="L77" s="262"/>
      <c r="M77" s="262"/>
    </row>
    <row r="78" spans="1:31" x14ac:dyDescent="0.25">
      <c r="A78" s="262"/>
      <c r="B78" s="262"/>
      <c r="C78" s="262"/>
      <c r="D78" s="262"/>
      <c r="E78" s="262"/>
      <c r="F78" s="262"/>
      <c r="G78" s="262"/>
      <c r="H78" s="268"/>
      <c r="I78" s="263"/>
      <c r="J78" s="263"/>
      <c r="K78" s="263"/>
      <c r="L78" s="262"/>
      <c r="M78" s="262"/>
    </row>
    <row r="79" spans="1:31" x14ac:dyDescent="0.25">
      <c r="A79" s="262"/>
      <c r="B79" s="262"/>
      <c r="C79" s="262"/>
      <c r="D79" s="262"/>
      <c r="E79" s="262"/>
      <c r="F79" s="262"/>
      <c r="G79" s="262"/>
      <c r="H79" s="268"/>
      <c r="I79" s="263"/>
      <c r="J79" s="263"/>
      <c r="K79" s="263"/>
      <c r="L79" s="262"/>
      <c r="M79" s="262"/>
    </row>
    <row r="80" spans="1:31" x14ac:dyDescent="0.25">
      <c r="A80" s="262"/>
      <c r="B80" s="262"/>
      <c r="C80" s="262"/>
      <c r="D80" s="262"/>
      <c r="E80" s="262"/>
      <c r="F80" s="262"/>
      <c r="G80" s="262"/>
      <c r="H80" s="268"/>
      <c r="I80" s="263"/>
      <c r="J80" s="263"/>
      <c r="K80" s="263"/>
      <c r="L80" s="262"/>
      <c r="M80" s="262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1" t="s">
        <v>204</v>
      </c>
      <c r="B82" s="492"/>
      <c r="C82" s="493">
        <f>SumByColor($A$19,C65:C80)</f>
        <v>0</v>
      </c>
      <c r="D82" s="493"/>
      <c r="E82" s="493"/>
      <c r="F82" s="494">
        <f>SumByColor($A$19,F65:F68)</f>
        <v>0</v>
      </c>
      <c r="G82" s="493"/>
      <c r="H82" s="493">
        <f>SumByColor($A$19,H65:H80)</f>
        <v>0</v>
      </c>
      <c r="I82" s="493"/>
      <c r="J82" s="493"/>
      <c r="K82" s="494">
        <f>SumByColor($A$19,K65:K80)</f>
        <v>0</v>
      </c>
      <c r="L82" s="493"/>
      <c r="M82" s="494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5" priority="29">
      <formula>F27&gt;0</formula>
    </cfRule>
    <cfRule type="expression" dxfId="474" priority="30">
      <formula>F27&lt;0</formula>
    </cfRule>
  </conditionalFormatting>
  <conditionalFormatting sqref="H27:H33 H35:H45">
    <cfRule type="expression" dxfId="473" priority="25">
      <formula>H27&gt;0</formula>
    </cfRule>
    <cfRule type="expression" dxfId="472" priority="26">
      <formula>H27&lt;0</formula>
    </cfRule>
  </conditionalFormatting>
  <conditionalFormatting sqref="F23:F26">
    <cfRule type="expression" dxfId="471" priority="11">
      <formula>F23&gt;0</formula>
    </cfRule>
    <cfRule type="expression" dxfId="470" priority="12">
      <formula>F23&lt;0</formula>
    </cfRule>
  </conditionalFormatting>
  <conditionalFormatting sqref="H23:H26">
    <cfRule type="expression" dxfId="469" priority="9">
      <formula>H23&gt;0</formula>
    </cfRule>
    <cfRule type="expression" dxfId="468" priority="10">
      <formula>H23&lt;0</formula>
    </cfRule>
  </conditionalFormatting>
  <conditionalFormatting sqref="Q8">
    <cfRule type="expression" dxfId="467" priority="5">
      <formula>Q8&gt;0</formula>
    </cfRule>
    <cfRule type="expression" dxfId="466" priority="6">
      <formula>Q8&lt;0</formula>
    </cfRule>
  </conditionalFormatting>
  <conditionalFormatting sqref="Q7">
    <cfRule type="expression" dxfId="465" priority="7">
      <formula>Q7&gt;0</formula>
    </cfRule>
    <cfRule type="expression" dxfId="464" priority="8">
      <formula>Q7&lt;0</formula>
    </cfRule>
  </conditionalFormatting>
  <conditionalFormatting sqref="F34">
    <cfRule type="expression" dxfId="463" priority="3">
      <formula>F34&gt;0</formula>
    </cfRule>
    <cfRule type="expression" dxfId="462" priority="4">
      <formula>F34&lt;0</formula>
    </cfRule>
  </conditionalFormatting>
  <conditionalFormatting sqref="H34">
    <cfRule type="expression" dxfId="461" priority="1">
      <formula>H34&gt;0</formula>
    </cfRule>
    <cfRule type="expression" dxfId="46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2" t="s">
        <v>300</v>
      </c>
      <c r="W2" s="133">
        <v>42606</v>
      </c>
      <c r="X2" s="10">
        <v>29.22</v>
      </c>
      <c r="Y2" s="10">
        <v>29.38</v>
      </c>
      <c r="Z2" s="10">
        <v>28.39</v>
      </c>
      <c r="AA2" s="10">
        <v>28.44</v>
      </c>
      <c r="AB2" s="95">
        <v>4233000</v>
      </c>
      <c r="AC2" s="10">
        <v>28.44</v>
      </c>
      <c r="AD2" s="2">
        <f>Y2-Z2</f>
        <v>0.98999999999999844</v>
      </c>
      <c r="AE2" s="138">
        <f>AC2/AC3-1</f>
        <v>-2.8356679193713652E-2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28.44</v>
      </c>
      <c r="T3" s="1"/>
      <c r="W3" s="133">
        <v>42605</v>
      </c>
      <c r="X3" s="10">
        <v>28.72</v>
      </c>
      <c r="Y3" s="10">
        <v>29.47</v>
      </c>
      <c r="Z3" s="10">
        <v>28.64</v>
      </c>
      <c r="AA3" s="10">
        <v>29.27</v>
      </c>
      <c r="AB3" s="95">
        <v>5265900</v>
      </c>
      <c r="AC3" s="10">
        <v>29.27</v>
      </c>
      <c r="AD3" s="2">
        <f t="shared" ref="AD3:AD66" si="0">Y3-Z3</f>
        <v>0.82999999999999829</v>
      </c>
      <c r="AE3" s="138">
        <f t="shared" ref="AE3:AE66" si="1">AC3/AC4-1</f>
        <v>3.0996829869672338E-2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28.44</v>
      </c>
      <c r="T4" s="163"/>
      <c r="U4" s="1"/>
      <c r="W4" s="133">
        <v>42604</v>
      </c>
      <c r="X4" s="10">
        <v>27.87</v>
      </c>
      <c r="Y4" s="10">
        <v>28.43</v>
      </c>
      <c r="Z4" s="10">
        <v>27.72</v>
      </c>
      <c r="AA4" s="10">
        <v>28.39</v>
      </c>
      <c r="AB4" s="95">
        <v>3536500</v>
      </c>
      <c r="AC4" s="10">
        <v>28.39</v>
      </c>
      <c r="AD4" s="2">
        <f t="shared" si="0"/>
        <v>0.71000000000000085</v>
      </c>
      <c r="AE4" s="138">
        <f t="shared" si="1"/>
        <v>1.1400071250445398E-2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42601</v>
      </c>
      <c r="X5" s="10">
        <v>27.65</v>
      </c>
      <c r="Y5" s="10">
        <v>28.15</v>
      </c>
      <c r="Z5" s="10">
        <v>27.44</v>
      </c>
      <c r="AA5" s="10">
        <v>28.07</v>
      </c>
      <c r="AB5" s="95">
        <v>3010000</v>
      </c>
      <c r="AC5" s="10">
        <v>28.07</v>
      </c>
      <c r="AD5" s="2">
        <f t="shared" si="0"/>
        <v>0.7099999999999973</v>
      </c>
      <c r="AE5" s="138">
        <f t="shared" si="1"/>
        <v>3.9341917024320328E-3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42600</v>
      </c>
      <c r="X6" s="10">
        <v>27.86</v>
      </c>
      <c r="Y6" s="10">
        <v>28.03</v>
      </c>
      <c r="Z6" s="10">
        <v>27.62</v>
      </c>
      <c r="AA6" s="10">
        <v>27.96</v>
      </c>
      <c r="AB6" s="95">
        <v>4276700</v>
      </c>
      <c r="AC6" s="10">
        <v>27.96</v>
      </c>
      <c r="AD6" s="2">
        <f t="shared" si="0"/>
        <v>0.41000000000000014</v>
      </c>
      <c r="AE6" s="138">
        <f t="shared" si="1"/>
        <v>5.7553956834532904E-3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42599</v>
      </c>
      <c r="X7" s="10">
        <v>27.8</v>
      </c>
      <c r="Y7" s="10">
        <v>27.97</v>
      </c>
      <c r="Z7" s="10">
        <v>27.37</v>
      </c>
      <c r="AA7" s="10">
        <v>27.8</v>
      </c>
      <c r="AB7" s="95">
        <v>4616900</v>
      </c>
      <c r="AC7" s="10">
        <v>27.8</v>
      </c>
      <c r="AD7" s="2">
        <f t="shared" si="0"/>
        <v>0.59999999999999787</v>
      </c>
      <c r="AE7" s="138">
        <f t="shared" si="1"/>
        <v>-9.6188101175632701E-3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42598</v>
      </c>
      <c r="X8" s="10">
        <v>28.5</v>
      </c>
      <c r="Y8" s="10">
        <v>28.7</v>
      </c>
      <c r="Z8" s="10">
        <v>27.85</v>
      </c>
      <c r="AA8" s="10">
        <v>28.07</v>
      </c>
      <c r="AB8" s="95">
        <v>4670000</v>
      </c>
      <c r="AC8" s="10">
        <v>28.07</v>
      </c>
      <c r="AD8" s="2">
        <f t="shared" si="0"/>
        <v>0.84999999999999787</v>
      </c>
      <c r="AE8" s="138">
        <f t="shared" si="1"/>
        <v>-1.2662680267323201E-2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42597</v>
      </c>
      <c r="X9" s="10">
        <v>27.26</v>
      </c>
      <c r="Y9" s="10">
        <v>28.5</v>
      </c>
      <c r="Z9" s="10">
        <v>27.19</v>
      </c>
      <c r="AA9" s="10">
        <v>28.43</v>
      </c>
      <c r="AB9" s="95">
        <v>4628700</v>
      </c>
      <c r="AC9" s="10">
        <v>28.43</v>
      </c>
      <c r="AD9" s="2">
        <f t="shared" si="0"/>
        <v>1.3099999999999987</v>
      </c>
      <c r="AE9" s="138">
        <f t="shared" si="1"/>
        <v>4.5989698307579152E-2</v>
      </c>
    </row>
    <row r="10" spans="1:31" x14ac:dyDescent="0.25">
      <c r="H10" s="72"/>
      <c r="O10" s="11" t="s">
        <v>224</v>
      </c>
      <c r="P10" s="34"/>
      <c r="Q10" s="2">
        <f>M56</f>
        <v>287.94000000000005</v>
      </c>
      <c r="W10" s="133">
        <v>42594</v>
      </c>
      <c r="X10" s="10">
        <v>28.11</v>
      </c>
      <c r="Y10" s="10">
        <v>28.5</v>
      </c>
      <c r="Z10" s="10">
        <v>27.13</v>
      </c>
      <c r="AA10" s="10">
        <v>27.18</v>
      </c>
      <c r="AB10" s="95">
        <v>5417400</v>
      </c>
      <c r="AC10" s="10">
        <v>27.18</v>
      </c>
      <c r="AD10" s="2">
        <f t="shared" si="0"/>
        <v>1.370000000000001</v>
      </c>
      <c r="AE10" s="138">
        <f t="shared" si="1"/>
        <v>-3.3084311632870844E-2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42593</v>
      </c>
      <c r="X11" s="10">
        <v>27.94</v>
      </c>
      <c r="Y11" s="10">
        <v>28.18</v>
      </c>
      <c r="Z11" s="10">
        <v>27.3</v>
      </c>
      <c r="AA11" s="10">
        <v>28.11</v>
      </c>
      <c r="AB11" s="95">
        <v>4386000</v>
      </c>
      <c r="AC11" s="10">
        <v>28.11</v>
      </c>
      <c r="AD11" s="2">
        <f t="shared" si="0"/>
        <v>0.87999999999999901</v>
      </c>
      <c r="AE11" s="138">
        <f t="shared" si="1"/>
        <v>8.2496413199426577E-3</v>
      </c>
    </row>
    <row r="12" spans="1:31" x14ac:dyDescent="0.25">
      <c r="H12" s="72"/>
      <c r="W12" s="133">
        <v>42592</v>
      </c>
      <c r="X12" s="10">
        <v>28.31</v>
      </c>
      <c r="Y12" s="10">
        <v>28.7</v>
      </c>
      <c r="Z12" s="10">
        <v>27.79</v>
      </c>
      <c r="AA12" s="10">
        <v>27.88</v>
      </c>
      <c r="AB12" s="95">
        <v>5130600</v>
      </c>
      <c r="AC12" s="10">
        <v>27.88</v>
      </c>
      <c r="AD12" s="2">
        <f t="shared" si="0"/>
        <v>0.91000000000000014</v>
      </c>
      <c r="AE12" s="138">
        <f t="shared" si="1"/>
        <v>-1.1697979439915018E-2</v>
      </c>
    </row>
    <row r="13" spans="1:31" x14ac:dyDescent="0.25">
      <c r="H13" s="72"/>
      <c r="W13" s="133">
        <v>42591</v>
      </c>
      <c r="X13" s="10">
        <v>28.39</v>
      </c>
      <c r="Y13" s="10">
        <v>28.66</v>
      </c>
      <c r="Z13" s="10">
        <v>28.12</v>
      </c>
      <c r="AA13" s="10">
        <v>28.21</v>
      </c>
      <c r="AB13" s="95">
        <v>4342300</v>
      </c>
      <c r="AC13" s="10">
        <v>28.21</v>
      </c>
      <c r="AD13" s="2">
        <f t="shared" si="0"/>
        <v>0.53999999999999915</v>
      </c>
      <c r="AE13" s="138">
        <f t="shared" si="1"/>
        <v>-3.8841807909604231E-3</v>
      </c>
    </row>
    <row r="14" spans="1:31" x14ac:dyDescent="0.25">
      <c r="H14" s="72"/>
      <c r="W14" s="133">
        <v>42590</v>
      </c>
      <c r="X14" s="10">
        <v>27.47</v>
      </c>
      <c r="Y14" s="10">
        <v>28.4</v>
      </c>
      <c r="Z14" s="10">
        <v>27.47</v>
      </c>
      <c r="AA14" s="10">
        <v>28.32</v>
      </c>
      <c r="AB14" s="95">
        <v>4755700</v>
      </c>
      <c r="AC14" s="10">
        <v>28.32</v>
      </c>
      <c r="AD14" s="2">
        <f t="shared" si="0"/>
        <v>0.92999999999999972</v>
      </c>
      <c r="AE14" s="138">
        <f t="shared" si="1"/>
        <v>3.8503850385038563E-2</v>
      </c>
    </row>
    <row r="15" spans="1:31" x14ac:dyDescent="0.25">
      <c r="H15" s="72"/>
      <c r="W15" s="133">
        <v>42587</v>
      </c>
      <c r="X15" s="10">
        <v>26.65</v>
      </c>
      <c r="Y15" s="10">
        <v>27.69</v>
      </c>
      <c r="Z15" s="10">
        <v>26.51</v>
      </c>
      <c r="AA15" s="10">
        <v>27.27</v>
      </c>
      <c r="AB15" s="95">
        <v>6205800</v>
      </c>
      <c r="AC15" s="10">
        <v>27.27</v>
      </c>
      <c r="AD15" s="2">
        <f t="shared" si="0"/>
        <v>1.1799999999999997</v>
      </c>
      <c r="AE15" s="138">
        <f t="shared" si="1"/>
        <v>3.1391830559757805E-2</v>
      </c>
    </row>
    <row r="16" spans="1:31" x14ac:dyDescent="0.25">
      <c r="H16" s="72"/>
      <c r="W16" s="133">
        <v>42586</v>
      </c>
      <c r="X16" s="10">
        <v>27.11</v>
      </c>
      <c r="Y16" s="10">
        <v>27.11</v>
      </c>
      <c r="Z16" s="10">
        <v>25.98</v>
      </c>
      <c r="AA16" s="10">
        <v>26.44</v>
      </c>
      <c r="AB16" s="95">
        <v>6586900</v>
      </c>
      <c r="AC16" s="10">
        <v>26.44</v>
      </c>
      <c r="AD16" s="2">
        <f t="shared" si="0"/>
        <v>1.129999999999999</v>
      </c>
      <c r="AE16" s="138">
        <f t="shared" si="1"/>
        <v>-3.1501831501831501E-2</v>
      </c>
    </row>
    <row r="17" spans="1:31" x14ac:dyDescent="0.25">
      <c r="W17" s="133">
        <v>42585</v>
      </c>
      <c r="X17" s="10">
        <v>27.11</v>
      </c>
      <c r="Y17" s="10">
        <v>27.75</v>
      </c>
      <c r="Z17" s="10">
        <v>26.85</v>
      </c>
      <c r="AA17" s="10">
        <v>27.3</v>
      </c>
      <c r="AB17" s="95">
        <v>6253300</v>
      </c>
      <c r="AC17" s="10">
        <v>27.3</v>
      </c>
      <c r="AD17" s="2">
        <f t="shared" si="0"/>
        <v>0.89999999999999858</v>
      </c>
      <c r="AE17" s="138">
        <f t="shared" si="1"/>
        <v>1.4673514306675628E-3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42584</v>
      </c>
      <c r="X18" s="10">
        <v>26.42</v>
      </c>
      <c r="Y18" s="10">
        <v>28.06</v>
      </c>
      <c r="Z18" s="10">
        <v>26.42</v>
      </c>
      <c r="AA18" s="10">
        <v>27.26</v>
      </c>
      <c r="AB18" s="95">
        <v>8097800</v>
      </c>
      <c r="AC18" s="10">
        <v>27.26</v>
      </c>
      <c r="AD18" s="2">
        <f t="shared" si="0"/>
        <v>1.639999999999997</v>
      </c>
      <c r="AE18" s="138">
        <f t="shared" si="1"/>
        <v>2.3657529102516062E-2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42583</v>
      </c>
      <c r="X19" s="10">
        <v>27.02</v>
      </c>
      <c r="Y19" s="10">
        <v>27.13</v>
      </c>
      <c r="Z19" s="10">
        <v>26.41</v>
      </c>
      <c r="AA19" s="10">
        <v>26.63</v>
      </c>
      <c r="AB19" s="95">
        <v>6613100</v>
      </c>
      <c r="AC19" s="10">
        <v>26.63</v>
      </c>
      <c r="AD19" s="2">
        <f t="shared" si="0"/>
        <v>0.71999999999999886</v>
      </c>
      <c r="AE19" s="138">
        <f t="shared" si="1"/>
        <v>-1.3703703703703773E-2</v>
      </c>
    </row>
    <row r="20" spans="1:31" x14ac:dyDescent="0.25">
      <c r="W20" s="133">
        <v>42580</v>
      </c>
      <c r="X20" s="10">
        <v>27.53</v>
      </c>
      <c r="Y20" s="10">
        <v>27.54</v>
      </c>
      <c r="Z20" s="10">
        <v>26.63</v>
      </c>
      <c r="AA20" s="10">
        <v>27</v>
      </c>
      <c r="AB20" s="95">
        <v>9051400</v>
      </c>
      <c r="AC20" s="10">
        <v>27</v>
      </c>
      <c r="AD20" s="2">
        <f t="shared" si="0"/>
        <v>0.91000000000000014</v>
      </c>
      <c r="AE20" s="138">
        <f t="shared" si="1"/>
        <v>-2.3508137432188048E-2</v>
      </c>
    </row>
    <row r="21" spans="1:31" x14ac:dyDescent="0.25">
      <c r="W21" s="133">
        <v>42579</v>
      </c>
      <c r="X21" s="10">
        <v>28.32</v>
      </c>
      <c r="Y21" s="10">
        <v>28.37</v>
      </c>
      <c r="Z21" s="10">
        <v>27.43</v>
      </c>
      <c r="AA21" s="10">
        <v>27.65</v>
      </c>
      <c r="AB21" s="95">
        <v>5901100</v>
      </c>
      <c r="AC21" s="10">
        <v>27.65</v>
      </c>
      <c r="AD21" s="2">
        <f t="shared" si="0"/>
        <v>0.94000000000000128</v>
      </c>
      <c r="AE21" s="138">
        <f t="shared" si="1"/>
        <v>-4.259002770083109E-2</v>
      </c>
    </row>
    <row r="22" spans="1:31" x14ac:dyDescent="0.25">
      <c r="W22" s="133">
        <v>42578</v>
      </c>
      <c r="X22" s="10">
        <v>29.43</v>
      </c>
      <c r="Y22" s="10">
        <v>29.69</v>
      </c>
      <c r="Z22" s="10">
        <v>28.58</v>
      </c>
      <c r="AA22" s="10">
        <v>28.88</v>
      </c>
      <c r="AB22" s="95">
        <v>3798800</v>
      </c>
      <c r="AC22" s="10">
        <v>28.88</v>
      </c>
      <c r="AD22" s="2">
        <f t="shared" si="0"/>
        <v>1.110000000000003</v>
      </c>
      <c r="AE22" s="138">
        <f t="shared" si="1"/>
        <v>-1.5678254942058656E-2</v>
      </c>
    </row>
    <row r="23" spans="1:31" x14ac:dyDescent="0.25">
      <c r="W23" s="133">
        <v>42577</v>
      </c>
      <c r="X23" s="10">
        <v>28.63</v>
      </c>
      <c r="Y23" s="10">
        <v>29.46</v>
      </c>
      <c r="Z23" s="10">
        <v>28.5</v>
      </c>
      <c r="AA23" s="10">
        <v>29.34</v>
      </c>
      <c r="AB23" s="95">
        <v>3773700</v>
      </c>
      <c r="AC23" s="10">
        <v>29.34</v>
      </c>
      <c r="AD23" s="2">
        <f t="shared" si="0"/>
        <v>0.96000000000000085</v>
      </c>
      <c r="AE23" s="138">
        <f t="shared" si="1"/>
        <v>2.479916171847707E-2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28.24</v>
      </c>
      <c r="Y24" s="10">
        <v>28.65</v>
      </c>
      <c r="Z24" s="10">
        <v>27.98</v>
      </c>
      <c r="AA24" s="10">
        <v>28.63</v>
      </c>
      <c r="AB24" s="95">
        <v>4375000</v>
      </c>
      <c r="AC24" s="10">
        <v>28.63</v>
      </c>
      <c r="AD24" s="2">
        <f t="shared" si="0"/>
        <v>0.66999999999999815</v>
      </c>
      <c r="AE24" s="138">
        <f t="shared" si="1"/>
        <v>1.2376237623762387E-2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42573</v>
      </c>
      <c r="X25" s="10">
        <v>28.74</v>
      </c>
      <c r="Y25" s="10">
        <v>28.97</v>
      </c>
      <c r="Z25" s="10">
        <v>28.24</v>
      </c>
      <c r="AA25" s="10">
        <v>28.28</v>
      </c>
      <c r="AB25" s="95">
        <v>3892600</v>
      </c>
      <c r="AC25" s="10">
        <v>28.28</v>
      </c>
      <c r="AD25" s="2">
        <f t="shared" si="0"/>
        <v>0.73000000000000043</v>
      </c>
      <c r="AE25" s="138">
        <f t="shared" si="1"/>
        <v>-2.1114572516441665E-2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42572</v>
      </c>
      <c r="X26" s="10">
        <v>29.02</v>
      </c>
      <c r="Y26" s="10">
        <v>29.41</v>
      </c>
      <c r="Z26" s="10">
        <v>28.66</v>
      </c>
      <c r="AA26" s="10">
        <v>28.89</v>
      </c>
      <c r="AB26" s="95">
        <v>4071100</v>
      </c>
      <c r="AC26" s="10">
        <v>28.89</v>
      </c>
      <c r="AD26" s="2">
        <f t="shared" si="0"/>
        <v>0.75</v>
      </c>
      <c r="AE26" s="138">
        <f t="shared" si="1"/>
        <v>-4.1365046535677408E-3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42571</v>
      </c>
      <c r="X27" s="10">
        <v>28.58</v>
      </c>
      <c r="Y27" s="10">
        <v>29.58</v>
      </c>
      <c r="Z27" s="10">
        <v>28.3</v>
      </c>
      <c r="AA27" s="10">
        <v>29.01</v>
      </c>
      <c r="AB27" s="95">
        <v>5825800</v>
      </c>
      <c r="AC27" s="10">
        <v>29.01</v>
      </c>
      <c r="AD27" s="2">
        <f t="shared" si="0"/>
        <v>1.2799999999999976</v>
      </c>
      <c r="AE27" s="138">
        <f t="shared" si="1"/>
        <v>1.1506276150627714E-2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42570</v>
      </c>
      <c r="X28" s="10">
        <v>28.8</v>
      </c>
      <c r="Y28" s="10">
        <v>29.24</v>
      </c>
      <c r="Z28" s="10">
        <v>28.29</v>
      </c>
      <c r="AA28" s="10">
        <v>28.68</v>
      </c>
      <c r="AB28" s="95">
        <v>6292700</v>
      </c>
      <c r="AC28" s="10">
        <v>28.68</v>
      </c>
      <c r="AD28" s="2">
        <f t="shared" si="0"/>
        <v>0.94999999999999929</v>
      </c>
      <c r="AE28" s="138">
        <f t="shared" si="1"/>
        <v>-2.0491803278688603E-2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42569</v>
      </c>
      <c r="X29" s="10">
        <v>28.62</v>
      </c>
      <c r="Y29" s="10">
        <v>29.37</v>
      </c>
      <c r="Z29" s="10">
        <v>28.26</v>
      </c>
      <c r="AA29" s="10">
        <v>29.28</v>
      </c>
      <c r="AB29" s="95">
        <v>5520600</v>
      </c>
      <c r="AC29" s="10">
        <v>29.28</v>
      </c>
      <c r="AD29" s="2">
        <f t="shared" si="0"/>
        <v>1.1099999999999994</v>
      </c>
      <c r="AE29" s="138">
        <f t="shared" si="1"/>
        <v>2.0564656674799675E-2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42566</v>
      </c>
      <c r="X30" s="10">
        <v>28.3</v>
      </c>
      <c r="Y30" s="10">
        <v>28.71</v>
      </c>
      <c r="Z30" s="10">
        <v>27.95</v>
      </c>
      <c r="AA30" s="10">
        <v>28.69</v>
      </c>
      <c r="AB30" s="95">
        <v>4862000</v>
      </c>
      <c r="AC30" s="10">
        <v>28.69</v>
      </c>
      <c r="AD30" s="2">
        <f t="shared" si="0"/>
        <v>0.76000000000000156</v>
      </c>
      <c r="AE30" s="138">
        <f t="shared" si="1"/>
        <v>1.8097941802696971E-2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42565</v>
      </c>
      <c r="X31" s="10">
        <v>27.62</v>
      </c>
      <c r="Y31" s="10">
        <v>28.67</v>
      </c>
      <c r="Z31" s="10">
        <v>27.36</v>
      </c>
      <c r="AA31" s="10">
        <v>28.18</v>
      </c>
      <c r="AB31" s="95">
        <v>6964800</v>
      </c>
      <c r="AC31" s="10">
        <v>28.18</v>
      </c>
      <c r="AD31" s="2">
        <f t="shared" si="0"/>
        <v>1.3100000000000023</v>
      </c>
      <c r="AE31" s="138">
        <f t="shared" si="1"/>
        <v>2.8091937249179022E-2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42564</v>
      </c>
      <c r="X32" s="10">
        <v>26.15</v>
      </c>
      <c r="Y32" s="10">
        <v>27.42</v>
      </c>
      <c r="Z32" s="10">
        <v>25.94</v>
      </c>
      <c r="AA32" s="10">
        <v>27.41</v>
      </c>
      <c r="AB32" s="95">
        <v>7547700</v>
      </c>
      <c r="AC32" s="10">
        <v>27.41</v>
      </c>
      <c r="AD32" s="2">
        <f t="shared" si="0"/>
        <v>1.4800000000000004</v>
      </c>
      <c r="AE32" s="138">
        <f t="shared" si="1"/>
        <v>3.5120845921450039E-2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42563</v>
      </c>
      <c r="X33" s="10">
        <v>25.74</v>
      </c>
      <c r="Y33" s="10">
        <v>26.83</v>
      </c>
      <c r="Z33" s="10">
        <v>25.74</v>
      </c>
      <c r="AA33" s="10">
        <v>26.48</v>
      </c>
      <c r="AB33" s="95">
        <v>6540500</v>
      </c>
      <c r="AC33" s="10">
        <v>26.48</v>
      </c>
      <c r="AD33" s="2">
        <f t="shared" si="0"/>
        <v>1.0899999999999999</v>
      </c>
      <c r="AE33" s="138">
        <f t="shared" si="1"/>
        <v>3.0751265083690082E-2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42562</v>
      </c>
      <c r="X34" s="10">
        <v>25.7</v>
      </c>
      <c r="Y34" s="10">
        <v>26.2</v>
      </c>
      <c r="Z34" s="10">
        <v>25.59</v>
      </c>
      <c r="AA34" s="10">
        <v>25.69</v>
      </c>
      <c r="AB34" s="95">
        <v>3561400</v>
      </c>
      <c r="AC34" s="10">
        <v>25.69</v>
      </c>
      <c r="AD34" s="2">
        <f t="shared" si="0"/>
        <v>0.60999999999999943</v>
      </c>
      <c r="AE34" s="138">
        <f t="shared" si="1"/>
        <v>8.2417582417582125E-3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42559</v>
      </c>
      <c r="X35" s="10">
        <v>25.39</v>
      </c>
      <c r="Y35" s="10">
        <v>25.6</v>
      </c>
      <c r="Z35" s="10">
        <v>24.99</v>
      </c>
      <c r="AA35" s="10">
        <v>25.48</v>
      </c>
      <c r="AB35" s="95">
        <v>4398700</v>
      </c>
      <c r="AC35" s="10">
        <v>25.48</v>
      </c>
      <c r="AD35" s="2">
        <f t="shared" si="0"/>
        <v>0.61000000000000298</v>
      </c>
      <c r="AE35" s="138">
        <f t="shared" si="1"/>
        <v>1.9607843137255054E-2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42558</v>
      </c>
      <c r="X36" s="10">
        <v>25.43</v>
      </c>
      <c r="Y36" s="10">
        <v>25.71</v>
      </c>
      <c r="Z36" s="10">
        <v>24.84</v>
      </c>
      <c r="AA36" s="10">
        <v>24.99</v>
      </c>
      <c r="AB36" s="95">
        <v>4477100</v>
      </c>
      <c r="AC36" s="10">
        <v>24.99</v>
      </c>
      <c r="AD36" s="2">
        <f t="shared" si="0"/>
        <v>0.87000000000000099</v>
      </c>
      <c r="AE36" s="138">
        <f t="shared" si="1"/>
        <v>-9.5124851367420771E-3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42557</v>
      </c>
      <c r="X37" s="10">
        <v>25.44</v>
      </c>
      <c r="Y37" s="10">
        <v>25.48</v>
      </c>
      <c r="Z37" s="10">
        <v>24.45</v>
      </c>
      <c r="AA37" s="10">
        <v>25.23</v>
      </c>
      <c r="AB37" s="95">
        <v>4557800</v>
      </c>
      <c r="AC37" s="10">
        <v>25.23</v>
      </c>
      <c r="AD37" s="2">
        <f t="shared" si="0"/>
        <v>1.0300000000000011</v>
      </c>
      <c r="AE37" s="138">
        <f t="shared" si="1"/>
        <v>-9.4228504122496615E-3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42556</v>
      </c>
      <c r="X38" s="10">
        <v>26.24</v>
      </c>
      <c r="Y38" s="10">
        <v>26.56</v>
      </c>
      <c r="Z38" s="10">
        <v>25.24</v>
      </c>
      <c r="AA38" s="10">
        <v>25.47</v>
      </c>
      <c r="AB38" s="95">
        <v>3895700</v>
      </c>
      <c r="AC38" s="10">
        <v>25.47</v>
      </c>
      <c r="AD38" s="2">
        <f t="shared" si="0"/>
        <v>1.3200000000000003</v>
      </c>
      <c r="AE38" s="138">
        <f t="shared" si="1"/>
        <v>-4.1400075272864156E-2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42552</v>
      </c>
      <c r="X39" s="10">
        <v>26.03</v>
      </c>
      <c r="Y39" s="10">
        <v>26.87</v>
      </c>
      <c r="Z39" s="10">
        <v>26.02</v>
      </c>
      <c r="AA39" s="10">
        <v>26.57</v>
      </c>
      <c r="AB39" s="95">
        <v>3845900</v>
      </c>
      <c r="AC39" s="10">
        <v>26.57</v>
      </c>
      <c r="AD39" s="2">
        <f t="shared" si="0"/>
        <v>0.85000000000000142</v>
      </c>
      <c r="AE39" s="138">
        <f t="shared" si="1"/>
        <v>1.4896867838044336E-2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42551</v>
      </c>
      <c r="X40" s="10">
        <v>25.71</v>
      </c>
      <c r="Y40" s="10">
        <v>26.79</v>
      </c>
      <c r="Z40" s="10">
        <v>25.21</v>
      </c>
      <c r="AA40" s="10">
        <v>26.18</v>
      </c>
      <c r="AB40" s="95">
        <v>7548800</v>
      </c>
      <c r="AC40" s="10">
        <v>26.18</v>
      </c>
      <c r="AD40" s="2">
        <f t="shared" si="0"/>
        <v>1.5799999999999983</v>
      </c>
      <c r="AE40" s="138">
        <f t="shared" si="1"/>
        <v>2.1857923497267784E-2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31.284000000000002</v>
      </c>
      <c r="Q41" s="2"/>
      <c r="W41" s="133">
        <v>42550</v>
      </c>
      <c r="X41" s="10">
        <v>25.58</v>
      </c>
      <c r="Y41" s="10">
        <v>25.73</v>
      </c>
      <c r="Z41" s="10">
        <v>25.04</v>
      </c>
      <c r="AA41" s="10">
        <v>25.62</v>
      </c>
      <c r="AB41" s="95">
        <v>4469700</v>
      </c>
      <c r="AC41" s="10">
        <v>25.62</v>
      </c>
      <c r="AD41" s="2">
        <f t="shared" si="0"/>
        <v>0.69000000000000128</v>
      </c>
      <c r="AE41" s="138">
        <f t="shared" si="1"/>
        <v>1.4251781472684133E-2</v>
      </c>
    </row>
    <row r="42" spans="2:31" ht="20.25" thickBot="1" x14ac:dyDescent="0.35">
      <c r="O42" s="83">
        <v>1.0900000000000001</v>
      </c>
      <c r="P42" s="83">
        <f t="shared" ref="P42:P61" si="27">O42*$Q$4</f>
        <v>30.999600000000004</v>
      </c>
      <c r="Q42" s="2"/>
      <c r="T42" s="91" t="s">
        <v>113</v>
      </c>
      <c r="W42" s="133">
        <v>42549</v>
      </c>
      <c r="X42" s="10">
        <v>25.27</v>
      </c>
      <c r="Y42" s="10">
        <v>25.58</v>
      </c>
      <c r="Z42" s="10">
        <v>24.84</v>
      </c>
      <c r="AA42" s="10">
        <v>25.26</v>
      </c>
      <c r="AB42" s="95">
        <v>4953400</v>
      </c>
      <c r="AC42" s="10">
        <v>25.26</v>
      </c>
      <c r="AD42" s="2">
        <f t="shared" si="0"/>
        <v>0.73999999999999844</v>
      </c>
      <c r="AE42" s="138">
        <f t="shared" si="1"/>
        <v>2.3086269744835963E-2</v>
      </c>
    </row>
    <row r="43" spans="2:31" ht="15.75" thickTop="1" x14ac:dyDescent="0.25">
      <c r="O43" s="83">
        <v>1.08</v>
      </c>
      <c r="P43" s="83">
        <f t="shared" si="27"/>
        <v>30.715200000000003</v>
      </c>
      <c r="Q43" s="2"/>
      <c r="T43" s="128" t="s">
        <v>98</v>
      </c>
      <c r="U43" s="129">
        <v>29.27</v>
      </c>
      <c r="W43" s="133">
        <v>42548</v>
      </c>
      <c r="X43" s="10">
        <v>26.43</v>
      </c>
      <c r="Y43" s="10">
        <v>26.5</v>
      </c>
      <c r="Z43" s="10">
        <v>24.53</v>
      </c>
      <c r="AA43" s="10">
        <v>24.69</v>
      </c>
      <c r="AB43" s="95">
        <v>7350400</v>
      </c>
      <c r="AC43" s="10">
        <v>24.69</v>
      </c>
      <c r="AD43" s="2">
        <f t="shared" si="0"/>
        <v>1.9699999999999989</v>
      </c>
      <c r="AE43" s="138">
        <f t="shared" si="1"/>
        <v>-8.2497212931995523E-2</v>
      </c>
    </row>
    <row r="44" spans="2:31" x14ac:dyDescent="0.25">
      <c r="O44" s="83">
        <v>1.07</v>
      </c>
      <c r="P44" s="83">
        <f t="shared" si="27"/>
        <v>30.430800000000001</v>
      </c>
      <c r="Q44" s="2"/>
      <c r="T44" s="93" t="s">
        <v>99</v>
      </c>
      <c r="U44" s="130">
        <v>29.22</v>
      </c>
      <c r="W44" s="133">
        <v>42545</v>
      </c>
      <c r="X44" s="10">
        <v>26.93</v>
      </c>
      <c r="Y44" s="10">
        <v>27.83</v>
      </c>
      <c r="Z44" s="10">
        <v>26.64</v>
      </c>
      <c r="AA44" s="10">
        <v>26.91</v>
      </c>
      <c r="AB44" s="95">
        <v>8695100</v>
      </c>
      <c r="AC44" s="10">
        <v>26.91</v>
      </c>
      <c r="AD44" s="2">
        <f t="shared" si="0"/>
        <v>1.1899999999999977</v>
      </c>
      <c r="AE44" s="138">
        <f t="shared" si="1"/>
        <v>-3.8928571428571423E-2</v>
      </c>
    </row>
    <row r="45" spans="2:31" x14ac:dyDescent="0.25">
      <c r="O45" s="83">
        <v>1.06</v>
      </c>
      <c r="P45" s="83">
        <f t="shared" si="27"/>
        <v>30.146400000000003</v>
      </c>
      <c r="Q45" s="2"/>
      <c r="T45" s="93" t="s">
        <v>100</v>
      </c>
      <c r="U45" s="130" t="s">
        <v>553</v>
      </c>
      <c r="W45" s="133">
        <v>42544</v>
      </c>
      <c r="X45" s="10">
        <v>27.57</v>
      </c>
      <c r="Y45" s="10">
        <v>28.7</v>
      </c>
      <c r="Z45" s="10">
        <v>27.55</v>
      </c>
      <c r="AA45" s="10">
        <v>28</v>
      </c>
      <c r="AB45" s="95">
        <v>9273100</v>
      </c>
      <c r="AC45" s="10">
        <v>28</v>
      </c>
      <c r="AD45" s="2">
        <f t="shared" si="0"/>
        <v>1.1499999999999986</v>
      </c>
      <c r="AE45" s="138">
        <f t="shared" si="1"/>
        <v>4.7120418848167533E-2</v>
      </c>
    </row>
    <row r="46" spans="2:31" x14ac:dyDescent="0.25">
      <c r="O46" s="83">
        <v>1.05</v>
      </c>
      <c r="P46" s="83">
        <f t="shared" si="27"/>
        <v>29.862000000000002</v>
      </c>
      <c r="Q46" s="2"/>
      <c r="T46" s="93" t="s">
        <v>101</v>
      </c>
      <c r="U46" s="130" t="s">
        <v>554</v>
      </c>
      <c r="W46" s="133">
        <v>42543</v>
      </c>
      <c r="X46" s="10">
        <v>27.19</v>
      </c>
      <c r="Y46" s="10">
        <v>27.65</v>
      </c>
      <c r="Z46" s="10">
        <v>26.69</v>
      </c>
      <c r="AA46" s="10">
        <v>26.74</v>
      </c>
      <c r="AB46" s="95">
        <v>4821100</v>
      </c>
      <c r="AC46" s="10">
        <v>26.74</v>
      </c>
      <c r="AD46" s="2">
        <f t="shared" si="0"/>
        <v>0.9599999999999973</v>
      </c>
      <c r="AE46" s="138">
        <f t="shared" si="1"/>
        <v>-8.5279940674823917E-3</v>
      </c>
    </row>
    <row r="47" spans="2:31" x14ac:dyDescent="0.25">
      <c r="O47" s="83">
        <v>1.04</v>
      </c>
      <c r="P47" s="83">
        <f t="shared" si="27"/>
        <v>29.577600000000004</v>
      </c>
      <c r="Q47" s="2"/>
      <c r="T47" s="93" t="s">
        <v>102</v>
      </c>
      <c r="U47" s="130">
        <v>26.33</v>
      </c>
      <c r="W47" s="133">
        <v>42542</v>
      </c>
      <c r="X47" s="10">
        <v>26.86</v>
      </c>
      <c r="Y47" s="10">
        <v>27.15</v>
      </c>
      <c r="Z47" s="10">
        <v>26.08</v>
      </c>
      <c r="AA47" s="10">
        <v>26.97</v>
      </c>
      <c r="AB47" s="95">
        <v>6251200</v>
      </c>
      <c r="AC47" s="10">
        <v>26.97</v>
      </c>
      <c r="AD47" s="2">
        <f t="shared" si="0"/>
        <v>1.0700000000000003</v>
      </c>
      <c r="AE47" s="138">
        <f t="shared" si="1"/>
        <v>3.3482142857141906E-3</v>
      </c>
    </row>
    <row r="48" spans="2:31" x14ac:dyDescent="0.25">
      <c r="O48" s="83">
        <v>1.03</v>
      </c>
      <c r="P48" s="83">
        <f t="shared" si="27"/>
        <v>29.293200000000002</v>
      </c>
      <c r="Q48" s="2"/>
      <c r="T48" s="93" t="s">
        <v>103</v>
      </c>
      <c r="U48" s="130">
        <v>-0.622637</v>
      </c>
      <c r="W48" s="133">
        <v>42541</v>
      </c>
      <c r="X48" s="10">
        <v>27.07</v>
      </c>
      <c r="Y48" s="10">
        <v>27.73</v>
      </c>
      <c r="Z48" s="10">
        <v>26.85</v>
      </c>
      <c r="AA48" s="10">
        <v>26.88</v>
      </c>
      <c r="AB48" s="95">
        <v>5225600</v>
      </c>
      <c r="AC48" s="10">
        <v>26.88</v>
      </c>
      <c r="AD48" s="2">
        <f t="shared" si="0"/>
        <v>0.87999999999999901</v>
      </c>
      <c r="AE48" s="138">
        <f t="shared" si="1"/>
        <v>5.2356020942407877E-3</v>
      </c>
    </row>
    <row r="49" spans="1:31" x14ac:dyDescent="0.25">
      <c r="O49" s="83">
        <v>1.02</v>
      </c>
      <c r="P49" s="83">
        <f t="shared" si="27"/>
        <v>29.008800000000001</v>
      </c>
      <c r="Q49" s="2"/>
      <c r="T49" s="93" t="s">
        <v>123</v>
      </c>
      <c r="U49" s="130" t="s">
        <v>334</v>
      </c>
      <c r="W49" s="133">
        <v>42538</v>
      </c>
      <c r="X49" s="10">
        <v>25.93</v>
      </c>
      <c r="Y49" s="10">
        <v>26.87</v>
      </c>
      <c r="Z49" s="10">
        <v>25.93</v>
      </c>
      <c r="AA49" s="10">
        <v>26.74</v>
      </c>
      <c r="AB49" s="95">
        <v>6420700</v>
      </c>
      <c r="AC49" s="10">
        <v>26.74</v>
      </c>
      <c r="AD49" s="2">
        <f t="shared" si="0"/>
        <v>0.94000000000000128</v>
      </c>
      <c r="AE49" s="138">
        <f t="shared" si="1"/>
        <v>3.2432432432432323E-2</v>
      </c>
    </row>
    <row r="50" spans="1:31" x14ac:dyDescent="0.25">
      <c r="O50" s="83">
        <v>1.01</v>
      </c>
      <c r="P50" s="83">
        <f t="shared" si="27"/>
        <v>28.724400000000003</v>
      </c>
      <c r="Q50" s="2"/>
      <c r="T50" s="93"/>
      <c r="U50" s="130"/>
      <c r="W50" s="133">
        <v>42537</v>
      </c>
      <c r="X50" s="10">
        <v>26.07</v>
      </c>
      <c r="Y50" s="10">
        <v>26.11</v>
      </c>
      <c r="Z50" s="10">
        <v>25.44</v>
      </c>
      <c r="AA50" s="10">
        <v>25.9</v>
      </c>
      <c r="AB50" s="95">
        <v>4591500</v>
      </c>
      <c r="AC50" s="10">
        <v>25.9</v>
      </c>
      <c r="AD50" s="2">
        <f t="shared" si="0"/>
        <v>0.66999999999999815</v>
      </c>
      <c r="AE50" s="138">
        <f t="shared" si="1"/>
        <v>-1.5209125475285301E-2</v>
      </c>
    </row>
    <row r="51" spans="1:31" x14ac:dyDescent="0.25">
      <c r="O51" s="83">
        <v>1</v>
      </c>
      <c r="P51" s="83">
        <f t="shared" si="27"/>
        <v>28.44</v>
      </c>
      <c r="Q51" s="2"/>
      <c r="T51" s="93" t="s">
        <v>105</v>
      </c>
      <c r="U51" s="130" t="s">
        <v>555</v>
      </c>
      <c r="W51" s="133">
        <v>42536</v>
      </c>
      <c r="X51" s="10">
        <v>26.4</v>
      </c>
      <c r="Y51" s="10">
        <v>27.04</v>
      </c>
      <c r="Z51" s="10">
        <v>26.24</v>
      </c>
      <c r="AA51" s="10">
        <v>26.3</v>
      </c>
      <c r="AB51" s="95">
        <v>3910300</v>
      </c>
      <c r="AC51" s="10">
        <v>26.3</v>
      </c>
      <c r="AD51" s="2">
        <f t="shared" si="0"/>
        <v>0.80000000000000071</v>
      </c>
      <c r="AE51" s="138">
        <f t="shared" si="1"/>
        <v>3.8037276530999975E-4</v>
      </c>
    </row>
    <row r="52" spans="1:31" x14ac:dyDescent="0.25">
      <c r="O52" s="83">
        <v>0.99</v>
      </c>
      <c r="P52" s="83">
        <f t="shared" si="27"/>
        <v>28.1556</v>
      </c>
      <c r="Q52" s="2"/>
      <c r="T52" s="93" t="s">
        <v>106</v>
      </c>
      <c r="U52" s="130" t="s">
        <v>370</v>
      </c>
      <c r="W52" s="133">
        <v>42535</v>
      </c>
      <c r="X52" s="10">
        <v>26.85</v>
      </c>
      <c r="Y52" s="10">
        <v>27.47</v>
      </c>
      <c r="Z52" s="10">
        <v>25.95</v>
      </c>
      <c r="AA52" s="10">
        <v>26.29</v>
      </c>
      <c r="AB52" s="95">
        <v>5589000</v>
      </c>
      <c r="AC52" s="10">
        <v>26.29</v>
      </c>
      <c r="AD52" s="2">
        <f t="shared" si="0"/>
        <v>1.5199999999999996</v>
      </c>
      <c r="AE52" s="138">
        <f t="shared" si="1"/>
        <v>-2.3039762170196987E-2</v>
      </c>
    </row>
    <row r="53" spans="1:31" x14ac:dyDescent="0.25">
      <c r="O53" s="83">
        <v>0.98</v>
      </c>
      <c r="P53" s="83">
        <f t="shared" si="27"/>
        <v>27.871200000000002</v>
      </c>
      <c r="Q53" s="2"/>
      <c r="T53" s="93" t="s">
        <v>107</v>
      </c>
      <c r="U53" s="131">
        <v>4235618</v>
      </c>
      <c r="W53" s="133">
        <v>42534</v>
      </c>
      <c r="X53" s="10">
        <v>27.22</v>
      </c>
      <c r="Y53" s="10">
        <v>28.08</v>
      </c>
      <c r="Z53" s="10">
        <v>26.89</v>
      </c>
      <c r="AA53" s="10">
        <v>26.91</v>
      </c>
      <c r="AB53" s="95">
        <v>4073000</v>
      </c>
      <c r="AC53" s="10">
        <v>26.91</v>
      </c>
      <c r="AD53" s="2">
        <f t="shared" si="0"/>
        <v>1.1899999999999977</v>
      </c>
      <c r="AE53" s="138">
        <f t="shared" si="1"/>
        <v>-2.2246941045606095E-3</v>
      </c>
    </row>
    <row r="54" spans="1:31" x14ac:dyDescent="0.25">
      <c r="O54" s="83">
        <v>0.97</v>
      </c>
      <c r="P54" s="83">
        <f t="shared" si="27"/>
        <v>27.5868</v>
      </c>
      <c r="T54" s="93" t="s">
        <v>110</v>
      </c>
      <c r="U54" s="131">
        <v>5508040</v>
      </c>
      <c r="W54" s="133">
        <v>42531</v>
      </c>
      <c r="X54" s="10">
        <v>27.21</v>
      </c>
      <c r="Y54" s="10">
        <v>27.46</v>
      </c>
      <c r="Z54" s="10">
        <v>26.62</v>
      </c>
      <c r="AA54" s="10">
        <v>26.97</v>
      </c>
      <c r="AB54" s="95">
        <v>5135600</v>
      </c>
      <c r="AC54" s="10">
        <v>26.97</v>
      </c>
      <c r="AD54" s="2">
        <f t="shared" si="0"/>
        <v>0.83999999999999986</v>
      </c>
      <c r="AE54" s="138">
        <f t="shared" si="1"/>
        <v>-2.0341445695604921E-2</v>
      </c>
    </row>
    <row r="55" spans="1:31" x14ac:dyDescent="0.25">
      <c r="O55" s="83">
        <v>0.96</v>
      </c>
      <c r="P55" s="83">
        <f t="shared" si="27"/>
        <v>27.302399999999999</v>
      </c>
      <c r="T55" s="93" t="s">
        <v>108</v>
      </c>
      <c r="U55" s="130" t="s">
        <v>556</v>
      </c>
      <c r="W55" s="133">
        <v>42530</v>
      </c>
      <c r="X55" s="10">
        <v>28.05</v>
      </c>
      <c r="Y55" s="10">
        <v>28.13</v>
      </c>
      <c r="Z55" s="10">
        <v>27.11</v>
      </c>
      <c r="AA55" s="10">
        <v>27.53</v>
      </c>
      <c r="AB55" s="95">
        <v>5002900</v>
      </c>
      <c r="AC55" s="10">
        <v>27.53</v>
      </c>
      <c r="AD55" s="2">
        <f t="shared" si="0"/>
        <v>1.0199999999999996</v>
      </c>
      <c r="AE55" s="138">
        <f t="shared" si="1"/>
        <v>-1.7487508922198414E-2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27.018000000000001</v>
      </c>
      <c r="T56" s="93" t="s">
        <v>111</v>
      </c>
      <c r="U56" s="130">
        <v>17.920000000000002</v>
      </c>
      <c r="W56" s="133">
        <v>42529</v>
      </c>
      <c r="X56" s="10">
        <v>29.3</v>
      </c>
      <c r="Y56" s="10">
        <v>29.46</v>
      </c>
      <c r="Z56" s="10">
        <v>27.63</v>
      </c>
      <c r="AA56" s="10">
        <v>28.02</v>
      </c>
      <c r="AB56" s="95">
        <v>6700200</v>
      </c>
      <c r="AC56" s="10">
        <v>28.02</v>
      </c>
      <c r="AD56" s="2">
        <f t="shared" si="0"/>
        <v>1.8300000000000018</v>
      </c>
      <c r="AE56" s="138">
        <f t="shared" si="1"/>
        <v>-3.4791594901825706E-2</v>
      </c>
    </row>
    <row r="57" spans="1:31" x14ac:dyDescent="0.25">
      <c r="A57" s="503" t="s">
        <v>1</v>
      </c>
      <c r="B57" s="503" t="s">
        <v>2</v>
      </c>
      <c r="C57" s="503" t="s">
        <v>4</v>
      </c>
      <c r="D57" s="504" t="s">
        <v>5</v>
      </c>
      <c r="E57" s="504" t="s">
        <v>94</v>
      </c>
      <c r="F57" s="504" t="s">
        <v>60</v>
      </c>
      <c r="G57" s="503" t="s">
        <v>3</v>
      </c>
      <c r="H57" s="503" t="s">
        <v>6</v>
      </c>
      <c r="I57" s="504" t="s">
        <v>7</v>
      </c>
      <c r="J57" s="504" t="s">
        <v>95</v>
      </c>
      <c r="K57" s="504" t="s">
        <v>61</v>
      </c>
      <c r="L57" s="503" t="s">
        <v>37</v>
      </c>
      <c r="M57" s="503" t="s">
        <v>38</v>
      </c>
      <c r="O57" s="83">
        <v>0.94</v>
      </c>
      <c r="P57" s="83">
        <f t="shared" si="27"/>
        <v>26.733599999999999</v>
      </c>
      <c r="T57" s="93" t="s">
        <v>112</v>
      </c>
      <c r="U57" s="130">
        <v>1.59</v>
      </c>
      <c r="W57" s="133">
        <v>42528</v>
      </c>
      <c r="X57" s="10">
        <v>28.52</v>
      </c>
      <c r="Y57" s="10">
        <v>29.39</v>
      </c>
      <c r="Z57" s="10">
        <v>28.47</v>
      </c>
      <c r="AA57" s="10">
        <v>29.03</v>
      </c>
      <c r="AB57" s="95">
        <v>6579700</v>
      </c>
      <c r="AC57" s="10">
        <v>29.03</v>
      </c>
      <c r="AD57" s="2">
        <f t="shared" si="0"/>
        <v>0.92000000000000171</v>
      </c>
      <c r="AE57" s="138">
        <f t="shared" si="1"/>
        <v>2.3624823695345576E-2</v>
      </c>
    </row>
    <row r="58" spans="1:31" x14ac:dyDescent="0.25">
      <c r="A58" s="505" t="s">
        <v>265</v>
      </c>
      <c r="B58" s="506">
        <v>42548</v>
      </c>
      <c r="C58" s="507">
        <v>100</v>
      </c>
      <c r="D58" s="508">
        <v>25</v>
      </c>
      <c r="E58" s="508">
        <v>0</v>
      </c>
      <c r="F58" s="508">
        <f>D58*C58+E58</f>
        <v>2500</v>
      </c>
      <c r="G58" s="506">
        <v>42584</v>
      </c>
      <c r="H58" s="509">
        <v>100</v>
      </c>
      <c r="I58" s="508">
        <v>27.88</v>
      </c>
      <c r="J58" s="508">
        <v>0.06</v>
      </c>
      <c r="K58" s="508">
        <f>H58*I58-J58</f>
        <v>2787.94</v>
      </c>
      <c r="L58" s="506" t="s">
        <v>293</v>
      </c>
      <c r="M58" s="507"/>
      <c r="O58" s="83">
        <v>0.93</v>
      </c>
      <c r="P58" s="83">
        <f t="shared" si="27"/>
        <v>26.449200000000001</v>
      </c>
      <c r="T58" s="93" t="s">
        <v>109</v>
      </c>
      <c r="U58" s="130" t="s">
        <v>267</v>
      </c>
      <c r="W58" s="133">
        <v>42527</v>
      </c>
      <c r="X58" s="10">
        <v>26.85</v>
      </c>
      <c r="Y58" s="10">
        <v>28.49</v>
      </c>
      <c r="Z58" s="10">
        <v>26.75</v>
      </c>
      <c r="AA58" s="10">
        <v>28.36</v>
      </c>
      <c r="AB58" s="95">
        <v>7450700</v>
      </c>
      <c r="AC58" s="10">
        <v>28.36</v>
      </c>
      <c r="AD58" s="2">
        <f t="shared" si="0"/>
        <v>1.7399999999999984</v>
      </c>
      <c r="AE58" s="138">
        <f t="shared" si="1"/>
        <v>6.2172284644194775E-2</v>
      </c>
    </row>
    <row r="59" spans="1:31" x14ac:dyDescent="0.25">
      <c r="A59" s="510" t="s">
        <v>71</v>
      </c>
      <c r="B59" s="506"/>
      <c r="C59" s="507"/>
      <c r="D59" s="508"/>
      <c r="E59" s="508"/>
      <c r="F59" s="508"/>
      <c r="G59" s="507"/>
      <c r="H59" s="509"/>
      <c r="I59" s="508"/>
      <c r="J59" s="508"/>
      <c r="K59" s="508"/>
      <c r="L59" s="507"/>
      <c r="M59" s="507"/>
      <c r="O59" s="83">
        <v>0.92</v>
      </c>
      <c r="P59" s="83">
        <f t="shared" si="27"/>
        <v>26.164800000000003</v>
      </c>
      <c r="W59" s="133">
        <v>42524</v>
      </c>
      <c r="X59" s="10">
        <v>25.28</v>
      </c>
      <c r="Y59" s="10">
        <v>26.73</v>
      </c>
      <c r="Z59" s="10">
        <v>25.25</v>
      </c>
      <c r="AA59" s="10">
        <v>26.7</v>
      </c>
      <c r="AB59" s="95">
        <v>6587600</v>
      </c>
      <c r="AC59" s="10">
        <v>26.7</v>
      </c>
      <c r="AD59" s="2">
        <f t="shared" si="0"/>
        <v>1.4800000000000004</v>
      </c>
      <c r="AE59" s="138">
        <f t="shared" si="1"/>
        <v>4.0935672514619936E-2</v>
      </c>
    </row>
    <row r="60" spans="1:31" x14ac:dyDescent="0.25">
      <c r="A60" s="507"/>
      <c r="B60" s="506"/>
      <c r="C60" s="507"/>
      <c r="D60" s="508"/>
      <c r="E60" s="508"/>
      <c r="F60" s="508"/>
      <c r="G60" s="507"/>
      <c r="H60" s="509"/>
      <c r="I60" s="508"/>
      <c r="J60" s="508"/>
      <c r="K60" s="508"/>
      <c r="L60" s="507"/>
      <c r="M60" s="507"/>
      <c r="O60" s="83">
        <v>0.91</v>
      </c>
      <c r="P60" s="83">
        <f t="shared" si="27"/>
        <v>25.880400000000002</v>
      </c>
      <c r="W60" s="133">
        <v>42523</v>
      </c>
      <c r="X60" s="10">
        <v>25.29</v>
      </c>
      <c r="Y60" s="10">
        <v>26</v>
      </c>
      <c r="Z60" s="10">
        <v>25.12</v>
      </c>
      <c r="AA60" s="10">
        <v>25.65</v>
      </c>
      <c r="AB60" s="95">
        <v>7305900</v>
      </c>
      <c r="AC60" s="10">
        <v>25.65</v>
      </c>
      <c r="AD60" s="2">
        <f t="shared" si="0"/>
        <v>0.87999999999999901</v>
      </c>
      <c r="AE60" s="138">
        <f t="shared" si="1"/>
        <v>1.6646848989298357E-2</v>
      </c>
    </row>
    <row r="61" spans="1:31" x14ac:dyDescent="0.25">
      <c r="A61" s="507"/>
      <c r="B61" s="506"/>
      <c r="C61" s="507"/>
      <c r="D61" s="508"/>
      <c r="E61" s="508"/>
      <c r="F61" s="508"/>
      <c r="G61" s="507"/>
      <c r="H61" s="509"/>
      <c r="I61" s="508"/>
      <c r="J61" s="508"/>
      <c r="K61" s="508"/>
      <c r="L61" s="507"/>
      <c r="M61" s="507"/>
      <c r="O61" s="83">
        <v>0.9</v>
      </c>
      <c r="P61" s="83">
        <f t="shared" si="27"/>
        <v>25.596</v>
      </c>
      <c r="W61" s="133">
        <v>42522</v>
      </c>
      <c r="X61" s="10">
        <v>25</v>
      </c>
      <c r="Y61" s="10">
        <v>25.31</v>
      </c>
      <c r="Z61" s="10">
        <v>24.42</v>
      </c>
      <c r="AA61" s="10">
        <v>25.23</v>
      </c>
      <c r="AB61" s="95">
        <v>7758900</v>
      </c>
      <c r="AC61" s="10">
        <v>25.23</v>
      </c>
      <c r="AD61" s="2">
        <f t="shared" si="0"/>
        <v>0.88999999999999702</v>
      </c>
      <c r="AE61" s="138">
        <f t="shared" si="1"/>
        <v>0</v>
      </c>
    </row>
    <row r="62" spans="1:31" x14ac:dyDescent="0.25">
      <c r="A62" s="507"/>
      <c r="B62" s="506"/>
      <c r="C62" s="507"/>
      <c r="D62" s="508"/>
      <c r="E62" s="508"/>
      <c r="F62" s="508"/>
      <c r="G62" s="507"/>
      <c r="H62" s="509"/>
      <c r="I62" s="508"/>
      <c r="J62" s="508"/>
      <c r="K62" s="508"/>
      <c r="L62" s="507"/>
      <c r="M62" s="507"/>
      <c r="W62" s="133">
        <v>42521</v>
      </c>
      <c r="X62" s="10">
        <v>25.47</v>
      </c>
      <c r="Y62" s="10">
        <v>25.47</v>
      </c>
      <c r="Z62" s="10">
        <v>24.75</v>
      </c>
      <c r="AA62" s="10">
        <v>25.23</v>
      </c>
      <c r="AB62" s="95">
        <v>7570700</v>
      </c>
      <c r="AC62" s="10">
        <v>25.23</v>
      </c>
      <c r="AD62" s="2">
        <f t="shared" si="0"/>
        <v>0.71999999999999886</v>
      </c>
      <c r="AE62" s="138" t="e">
        <f t="shared" si="1"/>
        <v>#DIV/0!</v>
      </c>
    </row>
    <row r="63" spans="1:31" x14ac:dyDescent="0.25">
      <c r="A63" s="507"/>
      <c r="B63" s="507"/>
      <c r="C63" s="507"/>
      <c r="D63" s="508"/>
      <c r="E63" s="508"/>
      <c r="F63" s="508"/>
      <c r="G63" s="507"/>
      <c r="H63" s="509"/>
      <c r="I63" s="508"/>
      <c r="J63" s="508"/>
      <c r="K63" s="508"/>
      <c r="L63" s="507"/>
      <c r="M63" s="507"/>
      <c r="W63" s="133">
        <v>42521</v>
      </c>
      <c r="X63" s="10" t="s">
        <v>268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507"/>
      <c r="B64" s="507"/>
      <c r="C64" s="507"/>
      <c r="D64" s="508"/>
      <c r="E64" s="508"/>
      <c r="F64" s="508"/>
      <c r="G64" s="507"/>
      <c r="H64" s="509"/>
      <c r="I64" s="508"/>
      <c r="J64" s="508"/>
      <c r="K64" s="508"/>
      <c r="L64" s="507"/>
      <c r="M64" s="507"/>
      <c r="W64" s="133">
        <v>42517</v>
      </c>
      <c r="X64" s="10">
        <v>26.17</v>
      </c>
      <c r="Y64" s="10">
        <v>26.27</v>
      </c>
      <c r="Z64" s="10">
        <v>25.61</v>
      </c>
      <c r="AA64" s="10">
        <v>25.69</v>
      </c>
      <c r="AB64" s="95">
        <v>3800000</v>
      </c>
      <c r="AC64" s="10">
        <v>25.42</v>
      </c>
      <c r="AD64" s="2">
        <f t="shared" si="0"/>
        <v>0.66000000000000014</v>
      </c>
      <c r="AE64" s="138">
        <f t="shared" si="1"/>
        <v>-1.6634429400386841E-2</v>
      </c>
    </row>
    <row r="65" spans="1:31" x14ac:dyDescent="0.25">
      <c r="A65" s="507"/>
      <c r="B65" s="507"/>
      <c r="C65" s="507"/>
      <c r="D65" s="508"/>
      <c r="E65" s="508"/>
      <c r="F65" s="508"/>
      <c r="G65" s="507"/>
      <c r="H65" s="509"/>
      <c r="I65" s="508"/>
      <c r="J65" s="508"/>
      <c r="K65" s="508"/>
      <c r="L65" s="507"/>
      <c r="M65" s="507"/>
      <c r="W65" s="133">
        <v>42516</v>
      </c>
      <c r="X65" s="10">
        <v>26.68</v>
      </c>
      <c r="Y65" s="10">
        <v>26.81</v>
      </c>
      <c r="Z65" s="10">
        <v>26</v>
      </c>
      <c r="AA65" s="10">
        <v>26.13</v>
      </c>
      <c r="AB65" s="95">
        <v>5229100</v>
      </c>
      <c r="AC65" s="10">
        <v>25.85</v>
      </c>
      <c r="AD65" s="2">
        <f t="shared" si="0"/>
        <v>0.80999999999999872</v>
      </c>
      <c r="AE65" s="138">
        <f t="shared" si="1"/>
        <v>-1.3735215566577641E-2</v>
      </c>
    </row>
    <row r="66" spans="1:31" x14ac:dyDescent="0.25">
      <c r="A66" s="507"/>
      <c r="B66" s="507"/>
      <c r="C66" s="507"/>
      <c r="D66" s="508"/>
      <c r="E66" s="508"/>
      <c r="F66" s="508"/>
      <c r="G66" s="507"/>
      <c r="H66" s="509"/>
      <c r="I66" s="508"/>
      <c r="J66" s="508"/>
      <c r="K66" s="508"/>
      <c r="L66" s="507"/>
      <c r="M66" s="507"/>
      <c r="W66" s="133">
        <v>42515</v>
      </c>
      <c r="X66" s="10">
        <v>26.14</v>
      </c>
      <c r="Y66" s="10">
        <v>26.63</v>
      </c>
      <c r="Z66" s="10">
        <v>26.03</v>
      </c>
      <c r="AA66" s="10">
        <v>26.49</v>
      </c>
      <c r="AB66" s="95">
        <v>5039200</v>
      </c>
      <c r="AC66" s="10">
        <v>26.21</v>
      </c>
      <c r="AD66" s="2">
        <f t="shared" si="0"/>
        <v>0.59999999999999787</v>
      </c>
      <c r="AE66" s="138">
        <f t="shared" si="1"/>
        <v>2.0638629283489252E-2</v>
      </c>
    </row>
    <row r="67" spans="1:31" x14ac:dyDescent="0.25">
      <c r="A67" s="507"/>
      <c r="B67" s="507"/>
      <c r="C67" s="507"/>
      <c r="D67" s="508"/>
      <c r="E67" s="508"/>
      <c r="F67" s="508"/>
      <c r="G67" s="507"/>
      <c r="H67" s="509"/>
      <c r="I67" s="508"/>
      <c r="J67" s="508"/>
      <c r="K67" s="508"/>
      <c r="L67" s="507"/>
      <c r="M67" s="507"/>
      <c r="W67" s="133">
        <v>42514</v>
      </c>
      <c r="X67" s="10">
        <v>26.51</v>
      </c>
      <c r="Y67" s="10">
        <v>26.59</v>
      </c>
      <c r="Z67" s="10">
        <v>25.84</v>
      </c>
      <c r="AA67" s="10">
        <v>25.96</v>
      </c>
      <c r="AB67" s="95">
        <v>4216500</v>
      </c>
      <c r="AC67" s="10">
        <v>25.68</v>
      </c>
      <c r="AD67" s="2">
        <f>Y67-Z67</f>
        <v>0.75</v>
      </c>
      <c r="AE67" s="138" t="e">
        <f>AC67/#REF!-1</f>
        <v>#REF!</v>
      </c>
    </row>
    <row r="68" spans="1:31" x14ac:dyDescent="0.25">
      <c r="A68" s="507"/>
      <c r="B68" s="507"/>
      <c r="C68" s="507"/>
      <c r="D68" s="508"/>
      <c r="E68" s="508"/>
      <c r="F68" s="508"/>
      <c r="G68" s="507"/>
      <c r="H68" s="509"/>
      <c r="I68" s="508"/>
      <c r="J68" s="508"/>
      <c r="K68" s="508"/>
      <c r="L68" s="507"/>
      <c r="M68" s="507"/>
      <c r="W68" s="133">
        <v>42513</v>
      </c>
      <c r="X68" s="10">
        <v>25.8</v>
      </c>
      <c r="Y68" s="10">
        <v>26.72</v>
      </c>
      <c r="Z68" s="10">
        <v>25.65</v>
      </c>
      <c r="AA68" s="10">
        <v>26.31</v>
      </c>
      <c r="AB68" s="95">
        <v>4993100</v>
      </c>
      <c r="AC68" s="10">
        <v>26.03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7"/>
      <c r="B69" s="507"/>
      <c r="C69" s="507"/>
      <c r="D69" s="508"/>
      <c r="E69" s="508"/>
      <c r="F69" s="508"/>
      <c r="G69" s="507"/>
      <c r="H69" s="509"/>
      <c r="I69" s="508"/>
      <c r="J69" s="508"/>
      <c r="K69" s="508"/>
      <c r="L69" s="507"/>
      <c r="M69" s="507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7"/>
      <c r="B70" s="507"/>
      <c r="C70" s="507"/>
      <c r="D70" s="508"/>
      <c r="E70" s="508"/>
      <c r="F70" s="508"/>
      <c r="G70" s="507"/>
      <c r="H70" s="509"/>
      <c r="I70" s="508"/>
      <c r="J70" s="508"/>
      <c r="K70" s="508"/>
      <c r="L70" s="507"/>
      <c r="M70" s="507"/>
    </row>
    <row r="71" spans="1:31" x14ac:dyDescent="0.25">
      <c r="A71" s="507"/>
      <c r="B71" s="507"/>
      <c r="C71" s="507"/>
      <c r="D71" s="508"/>
      <c r="E71" s="508"/>
      <c r="F71" s="508"/>
      <c r="G71" s="507"/>
      <c r="H71" s="509"/>
      <c r="I71" s="508"/>
      <c r="J71" s="508"/>
      <c r="K71" s="508"/>
      <c r="L71" s="507"/>
      <c r="M71" s="507"/>
    </row>
    <row r="72" spans="1:31" x14ac:dyDescent="0.25">
      <c r="A72" s="507"/>
      <c r="B72" s="507"/>
      <c r="C72" s="507"/>
      <c r="D72" s="508"/>
      <c r="E72" s="508"/>
      <c r="F72" s="508"/>
      <c r="G72" s="507"/>
      <c r="H72" s="509"/>
      <c r="I72" s="508"/>
      <c r="J72" s="508"/>
      <c r="K72" s="508"/>
      <c r="L72" s="507"/>
      <c r="M72" s="507"/>
    </row>
    <row r="73" spans="1:31" x14ac:dyDescent="0.25">
      <c r="A73" s="507"/>
      <c r="B73" s="507"/>
      <c r="C73" s="507"/>
      <c r="D73" s="508"/>
      <c r="E73" s="508"/>
      <c r="F73" s="508"/>
      <c r="G73" s="507"/>
      <c r="H73" s="507"/>
      <c r="I73" s="508"/>
      <c r="J73" s="508"/>
      <c r="K73" s="508"/>
      <c r="L73" s="507"/>
      <c r="M73" s="507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1" t="s">
        <v>204</v>
      </c>
      <c r="B75" s="512"/>
      <c r="C75" s="513">
        <f>SumByColor($A$19,C58:C73)</f>
        <v>0</v>
      </c>
      <c r="D75" s="513"/>
      <c r="E75" s="513"/>
      <c r="F75" s="514">
        <f>SumByColor($A$19,F58:F73)</f>
        <v>0</v>
      </c>
      <c r="G75" s="513"/>
      <c r="H75" s="513">
        <f>SumByColor($A$19,H58:H73)</f>
        <v>0</v>
      </c>
      <c r="I75" s="513"/>
      <c r="J75" s="513"/>
      <c r="K75" s="514">
        <f>SumByColor($A$19,K58:K73)</f>
        <v>0</v>
      </c>
      <c r="L75" s="513"/>
      <c r="M75" s="514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9" priority="19">
      <formula>F38&gt;0</formula>
    </cfRule>
    <cfRule type="expression" dxfId="458" priority="20">
      <formula>F38&lt;0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conditionalFormatting sqref="F25:F37">
    <cfRule type="expression" dxfId="453" priority="3">
      <formula>F25&gt;0</formula>
    </cfRule>
    <cfRule type="expression" dxfId="452" priority="4">
      <formula>F25&lt;0</formula>
    </cfRule>
  </conditionalFormatting>
  <conditionalFormatting sqref="H25:H37">
    <cfRule type="expression" dxfId="451" priority="1">
      <formula>H25&gt;0</formula>
    </cfRule>
    <cfRule type="expression" dxfId="45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42606</v>
      </c>
      <c r="X2" s="10">
        <v>49.31</v>
      </c>
      <c r="Y2" s="10">
        <v>49.38</v>
      </c>
      <c r="Z2" s="10">
        <v>49.07</v>
      </c>
      <c r="AA2" s="10">
        <v>49.08</v>
      </c>
      <c r="AB2" s="95">
        <v>3261300</v>
      </c>
      <c r="AC2" s="10">
        <v>49.08</v>
      </c>
      <c r="AD2" s="2">
        <f>Y2-Z2</f>
        <v>0.31000000000000227</v>
      </c>
      <c r="AE2" s="138">
        <f>AC2/AC3-1</f>
        <v>-2.8443722064201982E-3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49.08</v>
      </c>
      <c r="T3" s="1"/>
      <c r="W3" s="133">
        <v>42605</v>
      </c>
      <c r="X3" s="10">
        <v>49.34</v>
      </c>
      <c r="Y3" s="10">
        <v>49.49</v>
      </c>
      <c r="Z3" s="10">
        <v>49.22</v>
      </c>
      <c r="AA3" s="10">
        <v>49.22</v>
      </c>
      <c r="AB3" s="95">
        <v>3497100</v>
      </c>
      <c r="AC3" s="10">
        <v>49.22</v>
      </c>
      <c r="AD3" s="2">
        <f t="shared" ref="AD3:AD66" si="0">Y3-Z3</f>
        <v>0.27000000000000313</v>
      </c>
      <c r="AE3" s="138">
        <f t="shared" ref="AE3:AE66" si="1">AC3/AC4-1</f>
        <v>4.6948356807510194E-3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49.08</v>
      </c>
      <c r="T4" s="163"/>
      <c r="U4" s="1"/>
      <c r="W4" s="133">
        <v>42604</v>
      </c>
      <c r="X4" s="10">
        <v>48.74</v>
      </c>
      <c r="Y4" s="10">
        <v>49.08</v>
      </c>
      <c r="Z4" s="10">
        <v>48.69</v>
      </c>
      <c r="AA4" s="10">
        <v>48.99</v>
      </c>
      <c r="AB4" s="95">
        <v>1604600</v>
      </c>
      <c r="AC4" s="10">
        <v>48.99</v>
      </c>
      <c r="AD4" s="2">
        <f t="shared" si="0"/>
        <v>0.39000000000000057</v>
      </c>
      <c r="AE4" s="138">
        <f t="shared" si="1"/>
        <v>8.1716036772205847E-4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42601</v>
      </c>
      <c r="X5" s="10">
        <v>48.79</v>
      </c>
      <c r="Y5" s="10">
        <v>49.01</v>
      </c>
      <c r="Z5" s="10">
        <v>48.69</v>
      </c>
      <c r="AA5" s="10">
        <v>48.95</v>
      </c>
      <c r="AB5" s="95">
        <v>2020100</v>
      </c>
      <c r="AC5" s="10">
        <v>48.95</v>
      </c>
      <c r="AD5" s="2">
        <f t="shared" si="0"/>
        <v>0.32000000000000028</v>
      </c>
      <c r="AE5" s="138">
        <f t="shared" si="1"/>
        <v>-8.7079789388416762E-3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42600</v>
      </c>
      <c r="X6" s="10">
        <v>49.11</v>
      </c>
      <c r="Y6" s="10">
        <v>49.39</v>
      </c>
      <c r="Z6" s="10">
        <v>49.09</v>
      </c>
      <c r="AA6" s="10">
        <v>49.38</v>
      </c>
      <c r="AB6" s="95">
        <v>2618000</v>
      </c>
      <c r="AC6" s="10">
        <v>49.38</v>
      </c>
      <c r="AD6" s="2">
        <f t="shared" si="0"/>
        <v>0.29999999999999716</v>
      </c>
      <c r="AE6" s="138">
        <f t="shared" si="1"/>
        <v>7.9608083282303177E-3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42599</v>
      </c>
      <c r="X7" s="10">
        <v>48.82</v>
      </c>
      <c r="Y7" s="10">
        <v>49.14</v>
      </c>
      <c r="Z7" s="10">
        <v>48.61</v>
      </c>
      <c r="AA7" s="10">
        <v>48.99</v>
      </c>
      <c r="AB7" s="95">
        <v>3134300</v>
      </c>
      <c r="AC7" s="10">
        <v>48.99</v>
      </c>
      <c r="AD7" s="2">
        <f t="shared" si="0"/>
        <v>0.53000000000000114</v>
      </c>
      <c r="AE7" s="138">
        <f t="shared" si="1"/>
        <v>-1.6303240269003316E-3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42598</v>
      </c>
      <c r="X8" s="10">
        <v>49.17</v>
      </c>
      <c r="Y8" s="10">
        <v>49.28</v>
      </c>
      <c r="Z8" s="10">
        <v>49.06</v>
      </c>
      <c r="AA8" s="10">
        <v>49.07</v>
      </c>
      <c r="AB8" s="95">
        <v>4113300</v>
      </c>
      <c r="AC8" s="10">
        <v>49.07</v>
      </c>
      <c r="AD8" s="2">
        <f t="shared" si="0"/>
        <v>0.21999999999999886</v>
      </c>
      <c r="AE8" s="138">
        <f t="shared" si="1"/>
        <v>-4.0741495212881507E-4</v>
      </c>
    </row>
    <row r="9" spans="1:31" x14ac:dyDescent="0.25">
      <c r="H9" s="72"/>
      <c r="O9" s="11" t="s">
        <v>225</v>
      </c>
      <c r="Q9" s="138">
        <f>IF(Q2=0, 0, Q8/Q6)</f>
        <v>0</v>
      </c>
      <c r="W9" s="133">
        <v>42597</v>
      </c>
      <c r="X9" s="10">
        <v>49.09</v>
      </c>
      <c r="Y9" s="10">
        <v>49.2</v>
      </c>
      <c r="Z9" s="10">
        <v>49.05</v>
      </c>
      <c r="AA9" s="10">
        <v>49.09</v>
      </c>
      <c r="AB9" s="95">
        <v>1432600</v>
      </c>
      <c r="AC9" s="10">
        <v>49.09</v>
      </c>
      <c r="AD9" s="2">
        <f t="shared" si="0"/>
        <v>0.15000000000000568</v>
      </c>
      <c r="AE9" s="138">
        <f t="shared" si="1"/>
        <v>3.0649775234983245E-3</v>
      </c>
    </row>
    <row r="10" spans="1:31" x14ac:dyDescent="0.25">
      <c r="H10" s="72"/>
      <c r="O10" s="11" t="s">
        <v>224</v>
      </c>
      <c r="P10" s="34"/>
      <c r="Q10" s="2">
        <f>M53</f>
        <v>257.64999999999964</v>
      </c>
      <c r="W10" s="133">
        <v>42594</v>
      </c>
      <c r="X10" s="10">
        <v>49.17</v>
      </c>
      <c r="Y10" s="10">
        <v>49.17</v>
      </c>
      <c r="Z10" s="10">
        <v>48.88</v>
      </c>
      <c r="AA10" s="10">
        <v>48.94</v>
      </c>
      <c r="AB10" s="95">
        <v>1558400</v>
      </c>
      <c r="AC10" s="10">
        <v>48.94</v>
      </c>
      <c r="AD10" s="2">
        <f t="shared" si="0"/>
        <v>0.28999999999999915</v>
      </c>
      <c r="AE10" s="138">
        <f t="shared" si="1"/>
        <v>-1.224489795918382E-3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42593</v>
      </c>
      <c r="X11" s="10">
        <v>48.82</v>
      </c>
      <c r="Y11" s="10">
        <v>49.14</v>
      </c>
      <c r="Z11" s="10">
        <v>48.82</v>
      </c>
      <c r="AA11" s="10">
        <v>49</v>
      </c>
      <c r="AB11" s="95">
        <v>2320000</v>
      </c>
      <c r="AC11" s="10">
        <v>49</v>
      </c>
      <c r="AD11" s="2">
        <f t="shared" si="0"/>
        <v>0.32000000000000028</v>
      </c>
      <c r="AE11" s="138">
        <f t="shared" si="1"/>
        <v>7.815713698066773E-3</v>
      </c>
    </row>
    <row r="12" spans="1:31" x14ac:dyDescent="0.25">
      <c r="H12" s="72"/>
      <c r="W12" s="133">
        <v>42592</v>
      </c>
      <c r="X12" s="10">
        <v>48.66</v>
      </c>
      <c r="Y12" s="10">
        <v>48.74</v>
      </c>
      <c r="Z12" s="10">
        <v>48.57</v>
      </c>
      <c r="AA12" s="10">
        <v>48.62</v>
      </c>
      <c r="AB12" s="95">
        <v>2209500</v>
      </c>
      <c r="AC12" s="10">
        <v>48.62</v>
      </c>
      <c r="AD12" s="2">
        <f t="shared" si="0"/>
        <v>0.17000000000000171</v>
      </c>
      <c r="AE12" s="138">
        <f t="shared" si="1"/>
        <v>4.3379467052262477E-3</v>
      </c>
    </row>
    <row r="13" spans="1:31" x14ac:dyDescent="0.25">
      <c r="H13" s="72"/>
      <c r="W13" s="133">
        <v>42591</v>
      </c>
      <c r="X13" s="10">
        <v>48.13</v>
      </c>
      <c r="Y13" s="10">
        <v>48.54</v>
      </c>
      <c r="Z13" s="10">
        <v>48.12</v>
      </c>
      <c r="AA13" s="10">
        <v>48.41</v>
      </c>
      <c r="AB13" s="95">
        <v>2543500</v>
      </c>
      <c r="AC13" s="10">
        <v>48.41</v>
      </c>
      <c r="AD13" s="2">
        <f t="shared" si="0"/>
        <v>0.42000000000000171</v>
      </c>
      <c r="AE13" s="138">
        <f t="shared" si="1"/>
        <v>1.0014604631754631E-2</v>
      </c>
    </row>
    <row r="14" spans="1:31" x14ac:dyDescent="0.25">
      <c r="H14" s="72"/>
      <c r="W14" s="133">
        <v>42590</v>
      </c>
      <c r="X14" s="10">
        <v>47.91</v>
      </c>
      <c r="Y14" s="10">
        <v>47.95</v>
      </c>
      <c r="Z14" s="10">
        <v>47.84</v>
      </c>
      <c r="AA14" s="10">
        <v>47.93</v>
      </c>
      <c r="AB14" s="95">
        <v>1743200</v>
      </c>
      <c r="AC14" s="10">
        <v>47.93</v>
      </c>
      <c r="AD14" s="2">
        <f t="shared" si="0"/>
        <v>0.10999999999999943</v>
      </c>
      <c r="AE14" s="138">
        <f t="shared" si="1"/>
        <v>8.3524744205476509E-4</v>
      </c>
    </row>
    <row r="15" spans="1:31" x14ac:dyDescent="0.25">
      <c r="H15" s="72"/>
      <c r="W15" s="133">
        <v>42587</v>
      </c>
      <c r="X15" s="10">
        <v>47.65</v>
      </c>
      <c r="Y15" s="10">
        <v>47.92</v>
      </c>
      <c r="Z15" s="10">
        <v>47.64</v>
      </c>
      <c r="AA15" s="10">
        <v>47.89</v>
      </c>
      <c r="AB15" s="95">
        <v>2450200</v>
      </c>
      <c r="AC15" s="10">
        <v>47.89</v>
      </c>
      <c r="AD15" s="2">
        <f t="shared" si="0"/>
        <v>0.28000000000000114</v>
      </c>
      <c r="AE15" s="138">
        <f t="shared" si="1"/>
        <v>3.772793963529697E-3</v>
      </c>
    </row>
    <row r="16" spans="1:31" x14ac:dyDescent="0.25">
      <c r="H16" s="72"/>
      <c r="W16" s="133">
        <v>42586</v>
      </c>
      <c r="X16" s="10">
        <v>47.53</v>
      </c>
      <c r="Y16" s="10">
        <v>47.71</v>
      </c>
      <c r="Z16" s="10">
        <v>47.48</v>
      </c>
      <c r="AA16" s="10">
        <v>47.71</v>
      </c>
      <c r="AB16" s="95">
        <v>8029900</v>
      </c>
      <c r="AC16" s="10">
        <v>47.71</v>
      </c>
      <c r="AD16" s="2">
        <f t="shared" si="0"/>
        <v>0.23000000000000398</v>
      </c>
      <c r="AE16" s="138">
        <f t="shared" si="1"/>
        <v>4.6325542219414206E-3</v>
      </c>
    </row>
    <row r="17" spans="1:31" x14ac:dyDescent="0.25">
      <c r="W17" s="133">
        <v>42585</v>
      </c>
      <c r="X17" s="10">
        <v>47.37</v>
      </c>
      <c r="Y17" s="10">
        <v>47.51</v>
      </c>
      <c r="Z17" s="10">
        <v>47.3</v>
      </c>
      <c r="AA17" s="10">
        <v>47.49</v>
      </c>
      <c r="AB17" s="95">
        <v>4263300</v>
      </c>
      <c r="AC17" s="10">
        <v>47.49</v>
      </c>
      <c r="AD17" s="2">
        <f t="shared" si="0"/>
        <v>0.21000000000000085</v>
      </c>
      <c r="AE17" s="138">
        <f t="shared" si="1"/>
        <v>-5.0282840980514498E-3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42584</v>
      </c>
      <c r="X18" s="10">
        <v>47.79</v>
      </c>
      <c r="Y18" s="10">
        <v>47.87</v>
      </c>
      <c r="Z18" s="10">
        <v>47.54</v>
      </c>
      <c r="AA18" s="10">
        <v>47.73</v>
      </c>
      <c r="AB18" s="95">
        <v>4587800</v>
      </c>
      <c r="AC18" s="10">
        <v>47.73</v>
      </c>
      <c r="AD18" s="2">
        <f t="shared" si="0"/>
        <v>0.32999999999999829</v>
      </c>
      <c r="AE18" s="138">
        <f t="shared" si="1"/>
        <v>-6.2814070351757678E-4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42583</v>
      </c>
      <c r="X19" s="10">
        <v>48.01</v>
      </c>
      <c r="Y19" s="10">
        <v>48.1</v>
      </c>
      <c r="Z19" s="10">
        <v>47.73</v>
      </c>
      <c r="AA19" s="10">
        <v>47.76</v>
      </c>
      <c r="AB19" s="95">
        <v>2955100</v>
      </c>
      <c r="AC19" s="10">
        <v>47.76</v>
      </c>
      <c r="AD19" s="2">
        <f t="shared" si="0"/>
        <v>0.37000000000000455</v>
      </c>
      <c r="AE19" s="138">
        <f t="shared" si="1"/>
        <v>-1.0770505385252704E-2</v>
      </c>
    </row>
    <row r="20" spans="1:31" x14ac:dyDescent="0.25">
      <c r="W20" s="133">
        <v>42580</v>
      </c>
      <c r="X20" s="10">
        <v>48.03</v>
      </c>
      <c r="Y20" s="10">
        <v>48.37</v>
      </c>
      <c r="Z20" s="10">
        <v>47.96</v>
      </c>
      <c r="AA20" s="10">
        <v>48.28</v>
      </c>
      <c r="AB20" s="95">
        <v>3588900</v>
      </c>
      <c r="AC20" s="10">
        <v>48.28</v>
      </c>
      <c r="AD20" s="2">
        <f t="shared" si="0"/>
        <v>0.40999999999999659</v>
      </c>
      <c r="AE20" s="138">
        <f t="shared" si="1"/>
        <v>9.1973244147156574E-3</v>
      </c>
    </row>
    <row r="21" spans="1:31" x14ac:dyDescent="0.25">
      <c r="W21" s="133">
        <v>42579</v>
      </c>
      <c r="X21" s="10">
        <v>47.84</v>
      </c>
      <c r="Y21" s="10">
        <v>47.91</v>
      </c>
      <c r="Z21" s="10">
        <v>47.57</v>
      </c>
      <c r="AA21" s="10">
        <v>47.84</v>
      </c>
      <c r="AB21" s="95">
        <v>3409900</v>
      </c>
      <c r="AC21" s="10">
        <v>47.84</v>
      </c>
      <c r="AD21" s="2">
        <f t="shared" si="0"/>
        <v>0.33999999999999631</v>
      </c>
      <c r="AE21" s="138">
        <f t="shared" si="1"/>
        <v>2.0907380305268397E-4</v>
      </c>
    </row>
    <row r="22" spans="1:31" x14ac:dyDescent="0.25">
      <c r="W22" s="133">
        <v>42578</v>
      </c>
      <c r="X22" s="10">
        <v>47.79</v>
      </c>
      <c r="Y22" s="10">
        <v>47.96</v>
      </c>
      <c r="Z22" s="10">
        <v>47.4</v>
      </c>
      <c r="AA22" s="10">
        <v>47.83</v>
      </c>
      <c r="AB22" s="95">
        <v>4174300</v>
      </c>
      <c r="AC22" s="10">
        <v>47.83</v>
      </c>
      <c r="AD22" s="2">
        <f t="shared" si="0"/>
        <v>0.56000000000000227</v>
      </c>
      <c r="AE22" s="138">
        <f t="shared" si="1"/>
        <v>6.947368421052591E-3</v>
      </c>
    </row>
    <row r="23" spans="1:31" x14ac:dyDescent="0.25">
      <c r="W23" s="133">
        <v>42577</v>
      </c>
      <c r="X23" s="10">
        <v>47.45</v>
      </c>
      <c r="Y23" s="10">
        <v>47.62</v>
      </c>
      <c r="Z23" s="10">
        <v>47.29</v>
      </c>
      <c r="AA23" s="10">
        <v>47.5</v>
      </c>
      <c r="AB23" s="95">
        <v>3324400</v>
      </c>
      <c r="AC23" s="10">
        <v>47.5</v>
      </c>
      <c r="AD23" s="2">
        <f t="shared" si="0"/>
        <v>0.32999999999999829</v>
      </c>
      <c r="AE23" s="138">
        <f t="shared" si="1"/>
        <v>3.379805661174462E-3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47.36</v>
      </c>
      <c r="Y24" s="10">
        <v>47.44</v>
      </c>
      <c r="Z24" s="10">
        <v>47.17</v>
      </c>
      <c r="AA24" s="10">
        <v>47.34</v>
      </c>
      <c r="AB24" s="95">
        <v>3372200</v>
      </c>
      <c r="AC24" s="10">
        <v>47.34</v>
      </c>
      <c r="AD24" s="2">
        <f t="shared" si="0"/>
        <v>0.26999999999999602</v>
      </c>
      <c r="AE24" s="138">
        <f t="shared" si="1"/>
        <v>1.0573059843519417E-3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42573</v>
      </c>
      <c r="X25" s="10">
        <v>47.35</v>
      </c>
      <c r="Y25" s="10">
        <v>47.38</v>
      </c>
      <c r="Z25" s="10">
        <v>47.17</v>
      </c>
      <c r="AA25" s="10">
        <v>47.29</v>
      </c>
      <c r="AB25" s="95">
        <v>3515800</v>
      </c>
      <c r="AC25" s="10">
        <v>47.29</v>
      </c>
      <c r="AD25" s="2">
        <f t="shared" si="0"/>
        <v>0.21000000000000085</v>
      </c>
      <c r="AE25" s="138">
        <f t="shared" si="1"/>
        <v>6.3478628861624031E-4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42572</v>
      </c>
      <c r="X26" s="10">
        <v>47.27</v>
      </c>
      <c r="Y26" s="10">
        <v>47.52</v>
      </c>
      <c r="Z26" s="10">
        <v>47.18</v>
      </c>
      <c r="AA26" s="10">
        <v>47.26</v>
      </c>
      <c r="AB26" s="95">
        <v>3208100</v>
      </c>
      <c r="AC26" s="10">
        <v>47.26</v>
      </c>
      <c r="AD26" s="2">
        <f t="shared" si="0"/>
        <v>0.34000000000000341</v>
      </c>
      <c r="AE26" s="138">
        <f t="shared" si="1"/>
        <v>-2.9535864978903481E-3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42571</v>
      </c>
      <c r="X27" s="10">
        <v>47.25</v>
      </c>
      <c r="Y27" s="10">
        <v>47.46</v>
      </c>
      <c r="Z27" s="10">
        <v>47.16</v>
      </c>
      <c r="AA27" s="10">
        <v>47.4</v>
      </c>
      <c r="AB27" s="95">
        <v>2976600</v>
      </c>
      <c r="AC27" s="10">
        <v>47.4</v>
      </c>
      <c r="AD27" s="2">
        <f t="shared" si="0"/>
        <v>0.30000000000000426</v>
      </c>
      <c r="AE27" s="138">
        <f t="shared" si="1"/>
        <v>9.5846645367412275E-3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42570</v>
      </c>
      <c r="X28" s="10">
        <v>46.98</v>
      </c>
      <c r="Y28" s="10">
        <v>47.06</v>
      </c>
      <c r="Z28" s="10">
        <v>46.83</v>
      </c>
      <c r="AA28" s="10">
        <v>46.95</v>
      </c>
      <c r="AB28" s="95">
        <v>4647500</v>
      </c>
      <c r="AC28" s="10">
        <v>46.95</v>
      </c>
      <c r="AD28" s="2">
        <f t="shared" si="0"/>
        <v>0.23000000000000398</v>
      </c>
      <c r="AE28" s="138">
        <f t="shared" si="1"/>
        <v>-7.609384908053296E-3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42569</v>
      </c>
      <c r="X29" s="10">
        <v>47.22</v>
      </c>
      <c r="Y29" s="10">
        <v>47.56</v>
      </c>
      <c r="Z29" s="10">
        <v>47.11</v>
      </c>
      <c r="AA29" s="10">
        <v>47.31</v>
      </c>
      <c r="AB29" s="95">
        <v>7433800</v>
      </c>
      <c r="AC29" s="10">
        <v>47.31</v>
      </c>
      <c r="AD29" s="2">
        <f t="shared" si="0"/>
        <v>0.45000000000000284</v>
      </c>
      <c r="AE29" s="138">
        <f t="shared" si="1"/>
        <v>1.9059720457434981E-3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42566</v>
      </c>
      <c r="X30" s="10">
        <v>47.32</v>
      </c>
      <c r="Y30" s="10">
        <v>47.39</v>
      </c>
      <c r="Z30" s="10">
        <v>47.1</v>
      </c>
      <c r="AA30" s="10">
        <v>47.22</v>
      </c>
      <c r="AB30" s="95">
        <v>10403600</v>
      </c>
      <c r="AC30" s="10">
        <v>47.22</v>
      </c>
      <c r="AD30" s="2">
        <f t="shared" si="0"/>
        <v>0.28999999999999915</v>
      </c>
      <c r="AE30" s="138">
        <f t="shared" si="1"/>
        <v>-6.1039781098716217E-3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42565</v>
      </c>
      <c r="X31" s="10">
        <v>47.54</v>
      </c>
      <c r="Y31" s="10">
        <v>47.67</v>
      </c>
      <c r="Z31" s="10">
        <v>47.43</v>
      </c>
      <c r="AA31" s="10">
        <v>47.51</v>
      </c>
      <c r="AB31" s="95">
        <v>17420400</v>
      </c>
      <c r="AC31" s="10">
        <v>47.51</v>
      </c>
      <c r="AD31" s="2">
        <f t="shared" si="0"/>
        <v>0.24000000000000199</v>
      </c>
      <c r="AE31" s="138">
        <f t="shared" si="1"/>
        <v>1.0421097405359347E-2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42564</v>
      </c>
      <c r="X32" s="10">
        <v>47.24</v>
      </c>
      <c r="Y32" s="10">
        <v>47.41</v>
      </c>
      <c r="Z32" s="10">
        <v>46.99</v>
      </c>
      <c r="AA32" s="10">
        <v>47.02</v>
      </c>
      <c r="AB32" s="95">
        <v>7892100</v>
      </c>
      <c r="AC32" s="10">
        <v>47.02</v>
      </c>
      <c r="AD32" s="2">
        <f t="shared" si="0"/>
        <v>0.4199999999999946</v>
      </c>
      <c r="AE32" s="138">
        <f t="shared" si="1"/>
        <v>0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42563</v>
      </c>
      <c r="X33" s="10">
        <v>47.07</v>
      </c>
      <c r="Y33" s="10">
        <v>47.31</v>
      </c>
      <c r="Z33" s="10">
        <v>46.99</v>
      </c>
      <c r="AA33" s="10">
        <v>47.02</v>
      </c>
      <c r="AB33" s="95">
        <v>6164700</v>
      </c>
      <c r="AC33" s="10">
        <v>47.02</v>
      </c>
      <c r="AD33" s="2">
        <f t="shared" si="0"/>
        <v>0.32000000000000028</v>
      </c>
      <c r="AE33" s="138">
        <f t="shared" si="1"/>
        <v>1.4674147604661236E-2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42562</v>
      </c>
      <c r="X34" s="10">
        <v>46.3</v>
      </c>
      <c r="Y34" s="10">
        <v>46.53</v>
      </c>
      <c r="Z34" s="10">
        <v>46.28</v>
      </c>
      <c r="AA34" s="10">
        <v>46.34</v>
      </c>
      <c r="AB34" s="95">
        <v>6794500</v>
      </c>
      <c r="AC34" s="10">
        <v>46.34</v>
      </c>
      <c r="AD34" s="2">
        <f t="shared" si="0"/>
        <v>0.25</v>
      </c>
      <c r="AE34" s="138">
        <f t="shared" si="1"/>
        <v>1.4892685063513156E-2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42559</v>
      </c>
      <c r="X35" s="10">
        <v>45.66</v>
      </c>
      <c r="Y35" s="10">
        <v>45.73</v>
      </c>
      <c r="Z35" s="10">
        <v>45.48</v>
      </c>
      <c r="AA35" s="10">
        <v>45.66</v>
      </c>
      <c r="AB35" s="95">
        <v>7459000</v>
      </c>
      <c r="AC35" s="10">
        <v>45.66</v>
      </c>
      <c r="AD35" s="2">
        <f t="shared" si="0"/>
        <v>0.25</v>
      </c>
      <c r="AE35" s="138">
        <f t="shared" si="1"/>
        <v>1.6473731077470966E-2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42558</v>
      </c>
      <c r="X36" s="10">
        <v>45.25</v>
      </c>
      <c r="Y36" s="10">
        <v>45.43</v>
      </c>
      <c r="Z36" s="10">
        <v>44.74</v>
      </c>
      <c r="AA36" s="10">
        <v>44.92</v>
      </c>
      <c r="AB36" s="95">
        <v>6712900</v>
      </c>
      <c r="AC36" s="10">
        <v>44.92</v>
      </c>
      <c r="AD36" s="2">
        <f t="shared" si="0"/>
        <v>0.68999999999999773</v>
      </c>
      <c r="AE36" s="138">
        <f t="shared" si="1"/>
        <v>-4.2119264021280856E-3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42557</v>
      </c>
      <c r="X37" s="10">
        <v>44.67</v>
      </c>
      <c r="Y37" s="10">
        <v>45.14</v>
      </c>
      <c r="Z37" s="10">
        <v>44.29</v>
      </c>
      <c r="AA37" s="10">
        <v>45.11</v>
      </c>
      <c r="AB37" s="95">
        <v>10473300</v>
      </c>
      <c r="AC37" s="10">
        <v>45.11</v>
      </c>
      <c r="AD37" s="2">
        <f t="shared" si="0"/>
        <v>0.85000000000000142</v>
      </c>
      <c r="AE37" s="138">
        <f t="shared" si="1"/>
        <v>-3.0939226519337559E-3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42556</v>
      </c>
      <c r="X38" s="10">
        <v>45.78</v>
      </c>
      <c r="Y38" s="10">
        <v>45.81</v>
      </c>
      <c r="Z38" s="10">
        <v>45.13</v>
      </c>
      <c r="AA38" s="10">
        <v>45.25</v>
      </c>
      <c r="AB38" s="95">
        <v>8668300</v>
      </c>
      <c r="AC38" s="10">
        <v>45.25</v>
      </c>
      <c r="AD38" s="2">
        <f t="shared" si="0"/>
        <v>0.67999999999999972</v>
      </c>
      <c r="AE38" s="138">
        <f t="shared" si="1"/>
        <v>-3.1464041095890405E-2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42552</v>
      </c>
      <c r="X39" s="10">
        <v>46.76</v>
      </c>
      <c r="Y39" s="10">
        <v>46.88</v>
      </c>
      <c r="Z39" s="10">
        <v>46.63</v>
      </c>
      <c r="AA39" s="10">
        <v>46.72</v>
      </c>
      <c r="AB39" s="95">
        <v>8123600</v>
      </c>
      <c r="AC39" s="10">
        <v>46.72</v>
      </c>
      <c r="AD39" s="2">
        <f t="shared" si="0"/>
        <v>0.25</v>
      </c>
      <c r="AE39" s="138">
        <f t="shared" si="1"/>
        <v>1.285897985426443E-3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5" t="s">
        <v>78</v>
      </c>
      <c r="P40" s="535"/>
      <c r="W40" s="133">
        <v>42551</v>
      </c>
      <c r="X40" s="10">
        <v>45.86</v>
      </c>
      <c r="Y40" s="10">
        <v>46.66</v>
      </c>
      <c r="Z40" s="10">
        <v>45.79</v>
      </c>
      <c r="AA40" s="10">
        <v>46.66</v>
      </c>
      <c r="AB40" s="95">
        <v>12204600</v>
      </c>
      <c r="AC40" s="10">
        <v>46.66</v>
      </c>
      <c r="AD40" s="2">
        <f t="shared" si="0"/>
        <v>0.86999999999999744</v>
      </c>
      <c r="AE40" s="138">
        <f t="shared" si="1"/>
        <v>2.2124863088718527E-2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53.988</v>
      </c>
      <c r="Q41" s="2"/>
      <c r="W41" s="133">
        <v>42550</v>
      </c>
      <c r="X41" s="10">
        <v>45.51</v>
      </c>
      <c r="Y41" s="10">
        <v>45.88</v>
      </c>
      <c r="Z41" s="10">
        <v>45.37</v>
      </c>
      <c r="AA41" s="10">
        <v>45.65</v>
      </c>
      <c r="AB41" s="95">
        <v>7148600</v>
      </c>
      <c r="AC41" s="10">
        <v>45.65</v>
      </c>
      <c r="AD41" s="2">
        <f t="shared" si="0"/>
        <v>0.51000000000000512</v>
      </c>
      <c r="AE41" s="138">
        <f t="shared" si="1"/>
        <v>2.0339740724184097E-2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53.497199999999999</v>
      </c>
      <c r="Q42" s="2"/>
      <c r="T42" s="91" t="s">
        <v>113</v>
      </c>
      <c r="W42" s="133">
        <v>42549</v>
      </c>
      <c r="X42" s="10">
        <v>44.53</v>
      </c>
      <c r="Y42" s="10">
        <v>44.74</v>
      </c>
      <c r="Z42" s="10">
        <v>44.12</v>
      </c>
      <c r="AA42" s="10">
        <v>44.74</v>
      </c>
      <c r="AB42" s="95">
        <v>9806000</v>
      </c>
      <c r="AC42" s="10">
        <v>44.74</v>
      </c>
      <c r="AD42" s="2">
        <f t="shared" si="0"/>
        <v>0.62000000000000455</v>
      </c>
      <c r="AE42" s="138">
        <f t="shared" si="1"/>
        <v>3.2779316712834738E-2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53.006399999999999</v>
      </c>
      <c r="Q43" s="2"/>
      <c r="T43" s="128" t="s">
        <v>98</v>
      </c>
      <c r="U43" s="98">
        <v>49.22</v>
      </c>
      <c r="W43" s="133">
        <v>42548</v>
      </c>
      <c r="X43" s="10">
        <v>43.57</v>
      </c>
      <c r="Y43" s="10">
        <v>43.63</v>
      </c>
      <c r="Z43" s="10">
        <v>42.73</v>
      </c>
      <c r="AA43" s="10">
        <v>43.32</v>
      </c>
      <c r="AB43" s="95">
        <v>10904600</v>
      </c>
      <c r="AC43" s="10">
        <v>43.32</v>
      </c>
      <c r="AD43" s="2">
        <f t="shared" si="0"/>
        <v>0.90000000000000568</v>
      </c>
      <c r="AE43" s="138">
        <f t="shared" si="1"/>
        <v>-2.6079136690647431E-2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52.515599999999999</v>
      </c>
      <c r="Q44" s="2"/>
      <c r="T44" s="93" t="s">
        <v>99</v>
      </c>
      <c r="U44" s="88">
        <v>49.31</v>
      </c>
      <c r="W44" s="133">
        <v>42545</v>
      </c>
      <c r="X44" s="10">
        <v>44.93</v>
      </c>
      <c r="Y44" s="10">
        <v>46.02</v>
      </c>
      <c r="Z44" s="10">
        <v>44.48</v>
      </c>
      <c r="AA44" s="10">
        <v>44.48</v>
      </c>
      <c r="AB44" s="95">
        <v>29139700</v>
      </c>
      <c r="AC44" s="10">
        <v>44.48</v>
      </c>
      <c r="AD44" s="2">
        <f t="shared" si="0"/>
        <v>1.5400000000000063</v>
      </c>
      <c r="AE44" s="138">
        <f t="shared" si="1"/>
        <v>-0.11288392500997213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52.024799999999999</v>
      </c>
      <c r="Q45" s="2"/>
      <c r="T45" s="93" t="s">
        <v>100</v>
      </c>
      <c r="U45" s="88" t="s">
        <v>557</v>
      </c>
      <c r="W45" s="133">
        <v>42544</v>
      </c>
      <c r="X45" s="10">
        <v>49.74</v>
      </c>
      <c r="Y45" s="10">
        <v>50.23</v>
      </c>
      <c r="Z45" s="10">
        <v>49.27</v>
      </c>
      <c r="AA45" s="10">
        <v>50.14</v>
      </c>
      <c r="AB45" s="95">
        <v>7688300</v>
      </c>
      <c r="AC45" s="10">
        <v>50.14</v>
      </c>
      <c r="AD45" s="2">
        <f t="shared" si="0"/>
        <v>0.95999999999999375</v>
      </c>
      <c r="AE45" s="138">
        <f t="shared" si="1"/>
        <v>3.1262854792266648E-2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51.533999999999999</v>
      </c>
      <c r="Q46" s="2"/>
      <c r="T46" s="93" t="s">
        <v>101</v>
      </c>
      <c r="U46" s="88" t="s">
        <v>558</v>
      </c>
      <c r="W46" s="133">
        <v>42543</v>
      </c>
      <c r="X46" s="10">
        <v>48.81</v>
      </c>
      <c r="Y46" s="10">
        <v>49.09</v>
      </c>
      <c r="Z46" s="10">
        <v>48.59</v>
      </c>
      <c r="AA46" s="10">
        <v>48.62</v>
      </c>
      <c r="AB46" s="95">
        <v>9102500</v>
      </c>
      <c r="AC46" s="10">
        <v>48.62</v>
      </c>
      <c r="AD46" s="2">
        <f t="shared" si="0"/>
        <v>0.5</v>
      </c>
      <c r="AE46" s="138">
        <f t="shared" si="1"/>
        <v>4.1152263374466536E-4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51.043199999999999</v>
      </c>
      <c r="Q47" s="2"/>
      <c r="T47" s="93" t="s">
        <v>245</v>
      </c>
      <c r="U47" s="88">
        <v>49.28</v>
      </c>
      <c r="W47" s="133">
        <v>42542</v>
      </c>
      <c r="X47" s="10">
        <v>48.44</v>
      </c>
      <c r="Y47" s="10">
        <v>48.93</v>
      </c>
      <c r="Z47" s="10">
        <v>48.24</v>
      </c>
      <c r="AA47" s="10">
        <v>48.6</v>
      </c>
      <c r="AB47" s="95">
        <v>5259200</v>
      </c>
      <c r="AC47" s="10">
        <v>48.6</v>
      </c>
      <c r="AD47" s="2">
        <f t="shared" si="0"/>
        <v>0.68999999999999773</v>
      </c>
      <c r="AE47" s="138">
        <f t="shared" si="1"/>
        <v>9.5554632322392141E-3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50.552399999999999</v>
      </c>
      <c r="Q48" s="2"/>
      <c r="T48" s="93" t="s">
        <v>246</v>
      </c>
      <c r="U48" s="88" t="s">
        <v>346</v>
      </c>
      <c r="W48" s="133">
        <v>42541</v>
      </c>
      <c r="X48" s="10">
        <v>48.49</v>
      </c>
      <c r="Y48" s="10">
        <v>48.52</v>
      </c>
      <c r="Z48" s="10">
        <v>48.12</v>
      </c>
      <c r="AA48" s="10">
        <v>48.14</v>
      </c>
      <c r="AB48" s="95">
        <v>7925800</v>
      </c>
      <c r="AC48" s="10">
        <v>48.14</v>
      </c>
      <c r="AD48" s="2">
        <f t="shared" si="0"/>
        <v>0.40000000000000568</v>
      </c>
      <c r="AE48" s="138">
        <f t="shared" si="1"/>
        <v>2.7096223597183666E-2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50.061599999999999</v>
      </c>
      <c r="Q49" s="2"/>
      <c r="T49" s="93" t="s">
        <v>247</v>
      </c>
      <c r="U49" s="466">
        <v>-6.7999999999999996E-3</v>
      </c>
      <c r="W49" s="133">
        <v>42538</v>
      </c>
      <c r="X49" s="10">
        <v>46.41</v>
      </c>
      <c r="Y49" s="10">
        <v>46.92</v>
      </c>
      <c r="Z49" s="10">
        <v>46.21</v>
      </c>
      <c r="AA49" s="10">
        <v>46.87</v>
      </c>
      <c r="AB49" s="95">
        <v>9032800</v>
      </c>
      <c r="AC49" s="10">
        <v>46.87</v>
      </c>
      <c r="AD49" s="2">
        <f t="shared" si="0"/>
        <v>0.71000000000000085</v>
      </c>
      <c r="AE49" s="138">
        <f t="shared" si="1"/>
        <v>1.7144097222222099E-2</v>
      </c>
    </row>
    <row r="50" spans="1:31" x14ac:dyDescent="0.25">
      <c r="O50" s="83">
        <v>1.01</v>
      </c>
      <c r="P50" s="83">
        <f t="shared" si="42"/>
        <v>49.570799999999998</v>
      </c>
      <c r="Q50" s="2"/>
      <c r="T50" s="93"/>
      <c r="U50" s="88"/>
      <c r="W50" s="133">
        <v>42537</v>
      </c>
      <c r="X50" s="10">
        <v>45.17</v>
      </c>
      <c r="Y50" s="10">
        <v>46.1</v>
      </c>
      <c r="Z50" s="10">
        <v>44.83</v>
      </c>
      <c r="AA50" s="10">
        <v>46.08</v>
      </c>
      <c r="AB50" s="95">
        <v>7857600</v>
      </c>
      <c r="AC50" s="10">
        <v>46.08</v>
      </c>
      <c r="AD50" s="2">
        <f t="shared" si="0"/>
        <v>1.2700000000000031</v>
      </c>
      <c r="AE50" s="138">
        <f t="shared" si="1"/>
        <v>4.7972088966419246E-3</v>
      </c>
    </row>
    <row r="51" spans="1:31" x14ac:dyDescent="0.25">
      <c r="O51" s="83">
        <v>1</v>
      </c>
      <c r="P51" s="83">
        <f t="shared" si="42"/>
        <v>49.08</v>
      </c>
      <c r="Q51" s="2"/>
      <c r="T51" s="93" t="s">
        <v>105</v>
      </c>
      <c r="U51" s="88" t="s">
        <v>559</v>
      </c>
      <c r="W51" s="133">
        <v>42536</v>
      </c>
      <c r="X51" s="10">
        <v>45.97</v>
      </c>
      <c r="Y51" s="10">
        <v>46.21</v>
      </c>
      <c r="Z51" s="10">
        <v>45.78</v>
      </c>
      <c r="AA51" s="10">
        <v>45.86</v>
      </c>
      <c r="AB51" s="95">
        <v>6372700</v>
      </c>
      <c r="AC51" s="10">
        <v>45.86</v>
      </c>
      <c r="AD51" s="2">
        <f t="shared" si="0"/>
        <v>0.42999999999999972</v>
      </c>
      <c r="AE51" s="138">
        <f t="shared" si="1"/>
        <v>6.36383585692335E-3</v>
      </c>
    </row>
    <row r="52" spans="1:31" x14ac:dyDescent="0.25">
      <c r="O52" s="83">
        <v>0.99</v>
      </c>
      <c r="P52" s="83">
        <f t="shared" si="42"/>
        <v>48.589199999999998</v>
      </c>
      <c r="Q52" s="2"/>
      <c r="T52" s="93" t="s">
        <v>106</v>
      </c>
      <c r="U52" s="88" t="s">
        <v>371</v>
      </c>
      <c r="W52" s="133">
        <v>42535</v>
      </c>
      <c r="X52" s="10">
        <v>45.88</v>
      </c>
      <c r="Y52" s="10">
        <v>45.99</v>
      </c>
      <c r="Z52" s="10">
        <v>45.33</v>
      </c>
      <c r="AA52" s="10">
        <v>45.57</v>
      </c>
      <c r="AB52" s="95">
        <v>8372300</v>
      </c>
      <c r="AC52" s="10">
        <v>45.57</v>
      </c>
      <c r="AD52" s="2">
        <f t="shared" si="0"/>
        <v>0.66000000000000369</v>
      </c>
      <c r="AE52" s="138" t="e">
        <f t="shared" si="1"/>
        <v>#DIV/0!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48.098399999999998</v>
      </c>
      <c r="Q53" s="2"/>
      <c r="T53" s="93" t="s">
        <v>107</v>
      </c>
      <c r="U53" s="90">
        <v>3346829</v>
      </c>
      <c r="W53" s="133">
        <v>42535</v>
      </c>
      <c r="X53" s="10" t="s">
        <v>274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A54" s="264" t="s">
        <v>1</v>
      </c>
      <c r="B54" s="264" t="s">
        <v>2</v>
      </c>
      <c r="C54" s="264" t="s">
        <v>4</v>
      </c>
      <c r="D54" s="265" t="s">
        <v>5</v>
      </c>
      <c r="E54" s="265" t="s">
        <v>94</v>
      </c>
      <c r="F54" s="265" t="s">
        <v>60</v>
      </c>
      <c r="G54" s="264" t="s">
        <v>3</v>
      </c>
      <c r="H54" s="264" t="s">
        <v>6</v>
      </c>
      <c r="I54" s="265" t="s">
        <v>7</v>
      </c>
      <c r="J54" s="265" t="s">
        <v>95</v>
      </c>
      <c r="K54" s="265" t="s">
        <v>61</v>
      </c>
      <c r="L54" s="264" t="s">
        <v>37</v>
      </c>
      <c r="M54" s="264" t="s">
        <v>38</v>
      </c>
      <c r="O54" s="83">
        <v>0.97</v>
      </c>
      <c r="P54" s="83">
        <f t="shared" si="42"/>
        <v>47.607599999999998</v>
      </c>
      <c r="T54" s="93" t="s">
        <v>110</v>
      </c>
      <c r="U54" s="90">
        <v>5923380</v>
      </c>
      <c r="W54" s="133">
        <v>42534</v>
      </c>
      <c r="X54" s="10">
        <v>47.51</v>
      </c>
      <c r="Y54" s="10">
        <v>47.92</v>
      </c>
      <c r="Z54" s="10">
        <v>47.27</v>
      </c>
      <c r="AA54" s="10">
        <v>47.36</v>
      </c>
      <c r="AB54" s="95">
        <v>5610400</v>
      </c>
      <c r="AC54" s="10">
        <v>46.44</v>
      </c>
      <c r="AD54" s="2">
        <f t="shared" si="0"/>
        <v>0.64999999999999858</v>
      </c>
      <c r="AE54" s="138">
        <f t="shared" si="1"/>
        <v>-1.6101694915254372E-2</v>
      </c>
    </row>
    <row r="55" spans="1:31" x14ac:dyDescent="0.25">
      <c r="A55" s="266" t="s">
        <v>262</v>
      </c>
      <c r="B55" s="267">
        <v>42545</v>
      </c>
      <c r="C55" s="262">
        <v>100</v>
      </c>
      <c r="D55" s="263">
        <v>45.25</v>
      </c>
      <c r="E55" s="263">
        <v>0</v>
      </c>
      <c r="F55" s="263">
        <f>D55*C55+E55</f>
        <v>4525</v>
      </c>
      <c r="G55" s="267">
        <v>42577</v>
      </c>
      <c r="H55" s="268">
        <v>50</v>
      </c>
      <c r="I55" s="263">
        <v>47.5</v>
      </c>
      <c r="J55" s="263">
        <v>0.05</v>
      </c>
      <c r="K55" s="263">
        <f>H55*I55-J55</f>
        <v>2374.9499999999998</v>
      </c>
      <c r="L55" s="267" t="s">
        <v>295</v>
      </c>
      <c r="M55" s="262"/>
      <c r="O55" s="83">
        <v>0.96</v>
      </c>
      <c r="P55" s="83">
        <f t="shared" si="42"/>
        <v>47.116799999999998</v>
      </c>
      <c r="T55" s="93" t="s">
        <v>248</v>
      </c>
      <c r="U55" s="88">
        <v>17</v>
      </c>
      <c r="W55" s="133">
        <v>42531</v>
      </c>
      <c r="X55" s="10">
        <v>48.7</v>
      </c>
      <c r="Y55" s="10">
        <v>48.73</v>
      </c>
      <c r="Z55" s="10">
        <v>48.02</v>
      </c>
      <c r="AA55" s="10">
        <v>48.14</v>
      </c>
      <c r="AB55" s="95">
        <v>4333200</v>
      </c>
      <c r="AC55" s="10">
        <v>47.2</v>
      </c>
      <c r="AD55" s="2">
        <f t="shared" si="0"/>
        <v>0.70999999999999375</v>
      </c>
      <c r="AE55" s="138">
        <f t="shared" si="1"/>
        <v>-3.3974621367171443E-2</v>
      </c>
    </row>
    <row r="56" spans="1:31" x14ac:dyDescent="0.25">
      <c r="A56" s="269" t="s">
        <v>71</v>
      </c>
      <c r="B56" s="267"/>
      <c r="C56" s="262"/>
      <c r="D56" s="263"/>
      <c r="E56" s="263"/>
      <c r="F56" s="263"/>
      <c r="G56" s="267">
        <v>42580</v>
      </c>
      <c r="H56" s="268">
        <v>50</v>
      </c>
      <c r="I56" s="263">
        <v>48.16</v>
      </c>
      <c r="J56" s="263">
        <v>0.3</v>
      </c>
      <c r="K56" s="263">
        <f>H56*I56-J56</f>
        <v>2407.6999999999998</v>
      </c>
      <c r="L56" s="262"/>
      <c r="M56" s="262"/>
      <c r="O56" s="83">
        <v>0.95</v>
      </c>
      <c r="P56" s="83">
        <f t="shared" si="42"/>
        <v>46.625999999999998</v>
      </c>
      <c r="T56" s="93" t="s">
        <v>249</v>
      </c>
      <c r="U56" s="88">
        <v>3.36</v>
      </c>
      <c r="W56" s="133">
        <v>42530</v>
      </c>
      <c r="X56" s="10">
        <v>49.85</v>
      </c>
      <c r="Y56" s="10">
        <v>50.03</v>
      </c>
      <c r="Z56" s="10">
        <v>49.71</v>
      </c>
      <c r="AA56" s="10">
        <v>49.83</v>
      </c>
      <c r="AB56" s="95">
        <v>2563700</v>
      </c>
      <c r="AC56" s="10">
        <v>48.86</v>
      </c>
      <c r="AD56" s="2">
        <f t="shared" si="0"/>
        <v>0.32000000000000028</v>
      </c>
      <c r="AE56" s="138">
        <f t="shared" si="1"/>
        <v>-1.4323179342344172E-2</v>
      </c>
    </row>
    <row r="57" spans="1:31" x14ac:dyDescent="0.25">
      <c r="A57" s="262"/>
      <c r="B57" s="267"/>
      <c r="C57" s="262"/>
      <c r="D57" s="263"/>
      <c r="E57" s="263"/>
      <c r="F57" s="263"/>
      <c r="G57" s="262"/>
      <c r="H57" s="268"/>
      <c r="I57" s="263"/>
      <c r="J57" s="263"/>
      <c r="K57" s="263"/>
      <c r="L57" s="262"/>
      <c r="M57" s="262"/>
      <c r="O57" s="83">
        <v>0.94</v>
      </c>
      <c r="P57" s="83">
        <f t="shared" si="42"/>
        <v>46.135199999999998</v>
      </c>
      <c r="T57" s="93"/>
      <c r="U57" s="88"/>
      <c r="W57" s="133">
        <v>42529</v>
      </c>
      <c r="X57" s="10">
        <v>50.61</v>
      </c>
      <c r="Y57" s="10">
        <v>50.7</v>
      </c>
      <c r="Z57" s="10">
        <v>50.5</v>
      </c>
      <c r="AA57" s="10">
        <v>50.56</v>
      </c>
      <c r="AB57" s="95">
        <v>4458800</v>
      </c>
      <c r="AC57" s="10">
        <v>49.57</v>
      </c>
      <c r="AD57" s="2">
        <f t="shared" si="0"/>
        <v>0.20000000000000284</v>
      </c>
      <c r="AE57" s="138">
        <f t="shared" si="1"/>
        <v>1.4141414141413122E-3</v>
      </c>
    </row>
    <row r="58" spans="1:31" x14ac:dyDescent="0.25">
      <c r="A58" s="262"/>
      <c r="B58" s="267"/>
      <c r="C58" s="262"/>
      <c r="D58" s="263"/>
      <c r="E58" s="263"/>
      <c r="F58" s="263"/>
      <c r="G58" s="262"/>
      <c r="H58" s="268"/>
      <c r="I58" s="263"/>
      <c r="J58" s="263"/>
      <c r="K58" s="263"/>
      <c r="L58" s="262"/>
      <c r="M58" s="262"/>
      <c r="O58" s="83">
        <v>0.93</v>
      </c>
      <c r="P58" s="83">
        <f t="shared" si="42"/>
        <v>45.644399999999997</v>
      </c>
      <c r="T58" s="93"/>
      <c r="U58" s="88"/>
      <c r="W58" s="133">
        <v>42528</v>
      </c>
      <c r="X58" s="10">
        <v>50.52</v>
      </c>
      <c r="Y58" s="10">
        <v>50.68</v>
      </c>
      <c r="Z58" s="10">
        <v>50.45</v>
      </c>
      <c r="AA58" s="10">
        <v>50.49</v>
      </c>
      <c r="AB58" s="95">
        <v>6441300</v>
      </c>
      <c r="AC58" s="10">
        <v>49.5</v>
      </c>
      <c r="AD58" s="2">
        <f t="shared" si="0"/>
        <v>0.22999999999999687</v>
      </c>
      <c r="AE58" s="138">
        <f t="shared" si="1"/>
        <v>6.9161920260374377E-3</v>
      </c>
    </row>
    <row r="59" spans="1:31" x14ac:dyDescent="0.25">
      <c r="A59" s="262"/>
      <c r="B59" s="267"/>
      <c r="C59" s="262"/>
      <c r="D59" s="263"/>
      <c r="E59" s="263"/>
      <c r="F59" s="263"/>
      <c r="G59" s="262"/>
      <c r="H59" s="268"/>
      <c r="I59" s="263"/>
      <c r="J59" s="263"/>
      <c r="K59" s="263"/>
      <c r="L59" s="262"/>
      <c r="M59" s="262"/>
      <c r="O59" s="83">
        <v>0.92</v>
      </c>
      <c r="P59" s="83">
        <f t="shared" si="42"/>
        <v>45.153599999999997</v>
      </c>
      <c r="W59" s="133">
        <v>42527</v>
      </c>
      <c r="X59" s="10">
        <v>49.97</v>
      </c>
      <c r="Y59" s="10">
        <v>50.26</v>
      </c>
      <c r="Z59" s="10">
        <v>49.94</v>
      </c>
      <c r="AA59" s="10">
        <v>50.14</v>
      </c>
      <c r="AB59" s="95">
        <v>3202100</v>
      </c>
      <c r="AC59" s="10">
        <v>49.16</v>
      </c>
      <c r="AD59" s="2">
        <f t="shared" si="0"/>
        <v>0.32000000000000028</v>
      </c>
      <c r="AE59" s="138">
        <f t="shared" si="1"/>
        <v>2.6514378951660866E-3</v>
      </c>
    </row>
    <row r="60" spans="1:31" x14ac:dyDescent="0.25">
      <c r="A60" s="262"/>
      <c r="B60" s="262"/>
      <c r="C60" s="262"/>
      <c r="D60" s="263"/>
      <c r="E60" s="263"/>
      <c r="F60" s="263"/>
      <c r="G60" s="262"/>
      <c r="H60" s="268"/>
      <c r="I60" s="263"/>
      <c r="J60" s="263"/>
      <c r="K60" s="263"/>
      <c r="L60" s="262"/>
      <c r="M60" s="262"/>
      <c r="O60" s="83">
        <v>0.91</v>
      </c>
      <c r="P60" s="83">
        <f t="shared" si="42"/>
        <v>44.662799999999997</v>
      </c>
      <c r="W60" s="133">
        <v>42524</v>
      </c>
      <c r="X60" s="10">
        <v>49.78</v>
      </c>
      <c r="Y60" s="10">
        <v>50.02</v>
      </c>
      <c r="Z60" s="10">
        <v>49.55</v>
      </c>
      <c r="AA60" s="10">
        <v>50.01</v>
      </c>
      <c r="AB60" s="95">
        <v>5386600</v>
      </c>
      <c r="AC60" s="10">
        <v>49.03</v>
      </c>
      <c r="AD60" s="2">
        <f t="shared" si="0"/>
        <v>0.47000000000000597</v>
      </c>
      <c r="AE60" s="138">
        <f t="shared" si="1"/>
        <v>6.5694929172654959E-3</v>
      </c>
    </row>
    <row r="61" spans="1:31" x14ac:dyDescent="0.25">
      <c r="A61" s="262"/>
      <c r="B61" s="262"/>
      <c r="C61" s="262"/>
      <c r="D61" s="263"/>
      <c r="E61" s="263"/>
      <c r="F61" s="263"/>
      <c r="G61" s="262"/>
      <c r="H61" s="268"/>
      <c r="I61" s="263"/>
      <c r="J61" s="263"/>
      <c r="K61" s="263"/>
      <c r="L61" s="262"/>
      <c r="M61" s="262"/>
      <c r="O61" s="83">
        <v>0.9</v>
      </c>
      <c r="P61" s="83">
        <f t="shared" si="42"/>
        <v>44.171999999999997</v>
      </c>
      <c r="W61" s="133">
        <v>42523</v>
      </c>
      <c r="X61" s="10">
        <v>49.37</v>
      </c>
      <c r="Y61" s="10">
        <v>49.68</v>
      </c>
      <c r="Z61" s="10">
        <v>49.33</v>
      </c>
      <c r="AA61" s="10">
        <v>49.68</v>
      </c>
      <c r="AB61" s="95">
        <v>11306100</v>
      </c>
      <c r="AC61" s="10">
        <v>48.71</v>
      </c>
      <c r="AD61" s="2">
        <f t="shared" si="0"/>
        <v>0.35000000000000142</v>
      </c>
      <c r="AE61" s="138">
        <f t="shared" si="1"/>
        <v>2.8824377187564032E-3</v>
      </c>
    </row>
    <row r="62" spans="1:31" x14ac:dyDescent="0.25">
      <c r="A62" s="262"/>
      <c r="B62" s="262"/>
      <c r="C62" s="262"/>
      <c r="D62" s="263"/>
      <c r="E62" s="263"/>
      <c r="F62" s="263"/>
      <c r="G62" s="262"/>
      <c r="H62" s="268"/>
      <c r="I62" s="263"/>
      <c r="J62" s="263"/>
      <c r="K62" s="263"/>
      <c r="L62" s="262"/>
      <c r="M62" s="262"/>
      <c r="W62" s="133">
        <v>42522</v>
      </c>
      <c r="X62" s="10">
        <v>49.26</v>
      </c>
      <c r="Y62" s="10">
        <v>49.6</v>
      </c>
      <c r="Z62" s="10">
        <v>49.25</v>
      </c>
      <c r="AA62" s="10">
        <v>49.54</v>
      </c>
      <c r="AB62" s="95">
        <v>3351600</v>
      </c>
      <c r="AC62" s="10">
        <v>48.57</v>
      </c>
      <c r="AD62" s="2">
        <f t="shared" si="0"/>
        <v>0.35000000000000142</v>
      </c>
      <c r="AE62" s="138">
        <f t="shared" si="1"/>
        <v>-1.4391447368421462E-3</v>
      </c>
    </row>
    <row r="63" spans="1:31" x14ac:dyDescent="0.25">
      <c r="A63" s="262"/>
      <c r="B63" s="262"/>
      <c r="C63" s="262"/>
      <c r="D63" s="263"/>
      <c r="E63" s="263"/>
      <c r="F63" s="263"/>
      <c r="G63" s="262"/>
      <c r="H63" s="268"/>
      <c r="I63" s="263"/>
      <c r="J63" s="263"/>
      <c r="K63" s="263"/>
      <c r="L63" s="262"/>
      <c r="M63" s="262"/>
      <c r="W63" s="133">
        <v>42521</v>
      </c>
      <c r="X63" s="10">
        <v>50.13</v>
      </c>
      <c r="Y63" s="10">
        <v>50.23</v>
      </c>
      <c r="Z63" s="10">
        <v>49.48</v>
      </c>
      <c r="AA63" s="10">
        <v>49.61</v>
      </c>
      <c r="AB63" s="95">
        <v>4226000</v>
      </c>
      <c r="AC63" s="10">
        <v>48.64</v>
      </c>
      <c r="AD63" s="2">
        <f t="shared" si="0"/>
        <v>0.75</v>
      </c>
      <c r="AE63" s="138">
        <f t="shared" si="1"/>
        <v>-7.3469387755101812E-3</v>
      </c>
    </row>
    <row r="64" spans="1:31" x14ac:dyDescent="0.25">
      <c r="A64" s="262"/>
      <c r="B64" s="262"/>
      <c r="C64" s="262"/>
      <c r="D64" s="263"/>
      <c r="E64" s="263"/>
      <c r="F64" s="263"/>
      <c r="G64" s="262"/>
      <c r="H64" s="268"/>
      <c r="I64" s="263"/>
      <c r="J64" s="263"/>
      <c r="K64" s="263"/>
      <c r="L64" s="262"/>
      <c r="M64" s="262"/>
      <c r="W64" s="133">
        <v>42517</v>
      </c>
      <c r="X64" s="10">
        <v>50.02</v>
      </c>
      <c r="Y64" s="10">
        <v>50.09</v>
      </c>
      <c r="Z64" s="10">
        <v>49.88</v>
      </c>
      <c r="AA64" s="10">
        <v>49.97</v>
      </c>
      <c r="AB64" s="95">
        <v>4377500</v>
      </c>
      <c r="AC64" s="10">
        <v>49</v>
      </c>
      <c r="AD64" s="2">
        <f t="shared" si="0"/>
        <v>0.21000000000000085</v>
      </c>
      <c r="AE64" s="138">
        <f t="shared" si="1"/>
        <v>-2.4429967426710109E-3</v>
      </c>
    </row>
    <row r="65" spans="1:31" x14ac:dyDescent="0.25">
      <c r="A65" s="262"/>
      <c r="B65" s="262"/>
      <c r="C65" s="262"/>
      <c r="D65" s="263"/>
      <c r="E65" s="263"/>
      <c r="F65" s="263"/>
      <c r="G65" s="262"/>
      <c r="H65" s="268"/>
      <c r="I65" s="263"/>
      <c r="J65" s="263"/>
      <c r="K65" s="263"/>
      <c r="L65" s="262"/>
      <c r="M65" s="262"/>
      <c r="W65" s="133">
        <v>42516</v>
      </c>
      <c r="X65" s="10">
        <v>50.19</v>
      </c>
      <c r="Y65" s="10">
        <v>50.26</v>
      </c>
      <c r="Z65" s="10">
        <v>49.97</v>
      </c>
      <c r="AA65" s="10">
        <v>50.1</v>
      </c>
      <c r="AB65" s="95">
        <v>2557400</v>
      </c>
      <c r="AC65" s="10">
        <v>49.12</v>
      </c>
      <c r="AD65" s="2">
        <f t="shared" si="0"/>
        <v>0.28999999999999915</v>
      </c>
      <c r="AE65" s="138">
        <f t="shared" si="1"/>
        <v>3.2679738562091387E-3</v>
      </c>
    </row>
    <row r="66" spans="1:31" x14ac:dyDescent="0.25">
      <c r="A66" s="262"/>
      <c r="B66" s="262"/>
      <c r="C66" s="262"/>
      <c r="D66" s="263"/>
      <c r="E66" s="263"/>
      <c r="F66" s="263"/>
      <c r="G66" s="262"/>
      <c r="H66" s="268"/>
      <c r="I66" s="263"/>
      <c r="J66" s="263"/>
      <c r="K66" s="263"/>
      <c r="L66" s="262"/>
      <c r="M66" s="262"/>
      <c r="W66" s="133">
        <v>42515</v>
      </c>
      <c r="X66" s="10">
        <v>49.74</v>
      </c>
      <c r="Y66" s="10">
        <v>50</v>
      </c>
      <c r="Z66" s="10">
        <v>49.74</v>
      </c>
      <c r="AA66" s="10">
        <v>49.93</v>
      </c>
      <c r="AB66" s="95">
        <v>3403900</v>
      </c>
      <c r="AC66" s="10">
        <v>48.96</v>
      </c>
      <c r="AD66" s="2">
        <f t="shared" si="0"/>
        <v>0.25999999999999801</v>
      </c>
      <c r="AE66" s="138">
        <f t="shared" si="1"/>
        <v>1.1152416356877248E-2</v>
      </c>
    </row>
    <row r="67" spans="1:31" x14ac:dyDescent="0.25">
      <c r="A67" s="262"/>
      <c r="B67" s="262"/>
      <c r="C67" s="262"/>
      <c r="D67" s="263"/>
      <c r="E67" s="263"/>
      <c r="F67" s="263"/>
      <c r="G67" s="262"/>
      <c r="H67" s="268"/>
      <c r="I67" s="263"/>
      <c r="J67" s="263"/>
      <c r="K67" s="263"/>
      <c r="L67" s="262"/>
      <c r="M67" s="262"/>
      <c r="W67" s="133">
        <v>42514</v>
      </c>
      <c r="X67" s="10">
        <v>48.96</v>
      </c>
      <c r="Y67" s="10">
        <v>49.46</v>
      </c>
      <c r="Z67" s="10">
        <v>48.94</v>
      </c>
      <c r="AA67" s="10">
        <v>49.38</v>
      </c>
      <c r="AB67" s="95">
        <v>10452400</v>
      </c>
      <c r="AC67" s="10">
        <v>48.42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2"/>
      <c r="B68" s="262"/>
      <c r="C68" s="262"/>
      <c r="D68" s="263"/>
      <c r="E68" s="263"/>
      <c r="F68" s="263"/>
      <c r="G68" s="262"/>
      <c r="H68" s="268"/>
      <c r="I68" s="263"/>
      <c r="J68" s="263"/>
      <c r="K68" s="263"/>
      <c r="L68" s="262"/>
      <c r="M68" s="262"/>
      <c r="W68" s="133">
        <v>42513</v>
      </c>
      <c r="X68" s="10">
        <v>48.43</v>
      </c>
      <c r="Y68" s="10">
        <v>48.6</v>
      </c>
      <c r="Z68" s="10">
        <v>48.35</v>
      </c>
      <c r="AA68" s="10">
        <v>48.48</v>
      </c>
      <c r="AB68" s="95">
        <v>2771800</v>
      </c>
      <c r="AC68" s="10">
        <v>47.53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2"/>
      <c r="B69" s="262"/>
      <c r="C69" s="262"/>
      <c r="D69" s="263"/>
      <c r="E69" s="263"/>
      <c r="F69" s="263"/>
      <c r="G69" s="262"/>
      <c r="H69" s="268"/>
      <c r="I69" s="263"/>
      <c r="J69" s="263"/>
      <c r="K69" s="263"/>
      <c r="L69" s="262"/>
      <c r="M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2"/>
      <c r="I70" s="263"/>
      <c r="J70" s="263"/>
      <c r="K70" s="263"/>
      <c r="L70" s="262"/>
      <c r="M70" s="262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1" t="s">
        <v>204</v>
      </c>
      <c r="B72" s="492"/>
      <c r="C72" s="493">
        <f>SumByColor($A$19,C55:C70)</f>
        <v>0</v>
      </c>
      <c r="D72" s="493"/>
      <c r="E72" s="493"/>
      <c r="F72" s="494">
        <f>SumByColor($A$19,F55:F70)</f>
        <v>0</v>
      </c>
      <c r="G72" s="493"/>
      <c r="H72" s="493">
        <f>SumByColor($A$19,H55:H70)</f>
        <v>0</v>
      </c>
      <c r="I72" s="493"/>
      <c r="J72" s="493"/>
      <c r="K72" s="494">
        <f>SumByColor($A$19,K55:K70)</f>
        <v>0</v>
      </c>
      <c r="L72" s="493"/>
      <c r="M72" s="49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9" priority="9">
      <formula>F39&gt;0</formula>
    </cfRule>
    <cfRule type="expression" dxfId="448" priority="10">
      <formula>F39&lt;0</formula>
    </cfRule>
  </conditionalFormatting>
  <conditionalFormatting sqref="F25:F38">
    <cfRule type="expression" dxfId="447" priority="7">
      <formula>F25&gt;0</formula>
    </cfRule>
    <cfRule type="expression" dxfId="446" priority="8">
      <formula>F25&lt;0</formula>
    </cfRule>
  </conditionalFormatting>
  <conditionalFormatting sqref="H25:H38">
    <cfRule type="expression" dxfId="445" priority="5">
      <formula>H25&gt;0</formula>
    </cfRule>
    <cfRule type="expression" dxfId="444" priority="6">
      <formula>H25&lt;0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7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3">
        <v>42568</v>
      </c>
      <c r="U2" s="127" t="s">
        <v>306</v>
      </c>
      <c r="V2" s="16"/>
      <c r="W2" s="141">
        <v>42606</v>
      </c>
      <c r="X2" s="142">
        <v>16.2</v>
      </c>
      <c r="Y2" s="142">
        <v>16.239999999999998</v>
      </c>
      <c r="Z2" s="10">
        <v>15.38</v>
      </c>
      <c r="AA2" s="10">
        <v>15.51</v>
      </c>
      <c r="AB2" s="95">
        <v>26664300</v>
      </c>
      <c r="AC2" s="10">
        <v>15.51</v>
      </c>
      <c r="AD2">
        <f>Y2-Z2</f>
        <v>0.85999999999999766</v>
      </c>
      <c r="AE2" s="138">
        <f>AC2/AC3-1</f>
        <v>-4.1409147095179177E-2</v>
      </c>
    </row>
    <row r="3" spans="1:42" x14ac:dyDescent="0.25">
      <c r="A3" s="23" t="s">
        <v>71</v>
      </c>
      <c r="B3" s="47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7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W3" s="133">
        <v>42605</v>
      </c>
      <c r="X3" s="10">
        <v>16.27</v>
      </c>
      <c r="Y3" s="10">
        <v>16.54</v>
      </c>
      <c r="Z3" s="10">
        <v>16.14</v>
      </c>
      <c r="AA3" s="10">
        <v>16.18</v>
      </c>
      <c r="AB3" s="95">
        <v>23655900</v>
      </c>
      <c r="AC3" s="10">
        <v>16.18</v>
      </c>
      <c r="AD3">
        <f t="shared" ref="AD3:AD66" si="2">Y3-Z3</f>
        <v>0.39999999999999858</v>
      </c>
      <c r="AE3" s="138">
        <f t="shared" ref="AE3:AE66" si="3">AC3/AC4-1</f>
        <v>-6.1766522544792757E-4</v>
      </c>
      <c r="AL3" s="234"/>
      <c r="AO3" s="234"/>
    </row>
    <row r="4" spans="1:42" x14ac:dyDescent="0.25">
      <c r="B4" s="47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7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15.51</v>
      </c>
      <c r="T4" s="1"/>
      <c r="W4" s="133">
        <v>42604</v>
      </c>
      <c r="X4" s="10">
        <v>16.149999999999999</v>
      </c>
      <c r="Y4" s="10">
        <v>16.43</v>
      </c>
      <c r="Z4" s="10">
        <v>15.91</v>
      </c>
      <c r="AA4" s="10">
        <v>16.190000000000001</v>
      </c>
      <c r="AB4" s="95">
        <v>22135300</v>
      </c>
      <c r="AC4" s="10">
        <v>16.190000000000001</v>
      </c>
      <c r="AD4">
        <f t="shared" si="2"/>
        <v>0.51999999999999957</v>
      </c>
      <c r="AE4" s="138">
        <f t="shared" si="3"/>
        <v>-3.6923076923076614E-3</v>
      </c>
      <c r="AL4" s="234"/>
      <c r="AO4" s="234"/>
    </row>
    <row r="5" spans="1:42" x14ac:dyDescent="0.25">
      <c r="B5" s="47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7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31020</v>
      </c>
      <c r="W5" s="133">
        <v>42601</v>
      </c>
      <c r="X5" s="10">
        <v>16.16</v>
      </c>
      <c r="Y5" s="10">
        <v>16.45</v>
      </c>
      <c r="Z5" s="10">
        <v>16.03</v>
      </c>
      <c r="AA5" s="10">
        <v>16.25</v>
      </c>
      <c r="AB5" s="95">
        <v>35007500</v>
      </c>
      <c r="AC5" s="10">
        <v>16.25</v>
      </c>
      <c r="AD5">
        <f t="shared" si="2"/>
        <v>0.41999999999999815</v>
      </c>
      <c r="AE5" s="138">
        <f t="shared" si="3"/>
        <v>3.0437539632213184E-2</v>
      </c>
      <c r="AL5" s="234"/>
      <c r="AO5" s="234"/>
    </row>
    <row r="6" spans="1:42" x14ac:dyDescent="0.25">
      <c r="B6" s="47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7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42600</v>
      </c>
      <c r="X6" s="10">
        <v>15.55</v>
      </c>
      <c r="Y6" s="10">
        <v>15.8</v>
      </c>
      <c r="Z6" s="10">
        <v>15.51</v>
      </c>
      <c r="AA6" s="10">
        <v>15.77</v>
      </c>
      <c r="AB6" s="95">
        <v>16590700</v>
      </c>
      <c r="AC6" s="10">
        <v>15.77</v>
      </c>
      <c r="AD6">
        <f t="shared" si="2"/>
        <v>0.29000000000000092</v>
      </c>
      <c r="AE6" s="138">
        <f t="shared" si="3"/>
        <v>1.6108247422680355E-2</v>
      </c>
      <c r="AL6" s="234"/>
      <c r="AO6" s="234"/>
    </row>
    <row r="7" spans="1:42" x14ac:dyDescent="0.25">
      <c r="B7" s="47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7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-3642.6330000006128</v>
      </c>
      <c r="R7" s="30">
        <v>42609</v>
      </c>
      <c r="W7" s="133">
        <v>42599</v>
      </c>
      <c r="X7" s="10">
        <v>15.53</v>
      </c>
      <c r="Y7" s="10">
        <v>15.76</v>
      </c>
      <c r="Z7" s="10">
        <v>15.46</v>
      </c>
      <c r="AA7" s="10">
        <v>15.52</v>
      </c>
      <c r="AB7" s="95">
        <v>22552100</v>
      </c>
      <c r="AC7" s="10">
        <v>15.52</v>
      </c>
      <c r="AD7">
        <f t="shared" si="2"/>
        <v>0.29999999999999893</v>
      </c>
      <c r="AE7" s="138">
        <f t="shared" si="3"/>
        <v>1.9367333763717909E-3</v>
      </c>
    </row>
    <row r="8" spans="1:42" x14ac:dyDescent="0.25">
      <c r="B8" s="47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7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-3642.6330000006128</v>
      </c>
      <c r="W8" s="133">
        <v>42598</v>
      </c>
      <c r="X8" s="10">
        <v>15.58</v>
      </c>
      <c r="Y8" s="10">
        <v>15.59</v>
      </c>
      <c r="Z8" s="10">
        <v>15.23</v>
      </c>
      <c r="AA8" s="10">
        <v>15.49</v>
      </c>
      <c r="AB8" s="95">
        <v>21872700</v>
      </c>
      <c r="AC8" s="10">
        <v>15.49</v>
      </c>
      <c r="AD8">
        <f t="shared" si="2"/>
        <v>0.35999999999999943</v>
      </c>
      <c r="AE8" s="138">
        <f t="shared" si="3"/>
        <v>-2.5756600128782337E-3</v>
      </c>
      <c r="AL8" s="234"/>
      <c r="AO8" s="234"/>
      <c r="AP8" s="234"/>
    </row>
    <row r="9" spans="1:42" x14ac:dyDescent="0.25">
      <c r="B9" s="47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3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225</v>
      </c>
      <c r="Q9" s="138">
        <f>IF(Q2=0, 0, Q8/Q6)</f>
        <v>-0.10508817953906006</v>
      </c>
      <c r="W9" s="133">
        <v>42597</v>
      </c>
      <c r="X9" s="10">
        <v>15.09</v>
      </c>
      <c r="Y9" s="10">
        <v>15.7</v>
      </c>
      <c r="Z9" s="10">
        <v>15.08</v>
      </c>
      <c r="AA9" s="10">
        <v>15.53</v>
      </c>
      <c r="AB9" s="95">
        <v>29105200</v>
      </c>
      <c r="AC9" s="10">
        <v>15.53</v>
      </c>
      <c r="AD9">
        <f t="shared" si="2"/>
        <v>0.61999999999999922</v>
      </c>
      <c r="AE9" s="138">
        <f t="shared" si="3"/>
        <v>4.018754186202278E-2</v>
      </c>
    </row>
    <row r="10" spans="1:42" x14ac:dyDescent="0.25">
      <c r="B10" s="47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3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224</v>
      </c>
      <c r="P10" s="34"/>
      <c r="Q10" s="2">
        <f>M35</f>
        <v>0</v>
      </c>
      <c r="T10" s="11"/>
      <c r="W10" s="133">
        <v>42594</v>
      </c>
      <c r="X10" s="10">
        <v>14.46</v>
      </c>
      <c r="Y10" s="10">
        <v>14.99</v>
      </c>
      <c r="Z10" s="10">
        <v>14.43</v>
      </c>
      <c r="AA10" s="10">
        <v>14.93</v>
      </c>
      <c r="AB10" s="95">
        <v>24909900</v>
      </c>
      <c r="AC10" s="10">
        <v>14.93</v>
      </c>
      <c r="AD10">
        <f t="shared" si="2"/>
        <v>0.5600000000000005</v>
      </c>
      <c r="AE10" s="138">
        <f t="shared" si="3"/>
        <v>3.4650034650034689E-2</v>
      </c>
      <c r="AL10" s="234"/>
      <c r="AO10" s="234"/>
    </row>
    <row r="11" spans="1:42" x14ac:dyDescent="0.25">
      <c r="B11" s="47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7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42593</v>
      </c>
      <c r="X11" s="10">
        <v>14.25</v>
      </c>
      <c r="Y11" s="10">
        <v>14.49</v>
      </c>
      <c r="Z11" s="10">
        <v>14.21</v>
      </c>
      <c r="AA11" s="10">
        <v>14.43</v>
      </c>
      <c r="AB11" s="95">
        <v>14451300</v>
      </c>
      <c r="AC11" s="10">
        <v>14.43</v>
      </c>
      <c r="AD11">
        <f t="shared" si="2"/>
        <v>0.27999999999999936</v>
      </c>
      <c r="AE11" s="138">
        <f t="shared" si="3"/>
        <v>1.6197183098591639E-2</v>
      </c>
    </row>
    <row r="12" spans="1:42" x14ac:dyDescent="0.25">
      <c r="A12" s="2"/>
      <c r="B12" s="47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7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42592</v>
      </c>
      <c r="X12" s="10">
        <v>14.48</v>
      </c>
      <c r="Y12" s="10">
        <v>14.5</v>
      </c>
      <c r="Z12" s="10">
        <v>14.03</v>
      </c>
      <c r="AA12" s="10">
        <v>14.2</v>
      </c>
      <c r="AB12" s="95">
        <v>15003200</v>
      </c>
      <c r="AC12" s="10">
        <v>14.2</v>
      </c>
      <c r="AD12">
        <f t="shared" si="2"/>
        <v>0.47000000000000064</v>
      </c>
      <c r="AE12" s="138">
        <f t="shared" si="3"/>
        <v>-1.9337016574585753E-2</v>
      </c>
      <c r="AL12" s="234"/>
      <c r="AO12" s="234"/>
    </row>
    <row r="13" spans="1:42" x14ac:dyDescent="0.25">
      <c r="B13" s="47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42591</v>
      </c>
      <c r="X13" s="10">
        <v>14.56</v>
      </c>
      <c r="Y13" s="10">
        <v>14.7</v>
      </c>
      <c r="Z13" s="10">
        <v>14.4</v>
      </c>
      <c r="AA13" s="10">
        <v>14.48</v>
      </c>
      <c r="AB13" s="95">
        <v>12573700</v>
      </c>
      <c r="AC13" s="10">
        <v>14.48</v>
      </c>
      <c r="AD13">
        <f t="shared" si="2"/>
        <v>0.29999999999999893</v>
      </c>
      <c r="AE13" s="138">
        <f t="shared" si="3"/>
        <v>4.1608876560332853E-3</v>
      </c>
    </row>
    <row r="14" spans="1:42" x14ac:dyDescent="0.25">
      <c r="B14" s="47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42590</v>
      </c>
      <c r="X14" s="10">
        <v>14.53</v>
      </c>
      <c r="Y14" s="10">
        <v>14.72</v>
      </c>
      <c r="Z14" s="10">
        <v>14.38</v>
      </c>
      <c r="AA14" s="10">
        <v>14.42</v>
      </c>
      <c r="AB14" s="95">
        <v>16163500</v>
      </c>
      <c r="AC14" s="10">
        <v>14.42</v>
      </c>
      <c r="AD14">
        <f t="shared" si="2"/>
        <v>0.33999999999999986</v>
      </c>
      <c r="AE14" s="138">
        <f t="shared" si="3"/>
        <v>-6.8870523415978102E-3</v>
      </c>
      <c r="AL14" s="234"/>
      <c r="AO14" s="234"/>
      <c r="AP14" s="234"/>
    </row>
    <row r="15" spans="1:42" x14ac:dyDescent="0.25">
      <c r="B15" s="47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7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42587</v>
      </c>
      <c r="X15" s="10">
        <v>14.22</v>
      </c>
      <c r="Y15" s="10">
        <v>14.78</v>
      </c>
      <c r="Z15" s="10">
        <v>14.2</v>
      </c>
      <c r="AA15" s="10">
        <v>14.52</v>
      </c>
      <c r="AB15" s="95">
        <v>29098400</v>
      </c>
      <c r="AC15" s="10">
        <v>14.52</v>
      </c>
      <c r="AD15">
        <f t="shared" si="2"/>
        <v>0.58000000000000007</v>
      </c>
      <c r="AE15" s="138">
        <f t="shared" si="3"/>
        <v>3.4925160370634423E-2</v>
      </c>
    </row>
    <row r="16" spans="1:42" x14ac:dyDescent="0.25">
      <c r="B16" s="47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7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42586</v>
      </c>
      <c r="X16" s="10">
        <v>13.61</v>
      </c>
      <c r="Y16" s="10">
        <v>14.2</v>
      </c>
      <c r="Z16" s="10">
        <v>13.6</v>
      </c>
      <c r="AA16" s="10">
        <v>14.03</v>
      </c>
      <c r="AB16" s="95">
        <v>23400100</v>
      </c>
      <c r="AC16" s="10">
        <v>14.03</v>
      </c>
      <c r="AD16">
        <f t="shared" si="2"/>
        <v>0.59999999999999964</v>
      </c>
      <c r="AE16" s="138">
        <f t="shared" si="3"/>
        <v>3.8490007401924542E-2</v>
      </c>
    </row>
    <row r="17" spans="2:41" x14ac:dyDescent="0.25">
      <c r="B17" s="47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7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42585</v>
      </c>
      <c r="X17" s="10">
        <v>13.27</v>
      </c>
      <c r="Y17" s="10">
        <v>13.58</v>
      </c>
      <c r="Z17" s="10">
        <v>13.27</v>
      </c>
      <c r="AA17" s="10">
        <v>13.51</v>
      </c>
      <c r="AB17" s="95">
        <v>17316600</v>
      </c>
      <c r="AC17" s="10">
        <v>13.51</v>
      </c>
      <c r="AD17">
        <f t="shared" si="2"/>
        <v>0.3100000000000005</v>
      </c>
      <c r="AE17" s="138">
        <f t="shared" si="3"/>
        <v>8.208955223880654E-3</v>
      </c>
    </row>
    <row r="18" spans="2:41" x14ac:dyDescent="0.25">
      <c r="B18" s="47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7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42584</v>
      </c>
      <c r="X18" s="10">
        <v>13.55</v>
      </c>
      <c r="Y18" s="10">
        <v>13.58</v>
      </c>
      <c r="Z18" s="10">
        <v>13.02</v>
      </c>
      <c r="AA18" s="10">
        <v>13.4</v>
      </c>
      <c r="AB18" s="95">
        <v>23707600</v>
      </c>
      <c r="AC18" s="10">
        <v>13.4</v>
      </c>
      <c r="AD18">
        <f t="shared" si="2"/>
        <v>0.5600000000000005</v>
      </c>
      <c r="AE18" s="138">
        <f t="shared" si="3"/>
        <v>-1.179941002949858E-2</v>
      </c>
      <c r="AL18" s="234"/>
      <c r="AO18" s="234"/>
    </row>
    <row r="19" spans="2:41" x14ac:dyDescent="0.25">
      <c r="B19" s="47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7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42583</v>
      </c>
      <c r="X19" s="10">
        <v>13.81</v>
      </c>
      <c r="Y19" s="10">
        <v>13.92</v>
      </c>
      <c r="Z19" s="10">
        <v>13.55</v>
      </c>
      <c r="AA19" s="10">
        <v>13.56</v>
      </c>
      <c r="AB19" s="95">
        <v>16363900</v>
      </c>
      <c r="AC19" s="10">
        <v>13.56</v>
      </c>
      <c r="AD19">
        <f t="shared" si="2"/>
        <v>0.36999999999999922</v>
      </c>
      <c r="AE19" s="138">
        <f t="shared" si="3"/>
        <v>-1.3100436681222738E-2</v>
      </c>
    </row>
    <row r="20" spans="2:41" x14ac:dyDescent="0.25">
      <c r="B20" s="47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7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42580</v>
      </c>
      <c r="X20" s="10">
        <v>13.91</v>
      </c>
      <c r="Y20" s="10">
        <v>13.94</v>
      </c>
      <c r="Z20" s="10">
        <v>13.62</v>
      </c>
      <c r="AA20" s="10">
        <v>13.74</v>
      </c>
      <c r="AB20" s="95">
        <v>21792900</v>
      </c>
      <c r="AC20" s="10">
        <v>13.74</v>
      </c>
      <c r="AD20">
        <f t="shared" si="2"/>
        <v>0.32000000000000028</v>
      </c>
      <c r="AE20" s="138">
        <f t="shared" si="3"/>
        <v>-5.0687907313541336E-3</v>
      </c>
    </row>
    <row r="21" spans="2:41" x14ac:dyDescent="0.25">
      <c r="B21" s="47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7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42579</v>
      </c>
      <c r="X21" s="10">
        <v>14.13</v>
      </c>
      <c r="Y21" s="10">
        <v>14.19</v>
      </c>
      <c r="Z21" s="10">
        <v>13.7</v>
      </c>
      <c r="AA21" s="10">
        <v>13.81</v>
      </c>
      <c r="AB21" s="95">
        <v>25504200</v>
      </c>
      <c r="AC21" s="10">
        <v>13.81</v>
      </c>
      <c r="AD21">
        <f t="shared" si="2"/>
        <v>0.49000000000000021</v>
      </c>
      <c r="AE21" s="138">
        <f t="shared" si="3"/>
        <v>-2.6779422128259234E-2</v>
      </c>
    </row>
    <row r="22" spans="2:41" x14ac:dyDescent="0.25">
      <c r="B22" s="47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7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42578</v>
      </c>
      <c r="X22" s="10">
        <v>14.85</v>
      </c>
      <c r="Y22" s="10">
        <v>14.89</v>
      </c>
      <c r="Z22" s="10">
        <v>14.06</v>
      </c>
      <c r="AA22" s="10">
        <v>14.19</v>
      </c>
      <c r="AB22" s="95">
        <v>35035800</v>
      </c>
      <c r="AC22" s="10">
        <v>14.19</v>
      </c>
      <c r="AD22">
        <f t="shared" si="2"/>
        <v>0.83000000000000007</v>
      </c>
      <c r="AE22" s="138">
        <f t="shared" si="3"/>
        <v>-3.2719836400817992E-2</v>
      </c>
    </row>
    <row r="23" spans="2:41" x14ac:dyDescent="0.25">
      <c r="B23" s="47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7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42577</v>
      </c>
      <c r="X23" s="10">
        <v>14</v>
      </c>
      <c r="Y23" s="10">
        <v>14.69</v>
      </c>
      <c r="Z23" s="10">
        <v>13.93</v>
      </c>
      <c r="AA23" s="10">
        <v>14.67</v>
      </c>
      <c r="AB23" s="95">
        <v>38959800</v>
      </c>
      <c r="AC23" s="10">
        <v>14.67</v>
      </c>
      <c r="AD23">
        <f t="shared" si="2"/>
        <v>0.75999999999999979</v>
      </c>
      <c r="AE23" s="138">
        <f t="shared" si="3"/>
        <v>5.3879310344827624E-2</v>
      </c>
    </row>
    <row r="24" spans="2:41" x14ac:dyDescent="0.25">
      <c r="B24" s="47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7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42576</v>
      </c>
      <c r="X24" s="10">
        <v>14</v>
      </c>
      <c r="Y24" s="10">
        <v>14.33</v>
      </c>
      <c r="Z24" s="10">
        <v>13.88</v>
      </c>
      <c r="AA24" s="10">
        <v>13.92</v>
      </c>
      <c r="AB24" s="95">
        <v>51357000</v>
      </c>
      <c r="AC24" s="10">
        <v>13.92</v>
      </c>
      <c r="AD24">
        <f t="shared" si="2"/>
        <v>0.44999999999999929</v>
      </c>
      <c r="AE24" s="138">
        <f t="shared" si="3"/>
        <v>6.0167555217060187E-2</v>
      </c>
    </row>
    <row r="25" spans="2:41" x14ac:dyDescent="0.25">
      <c r="B25" s="47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7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42573</v>
      </c>
      <c r="X25" s="10">
        <v>13.21</v>
      </c>
      <c r="Y25" s="10">
        <v>13.23</v>
      </c>
      <c r="Z25" s="10">
        <v>13.02</v>
      </c>
      <c r="AA25" s="10">
        <v>13.13</v>
      </c>
      <c r="AB25" s="95">
        <v>18755900</v>
      </c>
      <c r="AC25" s="10">
        <v>13.13</v>
      </c>
      <c r="AD25">
        <f t="shared" si="2"/>
        <v>0.21000000000000085</v>
      </c>
      <c r="AE25" s="138">
        <f t="shared" si="3"/>
        <v>-3.793626707131903E-3</v>
      </c>
    </row>
    <row r="26" spans="2:41" x14ac:dyDescent="0.25">
      <c r="B26" s="477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7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42572</v>
      </c>
      <c r="X26" s="10">
        <v>13.48</v>
      </c>
      <c r="Y26" s="10">
        <v>13.5</v>
      </c>
      <c r="Z26" s="10">
        <v>13.08</v>
      </c>
      <c r="AA26" s="10">
        <v>13.18</v>
      </c>
      <c r="AB26" s="95">
        <v>16734700</v>
      </c>
      <c r="AC26" s="10">
        <v>13.18</v>
      </c>
      <c r="AD26">
        <f t="shared" si="2"/>
        <v>0.41999999999999993</v>
      </c>
      <c r="AE26" s="138">
        <f t="shared" si="3"/>
        <v>-3.0169242089771897E-2</v>
      </c>
    </row>
    <row r="27" spans="2:41" x14ac:dyDescent="0.25">
      <c r="B27" s="477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7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42571</v>
      </c>
      <c r="X27" s="10">
        <v>13.33</v>
      </c>
      <c r="Y27" s="10">
        <v>13.62</v>
      </c>
      <c r="Z27" s="10">
        <v>13.24</v>
      </c>
      <c r="AA27" s="10">
        <v>13.59</v>
      </c>
      <c r="AB27" s="95">
        <v>35666000</v>
      </c>
      <c r="AC27" s="10">
        <v>13.59</v>
      </c>
      <c r="AD27">
        <f t="shared" si="2"/>
        <v>0.37999999999999901</v>
      </c>
      <c r="AE27" s="138">
        <f t="shared" si="3"/>
        <v>2.7987897125567152E-2</v>
      </c>
    </row>
    <row r="28" spans="2:41" x14ac:dyDescent="0.25">
      <c r="B28" s="477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7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42570</v>
      </c>
      <c r="X28" s="10">
        <v>13.22</v>
      </c>
      <c r="Y28" s="10">
        <v>13.26</v>
      </c>
      <c r="Z28" s="10">
        <v>13.05</v>
      </c>
      <c r="AA28" s="10">
        <v>13.22</v>
      </c>
      <c r="AB28" s="95">
        <v>30569900</v>
      </c>
      <c r="AC28" s="10">
        <v>13.22</v>
      </c>
      <c r="AD28">
        <f t="shared" si="2"/>
        <v>0.20999999999999908</v>
      </c>
      <c r="AE28" s="138">
        <f t="shared" si="3"/>
        <v>-8.9955022488754643E-3</v>
      </c>
    </row>
    <row r="29" spans="2:41" x14ac:dyDescent="0.25">
      <c r="B29" s="477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7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42569</v>
      </c>
      <c r="X29" s="10">
        <v>13.25</v>
      </c>
      <c r="Y29" s="10">
        <v>13.36</v>
      </c>
      <c r="Z29" s="10">
        <v>13.09</v>
      </c>
      <c r="AA29" s="10">
        <v>13.34</v>
      </c>
      <c r="AB29" s="95">
        <v>17180500</v>
      </c>
      <c r="AC29" s="10">
        <v>13.34</v>
      </c>
      <c r="AD29">
        <f t="shared" si="2"/>
        <v>0.26999999999999957</v>
      </c>
      <c r="AE29" s="138">
        <f t="shared" si="3"/>
        <v>1.5993907083015957E-2</v>
      </c>
    </row>
    <row r="30" spans="2:41" x14ac:dyDescent="0.25">
      <c r="B30" s="477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7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42566</v>
      </c>
      <c r="X30" s="10">
        <v>13.31</v>
      </c>
      <c r="Y30" s="10">
        <v>13.5</v>
      </c>
      <c r="Z30" s="10">
        <v>13.04</v>
      </c>
      <c r="AA30" s="10">
        <v>13.13</v>
      </c>
      <c r="AB30" s="95">
        <v>18046200</v>
      </c>
      <c r="AC30" s="10">
        <v>13.13</v>
      </c>
      <c r="AD30">
        <f t="shared" si="2"/>
        <v>0.46000000000000085</v>
      </c>
      <c r="AE30" s="138">
        <f t="shared" si="3"/>
        <v>-1.2039127163280594E-2</v>
      </c>
    </row>
    <row r="31" spans="2:41" x14ac:dyDescent="0.25">
      <c r="B31" s="477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7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42565</v>
      </c>
      <c r="X31" s="10">
        <v>13.5</v>
      </c>
      <c r="Y31" s="10">
        <v>13.55</v>
      </c>
      <c r="Z31" s="10">
        <v>13.27</v>
      </c>
      <c r="AA31" s="10">
        <v>13.29</v>
      </c>
      <c r="AB31" s="95">
        <v>18698900</v>
      </c>
      <c r="AC31" s="10">
        <v>13.29</v>
      </c>
      <c r="AD31">
        <f t="shared" si="2"/>
        <v>0.28000000000000114</v>
      </c>
      <c r="AE31" s="138">
        <f t="shared" si="3"/>
        <v>0</v>
      </c>
    </row>
    <row r="32" spans="2:41" x14ac:dyDescent="0.25">
      <c r="B32" s="477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7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42564</v>
      </c>
      <c r="X32" s="10">
        <v>13.24</v>
      </c>
      <c r="Y32" s="10">
        <v>13.39</v>
      </c>
      <c r="Z32" s="10">
        <v>13.07</v>
      </c>
      <c r="AA32" s="10">
        <v>13.29</v>
      </c>
      <c r="AB32" s="95">
        <v>23067400</v>
      </c>
      <c r="AC32" s="10">
        <v>13.29</v>
      </c>
      <c r="AD32">
        <f t="shared" si="2"/>
        <v>0.32000000000000028</v>
      </c>
      <c r="AE32" s="138">
        <f t="shared" si="3"/>
        <v>4.5351473922901064E-3</v>
      </c>
    </row>
    <row r="33" spans="2:41" x14ac:dyDescent="0.25">
      <c r="B33" s="477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7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42563</v>
      </c>
      <c r="X33" s="10">
        <v>13</v>
      </c>
      <c r="Y33" s="10">
        <v>13.46</v>
      </c>
      <c r="Z33" s="10">
        <v>12.98</v>
      </c>
      <c r="AA33" s="10">
        <v>13.23</v>
      </c>
      <c r="AB33" s="95">
        <v>35226800</v>
      </c>
      <c r="AC33" s="10">
        <v>13.23</v>
      </c>
      <c r="AD33">
        <f t="shared" si="2"/>
        <v>0.48000000000000043</v>
      </c>
      <c r="AE33" s="138">
        <f t="shared" si="3"/>
        <v>4.6677215189873333E-2</v>
      </c>
    </row>
    <row r="34" spans="2:41" x14ac:dyDescent="0.25">
      <c r="B34" s="477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7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42562</v>
      </c>
      <c r="X34" s="10">
        <v>12.79</v>
      </c>
      <c r="Y34" s="10">
        <v>12.98</v>
      </c>
      <c r="Z34" s="10">
        <v>12.61</v>
      </c>
      <c r="AA34" s="10">
        <v>12.64</v>
      </c>
      <c r="AB34" s="95">
        <v>22797100</v>
      </c>
      <c r="AC34" s="10">
        <v>12.64</v>
      </c>
      <c r="AD34">
        <f t="shared" si="2"/>
        <v>0.37000000000000099</v>
      </c>
      <c r="AE34" s="138">
        <f t="shared" si="3"/>
        <v>1.5847860538829028E-3</v>
      </c>
    </row>
    <row r="35" spans="2:41" x14ac:dyDescent="0.25">
      <c r="B35" s="47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7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42559</v>
      </c>
      <c r="X35" s="10">
        <v>12.39</v>
      </c>
      <c r="Y35" s="10">
        <v>12.72</v>
      </c>
      <c r="Z35" s="10">
        <v>12.38</v>
      </c>
      <c r="AA35" s="10">
        <v>12.62</v>
      </c>
      <c r="AB35" s="95">
        <v>27955700</v>
      </c>
      <c r="AC35" s="10">
        <v>12.62</v>
      </c>
      <c r="AD35">
        <f t="shared" si="2"/>
        <v>0.33999999999999986</v>
      </c>
      <c r="AE35" s="138">
        <f t="shared" si="3"/>
        <v>3.4426229508196737E-2</v>
      </c>
    </row>
    <row r="36" spans="2:41" x14ac:dyDescent="0.25">
      <c r="B36" s="47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7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42558</v>
      </c>
      <c r="X36" s="10">
        <v>11.9</v>
      </c>
      <c r="Y36" s="10">
        <v>12.55</v>
      </c>
      <c r="Z36" s="10">
        <v>11.89</v>
      </c>
      <c r="AA36" s="10">
        <v>12.2</v>
      </c>
      <c r="AB36" s="95">
        <v>33457100</v>
      </c>
      <c r="AC36" s="10">
        <v>12.2</v>
      </c>
      <c r="AD36">
        <f t="shared" si="2"/>
        <v>0.66000000000000014</v>
      </c>
      <c r="AE36" s="138">
        <f t="shared" si="3"/>
        <v>4.0068201193520725E-2</v>
      </c>
      <c r="AL36" s="234"/>
    </row>
    <row r="37" spans="2:41" x14ac:dyDescent="0.25">
      <c r="B37" s="47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42557</v>
      </c>
      <c r="X37" s="10">
        <v>11.76</v>
      </c>
      <c r="Y37" s="10">
        <v>11.85</v>
      </c>
      <c r="Z37" s="10">
        <v>11.5</v>
      </c>
      <c r="AA37" s="10">
        <v>11.73</v>
      </c>
      <c r="AB37" s="95">
        <v>35747800</v>
      </c>
      <c r="AC37" s="10">
        <v>11.73</v>
      </c>
      <c r="AD37">
        <f t="shared" si="2"/>
        <v>0.34999999999999964</v>
      </c>
      <c r="AE37" s="138">
        <f t="shared" si="3"/>
        <v>-1.5113350125944613E-2</v>
      </c>
    </row>
    <row r="38" spans="2:41" x14ac:dyDescent="0.25">
      <c r="B38" s="477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42556</v>
      </c>
      <c r="X38" s="10">
        <v>12.38</v>
      </c>
      <c r="Y38" s="10">
        <v>12.45</v>
      </c>
      <c r="Z38" s="10">
        <v>11.8</v>
      </c>
      <c r="AA38" s="10">
        <v>11.91</v>
      </c>
      <c r="AB38" s="95">
        <v>37298900</v>
      </c>
      <c r="AC38" s="10">
        <v>11.91</v>
      </c>
      <c r="AD38">
        <f t="shared" si="2"/>
        <v>0.64999999999999858</v>
      </c>
      <c r="AE38" s="138">
        <f t="shared" si="3"/>
        <v>-4.720000000000002E-2</v>
      </c>
    </row>
    <row r="39" spans="2:41" x14ac:dyDescent="0.25">
      <c r="B39" s="47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42552</v>
      </c>
      <c r="X39" s="10">
        <v>12.58</v>
      </c>
      <c r="Y39" s="10">
        <v>12.9</v>
      </c>
      <c r="Z39" s="10">
        <v>12.31</v>
      </c>
      <c r="AA39" s="10">
        <v>12.5</v>
      </c>
      <c r="AB39" s="95">
        <v>68847100</v>
      </c>
      <c r="AC39" s="10">
        <v>12.5</v>
      </c>
      <c r="AD39">
        <f t="shared" si="2"/>
        <v>0.58999999999999986</v>
      </c>
      <c r="AE39" s="138">
        <f t="shared" si="3"/>
        <v>-9.1569767441860406E-2</v>
      </c>
    </row>
    <row r="40" spans="2:41" x14ac:dyDescent="0.25">
      <c r="B40" s="477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7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42551</v>
      </c>
      <c r="X40" s="10">
        <v>13.34</v>
      </c>
      <c r="Y40" s="10">
        <v>13.78</v>
      </c>
      <c r="Z40" s="10">
        <v>13.22</v>
      </c>
      <c r="AA40" s="10">
        <v>13.76</v>
      </c>
      <c r="AB40" s="95">
        <v>48486100</v>
      </c>
      <c r="AC40" s="10">
        <v>13.76</v>
      </c>
      <c r="AD40">
        <f t="shared" si="2"/>
        <v>0.55999999999999872</v>
      </c>
      <c r="AE40" s="138">
        <f t="shared" si="3"/>
        <v>4.321455648218353E-2</v>
      </c>
    </row>
    <row r="41" spans="2:41" x14ac:dyDescent="0.25">
      <c r="B41" s="47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7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42550</v>
      </c>
      <c r="X41" s="10">
        <v>13.3</v>
      </c>
      <c r="Y41" s="10">
        <v>13.42</v>
      </c>
      <c r="Z41" s="10">
        <v>12.94</v>
      </c>
      <c r="AA41" s="10">
        <v>13.19</v>
      </c>
      <c r="AB41" s="95">
        <v>36879800</v>
      </c>
      <c r="AC41" s="10">
        <v>13.19</v>
      </c>
      <c r="AD41">
        <f t="shared" si="2"/>
        <v>0.48000000000000043</v>
      </c>
      <c r="AE41" s="138">
        <f t="shared" si="3"/>
        <v>1.5396458814472602E-2</v>
      </c>
    </row>
    <row r="42" spans="2:41" ht="20.25" thickBot="1" x14ac:dyDescent="0.35">
      <c r="B42" s="47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7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42549</v>
      </c>
      <c r="X42" s="10">
        <v>12.64</v>
      </c>
      <c r="Y42" s="10">
        <v>13.05</v>
      </c>
      <c r="Z42" s="10">
        <v>12.62</v>
      </c>
      <c r="AA42" s="10">
        <v>12.99</v>
      </c>
      <c r="AB42" s="95">
        <v>34838100</v>
      </c>
      <c r="AC42" s="10">
        <v>12.99</v>
      </c>
      <c r="AD42">
        <f t="shared" si="2"/>
        <v>0.43000000000000149</v>
      </c>
      <c r="AE42" s="138">
        <f t="shared" si="3"/>
        <v>6.214227309893694E-2</v>
      </c>
      <c r="AL42" s="234"/>
      <c r="AO42" s="234"/>
    </row>
    <row r="43" spans="2:41" ht="15.75" thickTop="1" x14ac:dyDescent="0.25">
      <c r="B43" s="47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7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16.18</v>
      </c>
      <c r="W43" s="133">
        <v>42548</v>
      </c>
      <c r="X43" s="10">
        <v>13.13</v>
      </c>
      <c r="Y43" s="10">
        <v>13.24</v>
      </c>
      <c r="Z43" s="10">
        <v>12.1</v>
      </c>
      <c r="AA43" s="10">
        <v>12.23</v>
      </c>
      <c r="AB43" s="95">
        <v>45700500</v>
      </c>
      <c r="AC43" s="10">
        <v>12.23</v>
      </c>
      <c r="AD43">
        <f t="shared" si="2"/>
        <v>1.1400000000000006</v>
      </c>
      <c r="AE43" s="138">
        <f t="shared" si="3"/>
        <v>-7.4186222558667692E-2</v>
      </c>
    </row>
    <row r="44" spans="2:41" ht="20.25" thickBot="1" x14ac:dyDescent="0.35">
      <c r="B44" s="47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7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5" t="s">
        <v>78</v>
      </c>
      <c r="P44" s="535"/>
      <c r="T44" s="93" t="s">
        <v>99</v>
      </c>
      <c r="U44" s="130">
        <v>16.2</v>
      </c>
      <c r="W44" s="133">
        <v>42545</v>
      </c>
      <c r="X44" s="10">
        <v>13.5</v>
      </c>
      <c r="Y44" s="10">
        <v>13.85</v>
      </c>
      <c r="Z44" s="10">
        <v>13.13</v>
      </c>
      <c r="AA44" s="10">
        <v>13.21</v>
      </c>
      <c r="AB44" s="95">
        <v>77486100</v>
      </c>
      <c r="AC44" s="10">
        <v>13.21</v>
      </c>
      <c r="AD44">
        <f t="shared" si="2"/>
        <v>0.71999999999999886</v>
      </c>
      <c r="AE44" s="138">
        <f t="shared" si="3"/>
        <v>-5.9786476868327387E-2</v>
      </c>
    </row>
    <row r="45" spans="2:41" ht="15.75" thickTop="1" x14ac:dyDescent="0.25">
      <c r="B45" s="47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7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17.061</v>
      </c>
      <c r="T45" s="93" t="s">
        <v>100</v>
      </c>
      <c r="U45" s="130" t="s">
        <v>560</v>
      </c>
      <c r="W45" s="133">
        <v>42544</v>
      </c>
      <c r="X45" s="10">
        <v>13.41</v>
      </c>
      <c r="Y45" s="10">
        <v>14.16</v>
      </c>
      <c r="Z45" s="10">
        <v>13.41</v>
      </c>
      <c r="AA45" s="10">
        <v>14.05</v>
      </c>
      <c r="AB45" s="95">
        <v>71203000</v>
      </c>
      <c r="AC45" s="10">
        <v>14.05</v>
      </c>
      <c r="AD45">
        <f t="shared" si="2"/>
        <v>0.75</v>
      </c>
      <c r="AE45" s="138">
        <f t="shared" si="3"/>
        <v>0.10455974842767302</v>
      </c>
    </row>
    <row r="46" spans="2:41" x14ac:dyDescent="0.25">
      <c r="B46" s="47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7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16.905900000000003</v>
      </c>
      <c r="T46" s="93" t="s">
        <v>101</v>
      </c>
      <c r="U46" s="130" t="s">
        <v>561</v>
      </c>
      <c r="W46" s="133">
        <v>42543</v>
      </c>
      <c r="X46" s="10">
        <v>12.78</v>
      </c>
      <c r="Y46" s="10">
        <v>13.04</v>
      </c>
      <c r="Z46" s="10">
        <v>12.67</v>
      </c>
      <c r="AA46" s="10">
        <v>12.72</v>
      </c>
      <c r="AB46" s="95">
        <v>26968200</v>
      </c>
      <c r="AC46" s="10">
        <v>12.72</v>
      </c>
      <c r="AD46">
        <f t="shared" si="2"/>
        <v>0.36999999999999922</v>
      </c>
      <c r="AE46" s="138">
        <f t="shared" si="3"/>
        <v>-2.3529411764705577E-3</v>
      </c>
    </row>
    <row r="47" spans="2:41" x14ac:dyDescent="0.25">
      <c r="B47" s="477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7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16.750800000000002</v>
      </c>
      <c r="T47" s="93" t="s">
        <v>102</v>
      </c>
      <c r="U47" s="130">
        <v>16.190000000000001</v>
      </c>
      <c r="W47" s="133">
        <v>42542</v>
      </c>
      <c r="X47" s="10">
        <v>12.54</v>
      </c>
      <c r="Y47" s="10">
        <v>12.83</v>
      </c>
      <c r="Z47" s="10">
        <v>12.42</v>
      </c>
      <c r="AA47" s="10">
        <v>12.75</v>
      </c>
      <c r="AB47" s="95">
        <v>25060500</v>
      </c>
      <c r="AC47" s="10">
        <v>12.75</v>
      </c>
      <c r="AD47">
        <f t="shared" si="2"/>
        <v>0.41000000000000014</v>
      </c>
      <c r="AE47" s="138">
        <f t="shared" si="3"/>
        <v>3.490259740259738E-2</v>
      </c>
    </row>
    <row r="48" spans="2:41" x14ac:dyDescent="0.25">
      <c r="B48" s="47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7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16.595700000000001</v>
      </c>
      <c r="T48" s="93" t="s">
        <v>103</v>
      </c>
      <c r="U48" s="130">
        <v>2.00881</v>
      </c>
      <c r="W48" s="133">
        <v>42541</v>
      </c>
      <c r="X48" s="10">
        <v>12.51</v>
      </c>
      <c r="Y48" s="10">
        <v>12.66</v>
      </c>
      <c r="Z48" s="10">
        <v>12.29</v>
      </c>
      <c r="AA48" s="10">
        <v>12.32</v>
      </c>
      <c r="AB48" s="95">
        <v>21481700</v>
      </c>
      <c r="AC48" s="10">
        <v>12.32</v>
      </c>
      <c r="AD48">
        <f t="shared" si="2"/>
        <v>0.37000000000000099</v>
      </c>
      <c r="AE48" s="138">
        <f t="shared" si="3"/>
        <v>9.8360655737705915E-3</v>
      </c>
    </row>
    <row r="49" spans="2:41" x14ac:dyDescent="0.25">
      <c r="B49" s="47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7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16.4406</v>
      </c>
      <c r="T49" s="93" t="s">
        <v>123</v>
      </c>
      <c r="U49" s="130" t="s">
        <v>277</v>
      </c>
      <c r="W49" s="133">
        <v>42538</v>
      </c>
      <c r="X49" s="10">
        <v>11.97</v>
      </c>
      <c r="Y49" s="10">
        <v>12.35</v>
      </c>
      <c r="Z49" s="10">
        <v>11.95</v>
      </c>
      <c r="AA49" s="10">
        <v>12.2</v>
      </c>
      <c r="AB49" s="95">
        <v>20604200</v>
      </c>
      <c r="AC49" s="10">
        <v>12.2</v>
      </c>
      <c r="AD49">
        <f t="shared" si="2"/>
        <v>0.40000000000000036</v>
      </c>
      <c r="AE49" s="138">
        <f t="shared" si="3"/>
        <v>2.0920502092050208E-2</v>
      </c>
    </row>
    <row r="50" spans="2:41" x14ac:dyDescent="0.25">
      <c r="B50" s="477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7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16.285499999999999</v>
      </c>
      <c r="T50" s="93"/>
      <c r="U50" s="130"/>
      <c r="W50" s="133">
        <v>42537</v>
      </c>
      <c r="X50" s="10">
        <v>11.87</v>
      </c>
      <c r="Y50" s="10">
        <v>11.99</v>
      </c>
      <c r="Z50" s="10">
        <v>11.58</v>
      </c>
      <c r="AA50" s="10">
        <v>11.95</v>
      </c>
      <c r="AB50" s="95">
        <v>22453100</v>
      </c>
      <c r="AC50" s="10">
        <v>11.95</v>
      </c>
      <c r="AD50">
        <f t="shared" si="2"/>
        <v>0.41000000000000014</v>
      </c>
      <c r="AE50" s="138">
        <f t="shared" si="3"/>
        <v>-5.8236272878535722E-3</v>
      </c>
      <c r="AL50" s="234"/>
      <c r="AO50" s="234"/>
    </row>
    <row r="51" spans="2:41" x14ac:dyDescent="0.25">
      <c r="B51" s="54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16.130400000000002</v>
      </c>
      <c r="T51" s="93" t="s">
        <v>105</v>
      </c>
      <c r="U51" s="130" t="s">
        <v>562</v>
      </c>
      <c r="W51" s="133">
        <v>42536</v>
      </c>
      <c r="X51" s="10">
        <v>12.16</v>
      </c>
      <c r="Y51" s="10">
        <v>12.25</v>
      </c>
      <c r="Z51" s="10">
        <v>11.95</v>
      </c>
      <c r="AA51" s="10">
        <v>12.02</v>
      </c>
      <c r="AB51" s="95">
        <v>17491700</v>
      </c>
      <c r="AC51" s="10">
        <v>12.02</v>
      </c>
      <c r="AD51">
        <f t="shared" si="2"/>
        <v>0.30000000000000071</v>
      </c>
      <c r="AE51" s="138">
        <f t="shared" si="3"/>
        <v>8.3892617449663476E-3</v>
      </c>
    </row>
    <row r="52" spans="2:41" x14ac:dyDescent="0.25">
      <c r="B52" s="54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15.975300000000001</v>
      </c>
      <c r="T52" s="93" t="s">
        <v>106</v>
      </c>
      <c r="U52" s="130" t="s">
        <v>347</v>
      </c>
      <c r="W52" s="133">
        <v>42535</v>
      </c>
      <c r="X52" s="10">
        <v>12.07</v>
      </c>
      <c r="Y52" s="10">
        <v>12.32</v>
      </c>
      <c r="Z52" s="10">
        <v>11.74</v>
      </c>
      <c r="AA52" s="10">
        <v>11.92</v>
      </c>
      <c r="AB52" s="95">
        <v>21913200</v>
      </c>
      <c r="AC52" s="10">
        <v>11.92</v>
      </c>
      <c r="AD52">
        <f t="shared" si="2"/>
        <v>0.58000000000000007</v>
      </c>
      <c r="AE52" s="138">
        <f t="shared" si="3"/>
        <v>-1.0788381742738662E-2</v>
      </c>
    </row>
    <row r="53" spans="2:41" x14ac:dyDescent="0.25">
      <c r="B53" s="54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7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15.8202</v>
      </c>
      <c r="T53" s="93" t="s">
        <v>107</v>
      </c>
      <c r="U53" s="131">
        <v>26686933</v>
      </c>
      <c r="W53" s="133">
        <v>42534</v>
      </c>
      <c r="X53" s="10">
        <v>12</v>
      </c>
      <c r="Y53" s="10">
        <v>12.36</v>
      </c>
      <c r="Z53" s="10">
        <v>11.94</v>
      </c>
      <c r="AA53" s="10">
        <v>12.05</v>
      </c>
      <c r="AB53" s="95">
        <v>15570200</v>
      </c>
      <c r="AC53" s="10">
        <v>12.05</v>
      </c>
      <c r="AD53">
        <f t="shared" si="2"/>
        <v>0.41999999999999993</v>
      </c>
      <c r="AE53" s="138">
        <f t="shared" si="3"/>
        <v>-7.4135090609555032E-3</v>
      </c>
    </row>
    <row r="54" spans="2:41" x14ac:dyDescent="0.25">
      <c r="B54" s="54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7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15.665100000000001</v>
      </c>
      <c r="T54" s="93" t="s">
        <v>110</v>
      </c>
      <c r="U54" s="131">
        <v>28645500</v>
      </c>
      <c r="W54" s="133">
        <v>42531</v>
      </c>
      <c r="X54" s="10">
        <v>12.32</v>
      </c>
      <c r="Y54" s="10">
        <v>12.37</v>
      </c>
      <c r="Z54" s="10">
        <v>12.05</v>
      </c>
      <c r="AA54" s="10">
        <v>12.14</v>
      </c>
      <c r="AB54" s="95">
        <v>21439300</v>
      </c>
      <c r="AC54" s="10">
        <v>12.14</v>
      </c>
      <c r="AD54">
        <f t="shared" si="2"/>
        <v>0.31999999999999851</v>
      </c>
      <c r="AE54" s="138">
        <f t="shared" si="3"/>
        <v>-2.9576338928856805E-2</v>
      </c>
      <c r="AL54" s="234"/>
      <c r="AO54" s="234"/>
    </row>
    <row r="55" spans="2:41" x14ac:dyDescent="0.25">
      <c r="B55" s="54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7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15.51</v>
      </c>
      <c r="T55" s="93" t="s">
        <v>108</v>
      </c>
      <c r="U55" s="130" t="s">
        <v>563</v>
      </c>
      <c r="W55" s="133">
        <v>42530</v>
      </c>
      <c r="X55" s="10">
        <v>12.47</v>
      </c>
      <c r="Y55" s="10">
        <v>12.7</v>
      </c>
      <c r="Z55" s="10">
        <v>12.24</v>
      </c>
      <c r="AA55" s="10">
        <v>12.51</v>
      </c>
      <c r="AB55" s="95">
        <v>21881700</v>
      </c>
      <c r="AC55" s="10">
        <v>12.51</v>
      </c>
      <c r="AD55">
        <f t="shared" si="2"/>
        <v>0.45999999999999908</v>
      </c>
      <c r="AE55" s="138">
        <f t="shared" si="3"/>
        <v>-5.564387917329161E-3</v>
      </c>
    </row>
    <row r="56" spans="2:41" x14ac:dyDescent="0.25">
      <c r="B56" s="54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7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15.354899999999999</v>
      </c>
      <c r="T56" s="93" t="s">
        <v>111</v>
      </c>
      <c r="U56" s="130">
        <v>44.57</v>
      </c>
      <c r="W56" s="133">
        <v>42529</v>
      </c>
      <c r="X56" s="10">
        <v>13.08</v>
      </c>
      <c r="Y56" s="10">
        <v>13.09</v>
      </c>
      <c r="Z56" s="10">
        <v>12.51</v>
      </c>
      <c r="AA56" s="10">
        <v>12.58</v>
      </c>
      <c r="AB56" s="95">
        <v>25869800</v>
      </c>
      <c r="AC56" s="10">
        <v>12.58</v>
      </c>
      <c r="AD56">
        <f t="shared" si="2"/>
        <v>0.58000000000000007</v>
      </c>
      <c r="AE56" s="138">
        <f t="shared" si="3"/>
        <v>-3.230769230769226E-2</v>
      </c>
    </row>
    <row r="57" spans="2:41" x14ac:dyDescent="0.25">
      <c r="B57" s="47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7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15.1998</v>
      </c>
      <c r="T57" s="93" t="s">
        <v>112</v>
      </c>
      <c r="U57" s="130">
        <v>0.35</v>
      </c>
      <c r="W57" s="133">
        <v>42528</v>
      </c>
      <c r="X57" s="10">
        <v>12.83</v>
      </c>
      <c r="Y57" s="10">
        <v>13.15</v>
      </c>
      <c r="Z57" s="10">
        <v>12.81</v>
      </c>
      <c r="AA57" s="10">
        <v>13</v>
      </c>
      <c r="AB57" s="95">
        <v>21409500</v>
      </c>
      <c r="AC57" s="10">
        <v>13</v>
      </c>
      <c r="AD57">
        <f t="shared" si="2"/>
        <v>0.33999999999999986</v>
      </c>
      <c r="AE57" s="138">
        <f t="shared" si="3"/>
        <v>1.8010963194988294E-2</v>
      </c>
    </row>
    <row r="58" spans="2:41" x14ac:dyDescent="0.25">
      <c r="B58" s="47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7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15.044699999999999</v>
      </c>
      <c r="T58" s="93" t="s">
        <v>109</v>
      </c>
      <c r="U58" s="130" t="s">
        <v>124</v>
      </c>
      <c r="W58" s="133">
        <v>42527</v>
      </c>
      <c r="X58" s="10">
        <v>12.89</v>
      </c>
      <c r="Y58" s="10">
        <v>13.04</v>
      </c>
      <c r="Z58" s="10">
        <v>12.76</v>
      </c>
      <c r="AA58" s="10">
        <v>12.77</v>
      </c>
      <c r="AB58" s="95">
        <v>24861200</v>
      </c>
      <c r="AC58" s="10">
        <v>12.77</v>
      </c>
      <c r="AD58">
        <f t="shared" si="2"/>
        <v>0.27999999999999936</v>
      </c>
      <c r="AE58" s="138">
        <f t="shared" si="3"/>
        <v>-6.9984447900466318E-3</v>
      </c>
      <c r="AL58" s="234"/>
      <c r="AO58" s="234"/>
    </row>
    <row r="59" spans="2:41" x14ac:dyDescent="0.25">
      <c r="B59" s="47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7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14.8896</v>
      </c>
      <c r="W59" s="133">
        <v>42524</v>
      </c>
      <c r="X59" s="10">
        <v>13.02</v>
      </c>
      <c r="Y59" s="10">
        <v>13.04</v>
      </c>
      <c r="Z59" s="10">
        <v>12.63</v>
      </c>
      <c r="AA59" s="10">
        <v>12.86</v>
      </c>
      <c r="AB59" s="95">
        <v>28326000</v>
      </c>
      <c r="AC59" s="10">
        <v>12.86</v>
      </c>
      <c r="AD59">
        <f t="shared" si="2"/>
        <v>0.40999999999999837</v>
      </c>
      <c r="AE59" s="138">
        <f t="shared" si="3"/>
        <v>-1.9069412662090057E-2</v>
      </c>
    </row>
    <row r="60" spans="2:41" x14ac:dyDescent="0.25">
      <c r="B60" s="47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7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14.734499999999999</v>
      </c>
      <c r="W60" s="133">
        <v>42523</v>
      </c>
      <c r="X60" s="10">
        <v>12.95</v>
      </c>
      <c r="Y60" s="10">
        <v>13.21</v>
      </c>
      <c r="Z60" s="10">
        <v>12.75</v>
      </c>
      <c r="AA60" s="10">
        <v>13.11</v>
      </c>
      <c r="AB60" s="95">
        <v>31941900</v>
      </c>
      <c r="AC60" s="10">
        <v>13.11</v>
      </c>
      <c r="AD60">
        <f t="shared" si="2"/>
        <v>0.46000000000000085</v>
      </c>
      <c r="AE60" s="138">
        <f t="shared" si="3"/>
        <v>1.5278838808250317E-3</v>
      </c>
    </row>
    <row r="61" spans="2:41" x14ac:dyDescent="0.25">
      <c r="B61" s="47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6"/>
      <c r="H61" s="7"/>
      <c r="I61" s="44"/>
      <c r="J61" s="44"/>
      <c r="K61" s="44"/>
      <c r="O61" s="83">
        <v>0.94</v>
      </c>
      <c r="P61" s="83">
        <f t="shared" si="5"/>
        <v>14.5794</v>
      </c>
      <c r="W61" s="133">
        <v>42522</v>
      </c>
      <c r="X61" s="10">
        <v>12.61</v>
      </c>
      <c r="Y61" s="10">
        <v>13.09</v>
      </c>
      <c r="Z61" s="10">
        <v>12.31</v>
      </c>
      <c r="AA61" s="10">
        <v>13.09</v>
      </c>
      <c r="AB61" s="95">
        <v>35762100</v>
      </c>
      <c r="AC61" s="10">
        <v>13.09</v>
      </c>
      <c r="AD61">
        <f t="shared" si="2"/>
        <v>0.77999999999999936</v>
      </c>
      <c r="AE61" s="138">
        <f t="shared" si="3"/>
        <v>2.9088050314465264E-2</v>
      </c>
    </row>
    <row r="62" spans="2:41" x14ac:dyDescent="0.25">
      <c r="B62" s="47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6"/>
      <c r="H62" s="7"/>
      <c r="I62" s="44"/>
      <c r="J62" s="44"/>
      <c r="K62" s="44"/>
      <c r="O62" s="83">
        <v>0.93</v>
      </c>
      <c r="P62" s="83">
        <f t="shared" si="5"/>
        <v>14.424300000000001</v>
      </c>
      <c r="W62" s="133">
        <v>42521</v>
      </c>
      <c r="X62" s="10">
        <v>12.66</v>
      </c>
      <c r="Y62" s="10">
        <v>12.91</v>
      </c>
      <c r="Z62" s="10">
        <v>12.26</v>
      </c>
      <c r="AA62" s="10">
        <v>12.72</v>
      </c>
      <c r="AB62" s="95">
        <v>49604300</v>
      </c>
      <c r="AC62" s="10">
        <v>12.72</v>
      </c>
      <c r="AD62">
        <f t="shared" si="2"/>
        <v>0.65000000000000036</v>
      </c>
      <c r="AE62" s="138">
        <f t="shared" si="3"/>
        <v>3.3306255077172997E-2</v>
      </c>
    </row>
    <row r="63" spans="2:41" x14ac:dyDescent="0.25">
      <c r="B63" s="47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6"/>
      <c r="H63" s="7"/>
      <c r="I63" s="44"/>
      <c r="J63" s="44"/>
      <c r="K63" s="44"/>
      <c r="O63" s="83">
        <v>0.92</v>
      </c>
      <c r="P63" s="83">
        <f t="shared" si="5"/>
        <v>14.2692</v>
      </c>
      <c r="W63" s="133">
        <v>42517</v>
      </c>
      <c r="X63" s="10">
        <v>11.97</v>
      </c>
      <c r="Y63" s="10">
        <v>12.43</v>
      </c>
      <c r="Z63" s="10">
        <v>11.83</v>
      </c>
      <c r="AA63" s="10">
        <v>12.31</v>
      </c>
      <c r="AB63" s="95">
        <v>29838400</v>
      </c>
      <c r="AC63" s="10">
        <v>12.31</v>
      </c>
      <c r="AD63">
        <f t="shared" si="2"/>
        <v>0.59999999999999964</v>
      </c>
      <c r="AE63" s="138">
        <f t="shared" si="3"/>
        <v>3.0125523012552335E-2</v>
      </c>
    </row>
    <row r="64" spans="2:41" x14ac:dyDescent="0.25">
      <c r="B64" s="477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6"/>
      <c r="H64" s="7"/>
      <c r="I64" s="44"/>
      <c r="J64" s="44"/>
      <c r="K64" s="44"/>
      <c r="O64" s="83">
        <v>0.91</v>
      </c>
      <c r="P64" s="83">
        <f t="shared" si="5"/>
        <v>14.114100000000001</v>
      </c>
      <c r="W64" s="133">
        <v>42516</v>
      </c>
      <c r="X64" s="10">
        <v>11.71</v>
      </c>
      <c r="Y64" s="10">
        <v>12.03</v>
      </c>
      <c r="Z64" s="10">
        <v>11.69</v>
      </c>
      <c r="AA64" s="10">
        <v>11.95</v>
      </c>
      <c r="AB64" s="95">
        <v>23644100</v>
      </c>
      <c r="AC64" s="10">
        <v>11.95</v>
      </c>
      <c r="AD64">
        <f t="shared" si="2"/>
        <v>0.33999999999999986</v>
      </c>
      <c r="AE64" s="138">
        <f t="shared" si="3"/>
        <v>3.0172413793103425E-2</v>
      </c>
    </row>
    <row r="65" spans="2:31" x14ac:dyDescent="0.25">
      <c r="B65" s="47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6"/>
      <c r="H65" s="7"/>
      <c r="I65" s="44"/>
      <c r="J65" s="44"/>
      <c r="K65" s="44"/>
      <c r="O65" s="83">
        <v>0.9</v>
      </c>
      <c r="P65" s="83">
        <f t="shared" si="5"/>
        <v>13.959</v>
      </c>
      <c r="W65" s="133">
        <v>42515</v>
      </c>
      <c r="X65" s="10">
        <v>11.59</v>
      </c>
      <c r="Y65" s="10">
        <v>11.78</v>
      </c>
      <c r="Z65" s="10">
        <v>11.42</v>
      </c>
      <c r="AA65" s="10">
        <v>11.6</v>
      </c>
      <c r="AB65" s="95">
        <v>29175600</v>
      </c>
      <c r="AC65" s="10">
        <v>11.6</v>
      </c>
      <c r="AD65">
        <f t="shared" si="2"/>
        <v>0.35999999999999943</v>
      </c>
      <c r="AE65" s="138">
        <f t="shared" si="3"/>
        <v>9.5735422106177914E-3</v>
      </c>
    </row>
    <row r="66" spans="2:31" x14ac:dyDescent="0.25">
      <c r="B66" s="47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6"/>
      <c r="H66" s="7"/>
      <c r="I66" s="44"/>
      <c r="J66" s="44"/>
      <c r="K66" s="44"/>
      <c r="W66" s="133">
        <v>42514</v>
      </c>
      <c r="X66" s="10">
        <v>11.31</v>
      </c>
      <c r="Y66" s="10">
        <v>11.5</v>
      </c>
      <c r="Z66" s="10">
        <v>11.16</v>
      </c>
      <c r="AA66" s="10">
        <v>11.49</v>
      </c>
      <c r="AB66" s="95">
        <v>25437300</v>
      </c>
      <c r="AC66" s="10">
        <v>11.49</v>
      </c>
      <c r="AD66">
        <f t="shared" si="2"/>
        <v>0.33999999999999986</v>
      </c>
      <c r="AE66" s="138">
        <f t="shared" si="3"/>
        <v>3.1418312387791802E-2</v>
      </c>
    </row>
    <row r="67" spans="2:31" x14ac:dyDescent="0.25">
      <c r="B67" s="47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6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42513</v>
      </c>
      <c r="X67" s="10">
        <v>10.84</v>
      </c>
      <c r="Y67" s="10">
        <v>11.17</v>
      </c>
      <c r="Z67" s="10">
        <v>10.82</v>
      </c>
      <c r="AA67" s="10">
        <v>11.14</v>
      </c>
      <c r="AB67" s="95">
        <v>28369200</v>
      </c>
      <c r="AC67" s="10">
        <v>11.14</v>
      </c>
      <c r="AD67">
        <f>Y67-Z67</f>
        <v>0.34999999999999964</v>
      </c>
      <c r="AE67" s="138" t="e">
        <f>AC67/AC68-1</f>
        <v>#DIV/0!</v>
      </c>
    </row>
    <row r="68" spans="2:31" x14ac:dyDescent="0.25">
      <c r="B68" s="47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6"/>
      <c r="H68" s="7"/>
      <c r="I68" s="44"/>
      <c r="J68" s="44"/>
      <c r="K68" s="44"/>
      <c r="N68" s="4"/>
      <c r="O68" s="435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7"/>
      <c r="H69" s="82"/>
      <c r="I69" s="44"/>
      <c r="J69" s="44"/>
      <c r="K69" s="44"/>
      <c r="N69" s="4"/>
      <c r="O69" s="435"/>
      <c r="P69" s="435"/>
      <c r="Q69" s="435"/>
      <c r="R69" s="435"/>
      <c r="S69" s="435"/>
      <c r="T69" s="435"/>
      <c r="U69" s="436"/>
    </row>
    <row r="70" spans="2:31" x14ac:dyDescent="0.25">
      <c r="B70" s="52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7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9"/>
      <c r="C71" s="7">
        <v>500</v>
      </c>
      <c r="D71" s="44">
        <v>14.33</v>
      </c>
      <c r="E71" s="44">
        <v>0</v>
      </c>
      <c r="F71" s="44">
        <f t="shared" si="8"/>
        <v>7165</v>
      </c>
      <c r="G71" s="477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6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6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6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6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7"/>
    </row>
    <row r="76" spans="2:31" x14ac:dyDescent="0.25">
      <c r="B76" s="47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6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6"/>
      <c r="H77" s="7"/>
      <c r="I77" s="44"/>
      <c r="J77" s="44"/>
      <c r="K77" s="44"/>
      <c r="M77" s="2"/>
      <c r="N77" s="4"/>
      <c r="O77" s="435"/>
      <c r="P77" s="4"/>
      <c r="Q77" s="4"/>
      <c r="R77" s="4"/>
      <c r="S77" s="4"/>
      <c r="T77" s="4"/>
      <c r="U77" s="109"/>
    </row>
    <row r="78" spans="2:31" x14ac:dyDescent="0.25">
      <c r="B78" s="52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6"/>
      <c r="H78" s="7"/>
      <c r="I78" s="44"/>
      <c r="J78" s="44"/>
      <c r="K78" s="44"/>
      <c r="N78" s="4"/>
      <c r="O78" s="435"/>
      <c r="P78" s="435"/>
      <c r="Q78" s="435"/>
      <c r="R78" s="435"/>
      <c r="S78" s="435"/>
      <c r="T78" s="435"/>
      <c r="U78" s="436"/>
    </row>
    <row r="79" spans="2:31" x14ac:dyDescent="0.25">
      <c r="B79" s="529"/>
      <c r="C79" s="7">
        <v>30</v>
      </c>
      <c r="D79" s="7">
        <v>11.35</v>
      </c>
      <c r="E79" s="44">
        <v>0</v>
      </c>
      <c r="F79" s="44">
        <f t="shared" si="8"/>
        <v>340.5</v>
      </c>
      <c r="G79" s="476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6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9"/>
      <c r="C81" s="7">
        <v>500</v>
      </c>
      <c r="D81" s="7">
        <v>10.75</v>
      </c>
      <c r="E81" s="44">
        <v>0</v>
      </c>
      <c r="F81" s="44">
        <f t="shared" si="8"/>
        <v>5375</v>
      </c>
      <c r="G81" s="476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7"/>
    </row>
    <row r="82" spans="1:21" x14ac:dyDescent="0.25">
      <c r="B82" s="52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6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9"/>
      <c r="C83" s="7">
        <v>5</v>
      </c>
      <c r="D83" s="7">
        <v>11.07</v>
      </c>
      <c r="E83" s="44">
        <v>0</v>
      </c>
      <c r="F83" s="44">
        <f t="shared" si="8"/>
        <v>55.35</v>
      </c>
      <c r="G83" s="476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6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6"/>
      <c r="H85" s="7"/>
      <c r="I85" s="44"/>
      <c r="J85" s="44"/>
      <c r="K85" s="44"/>
    </row>
    <row r="86" spans="1:21" x14ac:dyDescent="0.25">
      <c r="B86" s="47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6"/>
      <c r="H86" s="7"/>
      <c r="I86" s="44"/>
      <c r="J86" s="44"/>
      <c r="K86" s="44"/>
    </row>
    <row r="87" spans="1:21" x14ac:dyDescent="0.25">
      <c r="B87" s="47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6"/>
      <c r="H87" s="7"/>
      <c r="I87" s="44"/>
      <c r="J87" s="44"/>
      <c r="K87" s="44"/>
      <c r="O87" s="1"/>
    </row>
    <row r="88" spans="1:21" x14ac:dyDescent="0.25">
      <c r="B88" s="47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6"/>
      <c r="H88" s="7"/>
      <c r="I88" s="44"/>
      <c r="J88" s="44"/>
      <c r="K88" s="44"/>
    </row>
    <row r="89" spans="1:21" x14ac:dyDescent="0.25">
      <c r="B89" s="47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6"/>
      <c r="H89" s="7"/>
      <c r="I89" s="44"/>
      <c r="J89" s="44"/>
      <c r="K89" s="44"/>
    </row>
    <row r="90" spans="1:21" x14ac:dyDescent="0.25">
      <c r="B90" s="47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6"/>
      <c r="H90" s="7"/>
      <c r="I90" s="44"/>
      <c r="J90" s="44"/>
      <c r="K90" s="44"/>
    </row>
    <row r="91" spans="1:21" x14ac:dyDescent="0.25">
      <c r="B91" s="47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6"/>
      <c r="H91" s="7"/>
      <c r="I91" s="44"/>
      <c r="J91" s="44"/>
      <c r="K91" s="44"/>
    </row>
    <row r="92" spans="1:21" x14ac:dyDescent="0.25">
      <c r="A92" s="550" t="s">
        <v>213</v>
      </c>
      <c r="B92" s="47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6"/>
      <c r="H92" s="7"/>
      <c r="I92" s="44"/>
      <c r="J92" s="44"/>
      <c r="K92" s="44"/>
    </row>
    <row r="93" spans="1:21" x14ac:dyDescent="0.25">
      <c r="A93" s="550"/>
      <c r="B93" s="47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6"/>
      <c r="H93" s="7"/>
      <c r="I93" s="44"/>
      <c r="J93" s="44"/>
      <c r="K93" s="44"/>
    </row>
    <row r="94" spans="1:21" x14ac:dyDescent="0.25">
      <c r="A94" s="550"/>
      <c r="B94" s="47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6"/>
      <c r="H94" s="7"/>
      <c r="I94" s="44"/>
      <c r="J94" s="44"/>
      <c r="K94" s="44"/>
    </row>
    <row r="95" spans="1:21" x14ac:dyDescent="0.25">
      <c r="B95" s="47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6"/>
      <c r="H95" s="7"/>
      <c r="I95" s="44"/>
      <c r="J95" s="44"/>
      <c r="K95" s="44"/>
    </row>
    <row r="96" spans="1:21" x14ac:dyDescent="0.25">
      <c r="B96" s="47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6"/>
      <c r="H96" s="7"/>
      <c r="I96" s="44"/>
      <c r="J96" s="44"/>
      <c r="K96" s="44"/>
    </row>
    <row r="97" spans="2:11" x14ac:dyDescent="0.25">
      <c r="B97" s="477">
        <v>42502</v>
      </c>
      <c r="C97" s="7">
        <v>1000</v>
      </c>
      <c r="D97" s="44">
        <v>9.5</v>
      </c>
      <c r="E97" s="44">
        <v>0</v>
      </c>
      <c r="F97" s="44">
        <f t="shared" ref="F97:F126" si="9">C97*D97+E97</f>
        <v>9500</v>
      </c>
      <c r="G97" s="476"/>
      <c r="H97" s="7"/>
      <c r="I97" s="44"/>
      <c r="J97" s="44"/>
      <c r="K97" s="44"/>
    </row>
    <row r="98" spans="2:11" x14ac:dyDescent="0.25">
      <c r="B98" s="47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6"/>
      <c r="H98" s="7"/>
      <c r="I98" s="44"/>
      <c r="J98" s="44"/>
      <c r="K98" s="44"/>
    </row>
    <row r="99" spans="2:11" x14ac:dyDescent="0.25">
      <c r="B99" s="47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6"/>
      <c r="H99" s="7"/>
      <c r="I99" s="44"/>
      <c r="J99" s="44"/>
      <c r="K99" s="44"/>
    </row>
    <row r="100" spans="2:11" x14ac:dyDescent="0.25">
      <c r="B100" s="47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6"/>
      <c r="H100" s="7"/>
      <c r="I100" s="44"/>
      <c r="J100" s="44"/>
      <c r="K100" s="44"/>
    </row>
    <row r="101" spans="2:11" x14ac:dyDescent="0.25">
      <c r="B101" s="47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6"/>
      <c r="H101" s="7"/>
      <c r="I101" s="44"/>
      <c r="J101" s="44"/>
      <c r="K101" s="44"/>
    </row>
    <row r="102" spans="2:11" x14ac:dyDescent="0.25">
      <c r="B102" s="47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6"/>
      <c r="H102" s="7"/>
      <c r="I102" s="44"/>
      <c r="J102" s="44"/>
      <c r="K102" s="44"/>
    </row>
    <row r="103" spans="2:11" x14ac:dyDescent="0.25">
      <c r="B103" s="47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6"/>
      <c r="H103" s="7"/>
      <c r="I103" s="44"/>
      <c r="J103" s="44"/>
      <c r="K103" s="44"/>
    </row>
    <row r="104" spans="2:11" x14ac:dyDescent="0.25">
      <c r="B104" s="47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7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7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7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7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7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6"/>
      <c r="H109" s="7"/>
      <c r="I109" s="44"/>
      <c r="J109" s="44"/>
      <c r="K109" s="44"/>
    </row>
    <row r="110" spans="2:11" x14ac:dyDescent="0.25">
      <c r="B110" s="47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7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7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3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7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7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7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7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7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6"/>
      <c r="H118" s="7"/>
      <c r="I118" s="44"/>
      <c r="J118" s="44"/>
      <c r="K118" s="44"/>
    </row>
    <row r="119" spans="1:13" x14ac:dyDescent="0.25">
      <c r="B119" s="47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6"/>
      <c r="H119" s="7"/>
      <c r="I119" s="44"/>
      <c r="J119" s="44"/>
      <c r="K119" s="44"/>
    </row>
    <row r="120" spans="1:13" x14ac:dyDescent="0.25">
      <c r="B120" s="47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7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7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7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7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7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1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7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G126" s="477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49" t="s">
        <v>364</v>
      </c>
    </row>
    <row r="127" spans="1:13" x14ac:dyDescent="0.25">
      <c r="G127" s="477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49"/>
    </row>
    <row r="128" spans="1:13" x14ac:dyDescent="0.25">
      <c r="G128" s="477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49"/>
    </row>
    <row r="129" spans="1:13" x14ac:dyDescent="0.25">
      <c r="G129" s="477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49"/>
    </row>
    <row r="130" spans="1:13" x14ac:dyDescent="0.25">
      <c r="G130" s="477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60" t="s">
        <v>204</v>
      </c>
      <c r="B135" s="361"/>
      <c r="C135" s="362">
        <f>SumByColor($A$135,C2:C133)</f>
        <v>53335</v>
      </c>
      <c r="D135" s="362"/>
      <c r="E135" s="362"/>
      <c r="F135" s="363">
        <f>SumByColor($A$135,F2:F133)</f>
        <v>729140</v>
      </c>
      <c r="G135" s="362"/>
      <c r="H135" s="362">
        <f>SumByColor($A$135,H2:H133)</f>
        <v>53335</v>
      </c>
      <c r="I135" s="362"/>
      <c r="J135" s="362"/>
      <c r="K135" s="363">
        <f>SumByColor($A$135,K2:K133)</f>
        <v>730092</v>
      </c>
      <c r="L135" s="362"/>
      <c r="M135" s="363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8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8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8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1">
        <v>5000</v>
      </c>
      <c r="D198" s="472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7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7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7">
        <v>3000</v>
      </c>
      <c r="D212" s="458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7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5" t="s">
        <v>280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5"/>
    </row>
    <row r="222" spans="2:9" x14ac:dyDescent="0.25">
      <c r="B222" s="193">
        <v>42556</v>
      </c>
      <c r="C222" s="471">
        <v>5000</v>
      </c>
      <c r="D222" s="472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7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7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9">
        <v>15.75</v>
      </c>
    </row>
    <row r="234" spans="2:9" x14ac:dyDescent="0.25">
      <c r="B234" s="193">
        <v>42587</v>
      </c>
      <c r="C234" s="237">
        <v>4000</v>
      </c>
      <c r="D234" s="487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/>
      <c r="C241" s="10"/>
      <c r="D241" s="200"/>
      <c r="E241" s="40"/>
      <c r="F241" s="40"/>
      <c r="G241" s="40"/>
      <c r="H241" s="232"/>
      <c r="I241" s="40"/>
    </row>
    <row r="242" spans="2:9" x14ac:dyDescent="0.25">
      <c r="B242" s="193"/>
      <c r="C242" s="10"/>
      <c r="D242" s="200"/>
      <c r="E242" s="40"/>
      <c r="F242" s="40"/>
      <c r="G242" s="40"/>
      <c r="H242" s="232"/>
      <c r="I242" s="40"/>
    </row>
    <row r="243" spans="2:9" x14ac:dyDescent="0.25">
      <c r="B243" s="193"/>
      <c r="C243" s="10"/>
      <c r="D243" s="200"/>
      <c r="E243" s="40"/>
      <c r="F243" s="40"/>
      <c r="G243" s="40"/>
      <c r="H243" s="232"/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9" priority="43">
      <formula>F139&gt;0</formula>
    </cfRule>
    <cfRule type="expression" dxfId="438" priority="44">
      <formula>F139&lt;0</formula>
    </cfRule>
  </conditionalFormatting>
  <conditionalFormatting sqref="H139:H150">
    <cfRule type="expression" dxfId="437" priority="35">
      <formula>H139&gt;0</formula>
    </cfRule>
    <cfRule type="expression" dxfId="436" priority="36">
      <formula>H139&lt;0</formula>
    </cfRule>
  </conditionalFormatting>
  <conditionalFormatting sqref="H151">
    <cfRule type="expression" dxfId="435" priority="25">
      <formula>H151&gt;0</formula>
    </cfRule>
    <cfRule type="expression" dxfId="434" priority="26">
      <formula>H151&lt;0</formula>
    </cfRule>
  </conditionalFormatting>
  <conditionalFormatting sqref="H152">
    <cfRule type="expression" dxfId="433" priority="21">
      <formula>H152&gt;0</formula>
    </cfRule>
    <cfRule type="expression" dxfId="432" priority="22">
      <formula>H152&lt;0</formula>
    </cfRule>
  </conditionalFormatting>
  <conditionalFormatting sqref="H153:H158">
    <cfRule type="expression" dxfId="431" priority="17">
      <formula>H153&gt;0</formula>
    </cfRule>
    <cfRule type="expression" dxfId="430" priority="18">
      <formula>H153&lt;0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42606</v>
      </c>
      <c r="X2" s="103">
        <v>47</v>
      </c>
      <c r="Y2" s="103">
        <v>47</v>
      </c>
      <c r="Z2" s="103">
        <v>46.48</v>
      </c>
      <c r="AA2" s="103">
        <v>46.56</v>
      </c>
      <c r="AB2" s="101">
        <v>1477300</v>
      </c>
      <c r="AC2" s="100">
        <v>46.56</v>
      </c>
      <c r="AD2" s="2">
        <f>Y2-Z2</f>
        <v>0.52000000000000313</v>
      </c>
      <c r="AE2" s="138">
        <f>AC2/AC3-1</f>
        <v>-8.5178875638841633E-3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46.56</v>
      </c>
      <c r="S3" s="115"/>
      <c r="T3" s="17"/>
      <c r="U3" s="17"/>
      <c r="V3" s="17"/>
      <c r="W3" s="99">
        <v>42605</v>
      </c>
      <c r="X3" s="103">
        <v>46.98</v>
      </c>
      <c r="Y3" s="103">
        <v>47.23</v>
      </c>
      <c r="Z3" s="103">
        <v>46.7</v>
      </c>
      <c r="AA3" s="103">
        <v>46.96</v>
      </c>
      <c r="AB3" s="101">
        <v>1837900</v>
      </c>
      <c r="AC3" s="100">
        <v>46.96</v>
      </c>
      <c r="AD3" s="2">
        <f t="shared" ref="AD3:AD66" si="0">Y3-Z3</f>
        <v>0.52999999999999403</v>
      </c>
      <c r="AE3" s="138">
        <f t="shared" ref="AE3:AE66" si="1">AC3/AC4-1</f>
        <v>8.5910652920961894E-3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46.56</v>
      </c>
      <c r="W4" s="99">
        <v>42604</v>
      </c>
      <c r="X4" s="103">
        <v>47.14</v>
      </c>
      <c r="Y4" s="103">
        <v>47.14</v>
      </c>
      <c r="Z4" s="103">
        <v>46.08</v>
      </c>
      <c r="AA4" s="103">
        <v>46.56</v>
      </c>
      <c r="AB4" s="101">
        <v>3461400</v>
      </c>
      <c r="AC4" s="100">
        <v>46.56</v>
      </c>
      <c r="AD4" s="2">
        <f t="shared" si="0"/>
        <v>1.0600000000000023</v>
      </c>
      <c r="AE4" s="138">
        <f t="shared" si="1"/>
        <v>-1.896333754740831E-2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42601</v>
      </c>
      <c r="X5" s="103">
        <v>47.33</v>
      </c>
      <c r="Y5" s="103">
        <v>47.58</v>
      </c>
      <c r="Z5" s="103">
        <v>46.86</v>
      </c>
      <c r="AA5" s="103">
        <v>47.46</v>
      </c>
      <c r="AB5" s="101">
        <v>1750100</v>
      </c>
      <c r="AC5" s="100">
        <v>47.46</v>
      </c>
      <c r="AD5" s="2">
        <f t="shared" si="0"/>
        <v>0.71999999999999886</v>
      </c>
      <c r="AE5" s="138">
        <f t="shared" si="1"/>
        <v>-3.150598613736566E-3</v>
      </c>
    </row>
    <row r="6" spans="1:31" x14ac:dyDescent="0.25">
      <c r="O6" s="11" t="s">
        <v>64</v>
      </c>
      <c r="Q6" s="2">
        <f>Q3*Q2</f>
        <v>0</v>
      </c>
      <c r="S6" s="85"/>
      <c r="W6" s="99">
        <v>42600</v>
      </c>
      <c r="X6" s="103">
        <v>47.29</v>
      </c>
      <c r="Y6" s="103">
        <v>47.7</v>
      </c>
      <c r="Z6" s="103">
        <v>47.25</v>
      </c>
      <c r="AA6" s="103">
        <v>47.61</v>
      </c>
      <c r="AB6" s="101">
        <v>2252300</v>
      </c>
      <c r="AC6" s="100">
        <v>47.61</v>
      </c>
      <c r="AD6" s="2">
        <f t="shared" si="0"/>
        <v>0.45000000000000284</v>
      </c>
      <c r="AE6" s="138">
        <f t="shared" si="1"/>
        <v>6.3411540900444319E-3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42599</v>
      </c>
      <c r="X7" s="103">
        <v>46.76</v>
      </c>
      <c r="Y7" s="103">
        <v>47.33</v>
      </c>
      <c r="Z7" s="103">
        <v>46.72</v>
      </c>
      <c r="AA7" s="103">
        <v>47.31</v>
      </c>
      <c r="AB7" s="101">
        <v>2454400</v>
      </c>
      <c r="AC7" s="100">
        <v>47.31</v>
      </c>
      <c r="AD7" s="2">
        <f t="shared" si="0"/>
        <v>0.60999999999999943</v>
      </c>
      <c r="AE7" s="138">
        <f t="shared" si="1"/>
        <v>1.393056150878702E-2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42598</v>
      </c>
      <c r="X8" s="103">
        <v>46.45</v>
      </c>
      <c r="Y8" s="103">
        <v>47.48</v>
      </c>
      <c r="Z8" s="103">
        <v>46.43</v>
      </c>
      <c r="AA8" s="103">
        <v>46.66</v>
      </c>
      <c r="AB8" s="101">
        <v>2900600</v>
      </c>
      <c r="AC8" s="100">
        <v>46.66</v>
      </c>
      <c r="AD8" s="2">
        <f t="shared" si="0"/>
        <v>1.0499999999999972</v>
      </c>
      <c r="AE8" s="138">
        <f t="shared" si="1"/>
        <v>7.3402417962002975E-3</v>
      </c>
    </row>
    <row r="9" spans="1:31" x14ac:dyDescent="0.25">
      <c r="O9" s="11" t="s">
        <v>225</v>
      </c>
      <c r="Q9" s="138">
        <f>IF(Q2=0, 0, Q8/Q6)</f>
        <v>0</v>
      </c>
      <c r="W9" s="99">
        <v>42597</v>
      </c>
      <c r="X9" s="103">
        <v>46.5</v>
      </c>
      <c r="Y9" s="103">
        <v>46.88</v>
      </c>
      <c r="Z9" s="103">
        <v>46.32</v>
      </c>
      <c r="AA9" s="103">
        <v>46.32</v>
      </c>
      <c r="AB9" s="101">
        <v>2086300</v>
      </c>
      <c r="AC9" s="100">
        <v>46.32</v>
      </c>
      <c r="AD9" s="2">
        <f t="shared" si="0"/>
        <v>0.56000000000000227</v>
      </c>
      <c r="AE9" s="138">
        <f t="shared" si="1"/>
        <v>-3.870967741935516E-3</v>
      </c>
    </row>
    <row r="10" spans="1:31" x14ac:dyDescent="0.25">
      <c r="O10" s="11" t="s">
        <v>224</v>
      </c>
      <c r="P10" s="34"/>
      <c r="Q10" s="2">
        <f>M30</f>
        <v>119.92000000000053</v>
      </c>
      <c r="W10" s="99">
        <v>42594</v>
      </c>
      <c r="X10" s="103">
        <v>46.84</v>
      </c>
      <c r="Y10" s="103">
        <v>47.02</v>
      </c>
      <c r="Z10" s="103">
        <v>46.3</v>
      </c>
      <c r="AA10" s="103">
        <v>46.5</v>
      </c>
      <c r="AB10" s="101">
        <v>2170100</v>
      </c>
      <c r="AC10" s="100">
        <v>46.5</v>
      </c>
      <c r="AD10" s="2">
        <f t="shared" si="0"/>
        <v>0.72000000000000597</v>
      </c>
      <c r="AE10" s="138">
        <f t="shared" si="1"/>
        <v>-9.1625825697847496E-3</v>
      </c>
    </row>
    <row r="11" spans="1:31" x14ac:dyDescent="0.25">
      <c r="O11" s="11" t="s">
        <v>184</v>
      </c>
      <c r="P11" s="34"/>
      <c r="Q11" s="138">
        <f>VALUE(TRIM(CLEAN(MID(U58, FIND("(", U58)+1, 5))))</f>
        <v>3.7100000000000001E-2</v>
      </c>
      <c r="W11" s="99">
        <v>42593</v>
      </c>
      <c r="X11" s="103">
        <v>46.46</v>
      </c>
      <c r="Y11" s="103">
        <v>47.02</v>
      </c>
      <c r="Z11" s="103">
        <v>46.46</v>
      </c>
      <c r="AA11" s="103">
        <v>46.93</v>
      </c>
      <c r="AB11" s="101">
        <v>2688100</v>
      </c>
      <c r="AC11" s="100">
        <v>46.93</v>
      </c>
      <c r="AD11" s="2">
        <f t="shared" si="0"/>
        <v>0.56000000000000227</v>
      </c>
      <c r="AE11" s="138" t="e">
        <f t="shared" si="1"/>
        <v>#DIV/0!</v>
      </c>
    </row>
    <row r="12" spans="1:31" x14ac:dyDescent="0.25">
      <c r="W12" s="99">
        <v>42593</v>
      </c>
      <c r="X12" s="103" t="s">
        <v>237</v>
      </c>
      <c r="Y12" s="103"/>
      <c r="Z12" s="103"/>
      <c r="AA12" s="103"/>
      <c r="AB12" s="101"/>
      <c r="AC12" s="100"/>
      <c r="AD12" s="2">
        <f t="shared" si="0"/>
        <v>0</v>
      </c>
      <c r="AE12" s="138">
        <f t="shared" si="1"/>
        <v>-1</v>
      </c>
    </row>
    <row r="13" spans="1:31" x14ac:dyDescent="0.25">
      <c r="W13" s="99">
        <v>42592</v>
      </c>
      <c r="X13" s="103">
        <v>46.07</v>
      </c>
      <c r="Y13" s="103">
        <v>47.39</v>
      </c>
      <c r="Z13" s="103">
        <v>46.07</v>
      </c>
      <c r="AA13" s="103">
        <v>46.79</v>
      </c>
      <c r="AB13" s="101">
        <v>4054400</v>
      </c>
      <c r="AC13" s="100">
        <v>46.35</v>
      </c>
      <c r="AD13" s="2">
        <f t="shared" si="0"/>
        <v>1.3200000000000003</v>
      </c>
      <c r="AE13" s="138">
        <f t="shared" si="1"/>
        <v>1.5779092702169706E-2</v>
      </c>
    </row>
    <row r="14" spans="1:31" x14ac:dyDescent="0.25">
      <c r="W14" s="99">
        <v>42591</v>
      </c>
      <c r="X14" s="103">
        <v>46.2</v>
      </c>
      <c r="Y14" s="103">
        <v>46.5</v>
      </c>
      <c r="Z14" s="103">
        <v>46.02</v>
      </c>
      <c r="AA14" s="103">
        <v>46.06</v>
      </c>
      <c r="AB14" s="101">
        <v>1175100</v>
      </c>
      <c r="AC14" s="100">
        <v>45.63</v>
      </c>
      <c r="AD14" s="2">
        <f t="shared" si="0"/>
        <v>0.47999999999999687</v>
      </c>
      <c r="AE14" s="138">
        <f t="shared" si="1"/>
        <v>-2.6229508196721207E-3</v>
      </c>
    </row>
    <row r="15" spans="1:31" x14ac:dyDescent="0.25">
      <c r="W15" s="99">
        <v>42590</v>
      </c>
      <c r="X15" s="103">
        <v>45.93</v>
      </c>
      <c r="Y15" s="103">
        <v>46.34</v>
      </c>
      <c r="Z15" s="103">
        <v>45.84</v>
      </c>
      <c r="AA15" s="103">
        <v>46.18</v>
      </c>
      <c r="AB15" s="101">
        <v>2112900</v>
      </c>
      <c r="AC15" s="100">
        <v>45.75</v>
      </c>
      <c r="AD15" s="2">
        <f t="shared" si="0"/>
        <v>0.5</v>
      </c>
      <c r="AE15" s="138">
        <f t="shared" si="1"/>
        <v>4.390779363337094E-3</v>
      </c>
    </row>
    <row r="16" spans="1:31" x14ac:dyDescent="0.25">
      <c r="W16" s="99">
        <v>42587</v>
      </c>
      <c r="X16" s="103">
        <v>46.11</v>
      </c>
      <c r="Y16" s="103">
        <v>46.47</v>
      </c>
      <c r="Z16" s="103">
        <v>45.89</v>
      </c>
      <c r="AA16" s="103">
        <v>45.98</v>
      </c>
      <c r="AB16" s="101">
        <v>1748900</v>
      </c>
      <c r="AC16" s="100">
        <v>45.55</v>
      </c>
      <c r="AD16" s="2">
        <f t="shared" si="0"/>
        <v>0.57999999999999829</v>
      </c>
      <c r="AE16" s="138">
        <f t="shared" si="1"/>
        <v>3.5250055078210885E-3</v>
      </c>
    </row>
    <row r="17" spans="1:31" x14ac:dyDescent="0.25">
      <c r="W17" s="99">
        <v>42586</v>
      </c>
      <c r="X17" s="103">
        <v>45.85</v>
      </c>
      <c r="Y17" s="103">
        <v>46.38</v>
      </c>
      <c r="Z17" s="103">
        <v>45.73</v>
      </c>
      <c r="AA17" s="103">
        <v>45.82</v>
      </c>
      <c r="AB17" s="101">
        <v>2061300</v>
      </c>
      <c r="AC17" s="100">
        <v>45.39</v>
      </c>
      <c r="AD17" s="2">
        <f t="shared" si="0"/>
        <v>0.65000000000000568</v>
      </c>
      <c r="AE17" s="138">
        <f t="shared" si="1"/>
        <v>1.7656146546016771E-3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42585</v>
      </c>
      <c r="X18" s="103">
        <v>45.38</v>
      </c>
      <c r="Y18" s="103">
        <v>45.82</v>
      </c>
      <c r="Z18" s="103">
        <v>45.17</v>
      </c>
      <c r="AA18" s="103">
        <v>45.74</v>
      </c>
      <c r="AB18" s="101">
        <v>1425800</v>
      </c>
      <c r="AC18" s="100">
        <v>45.31</v>
      </c>
      <c r="AD18" s="2">
        <f t="shared" si="0"/>
        <v>0.64999999999999858</v>
      </c>
      <c r="AE18" s="138">
        <f t="shared" si="1"/>
        <v>7.7846975088968762E-3</v>
      </c>
    </row>
    <row r="19" spans="1:31" x14ac:dyDescent="0.25">
      <c r="W19" s="99">
        <v>42584</v>
      </c>
      <c r="X19" s="103">
        <v>45.39</v>
      </c>
      <c r="Y19" s="103">
        <v>45.65</v>
      </c>
      <c r="Z19" s="103">
        <v>45.22</v>
      </c>
      <c r="AA19" s="103">
        <v>45.39</v>
      </c>
      <c r="AB19" s="101">
        <v>2004000</v>
      </c>
      <c r="AC19" s="100">
        <v>44.96</v>
      </c>
      <c r="AD19" s="2">
        <f t="shared" si="0"/>
        <v>0.42999999999999972</v>
      </c>
      <c r="AE19" s="138">
        <f t="shared" si="1"/>
        <v>-2.4406478810738985E-3</v>
      </c>
    </row>
    <row r="20" spans="1:31" x14ac:dyDescent="0.25">
      <c r="W20" s="99">
        <v>42583</v>
      </c>
      <c r="X20" s="103">
        <v>45.76</v>
      </c>
      <c r="Y20" s="103">
        <v>45.88</v>
      </c>
      <c r="Z20" s="103">
        <v>45.17</v>
      </c>
      <c r="AA20" s="103">
        <v>45.5</v>
      </c>
      <c r="AB20" s="101">
        <v>2063200</v>
      </c>
      <c r="AC20" s="100">
        <v>45.07</v>
      </c>
      <c r="AD20" s="2">
        <f t="shared" si="0"/>
        <v>0.71000000000000085</v>
      </c>
      <c r="AE20" s="138">
        <f t="shared" si="1"/>
        <v>-6.8312031732040701E-3</v>
      </c>
    </row>
    <row r="21" spans="1:31" x14ac:dyDescent="0.25">
      <c r="W21" s="99">
        <v>42580</v>
      </c>
      <c r="X21" s="103">
        <v>45.57</v>
      </c>
      <c r="Y21" s="103">
        <v>45.89</v>
      </c>
      <c r="Z21" s="103">
        <v>45.28</v>
      </c>
      <c r="AA21" s="103">
        <v>45.81</v>
      </c>
      <c r="AB21" s="101">
        <v>2319700</v>
      </c>
      <c r="AC21" s="100">
        <v>45.38</v>
      </c>
      <c r="AD21" s="2">
        <f t="shared" si="0"/>
        <v>0.60999999999999943</v>
      </c>
      <c r="AE21" s="138">
        <f t="shared" si="1"/>
        <v>1.7660044150111798E-3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42579</v>
      </c>
      <c r="X22" s="103">
        <v>45.5</v>
      </c>
      <c r="Y22" s="103">
        <v>46.28</v>
      </c>
      <c r="Z22" s="103">
        <v>44.93</v>
      </c>
      <c r="AA22" s="103">
        <v>45.73</v>
      </c>
      <c r="AB22" s="101">
        <v>3215700</v>
      </c>
      <c r="AC22" s="100">
        <v>45.3</v>
      </c>
      <c r="AD22" s="2">
        <f t="shared" si="0"/>
        <v>1.3500000000000014</v>
      </c>
      <c r="AE22" s="138">
        <f t="shared" si="1"/>
        <v>3.1000885739591588E-3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42578</v>
      </c>
      <c r="X23" s="103">
        <v>45.68</v>
      </c>
      <c r="Y23" s="103">
        <v>45.86</v>
      </c>
      <c r="Z23" s="103">
        <v>45.1</v>
      </c>
      <c r="AA23" s="103">
        <v>45.59</v>
      </c>
      <c r="AB23" s="101">
        <v>2911000</v>
      </c>
      <c r="AC23" s="100">
        <v>45.16</v>
      </c>
      <c r="AD23" s="2">
        <f t="shared" si="0"/>
        <v>0.75999999999999801</v>
      </c>
      <c r="AE23" s="138">
        <f t="shared" si="1"/>
        <v>-1.9889502762431288E-3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42577</v>
      </c>
      <c r="X24" s="103">
        <v>45.19</v>
      </c>
      <c r="Y24" s="103">
        <v>45.71</v>
      </c>
      <c r="Z24" s="103">
        <v>45.05</v>
      </c>
      <c r="AA24" s="103">
        <v>45.68</v>
      </c>
      <c r="AB24" s="101">
        <v>1600200</v>
      </c>
      <c r="AC24" s="100">
        <v>45.25</v>
      </c>
      <c r="AD24" s="2">
        <f t="shared" si="0"/>
        <v>0.66000000000000369</v>
      </c>
      <c r="AE24" s="138">
        <f t="shared" si="1"/>
        <v>1.230425055928408E-2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42576</v>
      </c>
      <c r="X25" s="103">
        <v>45.04</v>
      </c>
      <c r="Y25" s="103">
        <v>45.13</v>
      </c>
      <c r="Z25" s="103">
        <v>44.7</v>
      </c>
      <c r="AA25" s="103">
        <v>45.12</v>
      </c>
      <c r="AB25" s="101">
        <v>1402700</v>
      </c>
      <c r="AC25" s="100">
        <v>44.7</v>
      </c>
      <c r="AD25" s="2">
        <f t="shared" si="0"/>
        <v>0.42999999999999972</v>
      </c>
      <c r="AE25" s="138">
        <f t="shared" si="1"/>
        <v>0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42573</v>
      </c>
      <c r="X26" s="103">
        <v>44.94</v>
      </c>
      <c r="Y26" s="103">
        <v>45.22</v>
      </c>
      <c r="Z26" s="103">
        <v>44.75</v>
      </c>
      <c r="AA26" s="103">
        <v>45.12</v>
      </c>
      <c r="AB26" s="101">
        <v>1591500</v>
      </c>
      <c r="AC26" s="100">
        <v>44.7</v>
      </c>
      <c r="AD26" s="2">
        <f t="shared" si="0"/>
        <v>0.46999999999999886</v>
      </c>
      <c r="AE26" s="138">
        <f t="shared" si="1"/>
        <v>5.3981106612686069E-3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42572</v>
      </c>
      <c r="X27" s="103">
        <v>45.07</v>
      </c>
      <c r="Y27" s="103">
        <v>45.32</v>
      </c>
      <c r="Z27" s="103">
        <v>44.73</v>
      </c>
      <c r="AA27" s="103">
        <v>44.88</v>
      </c>
      <c r="AB27" s="101">
        <v>1802500</v>
      </c>
      <c r="AC27" s="100">
        <v>44.46</v>
      </c>
      <c r="AD27" s="2">
        <f t="shared" si="0"/>
        <v>0.59000000000000341</v>
      </c>
      <c r="AE27" s="138">
        <f t="shared" si="1"/>
        <v>-2.9154518950438302E-3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42571</v>
      </c>
      <c r="X28" s="103">
        <v>45.01</v>
      </c>
      <c r="Y28" s="103">
        <v>45.47</v>
      </c>
      <c r="Z28" s="103">
        <v>44.89</v>
      </c>
      <c r="AA28" s="103">
        <v>45.01</v>
      </c>
      <c r="AB28" s="101">
        <v>2414700</v>
      </c>
      <c r="AC28" s="100">
        <v>44.59</v>
      </c>
      <c r="AD28" s="2">
        <f t="shared" si="0"/>
        <v>0.57999999999999829</v>
      </c>
      <c r="AE28" s="138">
        <f t="shared" si="1"/>
        <v>8.9786756453436034E-4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42570</v>
      </c>
      <c r="X29" s="103">
        <v>45.44</v>
      </c>
      <c r="Y29" s="103">
        <v>45.65</v>
      </c>
      <c r="Z29" s="103">
        <v>44.81</v>
      </c>
      <c r="AA29" s="103">
        <v>44.97</v>
      </c>
      <c r="AB29" s="101">
        <v>2908300</v>
      </c>
      <c r="AC29" s="100">
        <v>44.55</v>
      </c>
      <c r="AD29" s="2">
        <f t="shared" si="0"/>
        <v>0.83999999999999631</v>
      </c>
      <c r="AE29" s="138">
        <f t="shared" si="1"/>
        <v>-1.2195121951219634E-2</v>
      </c>
    </row>
    <row r="30" spans="1:31" x14ac:dyDescent="0.25">
      <c r="L30" t="s">
        <v>224</v>
      </c>
      <c r="M30" s="2">
        <f>M37+K37-F37</f>
        <v>119.92000000000053</v>
      </c>
      <c r="W30" s="99">
        <v>42569</v>
      </c>
      <c r="X30" s="103">
        <v>45.47</v>
      </c>
      <c r="Y30" s="103">
        <v>45.63</v>
      </c>
      <c r="Z30" s="103">
        <v>45.11</v>
      </c>
      <c r="AA30" s="103">
        <v>45.53</v>
      </c>
      <c r="AB30" s="101">
        <v>2118800</v>
      </c>
      <c r="AC30" s="100">
        <v>45.1</v>
      </c>
      <c r="AD30" s="2">
        <f t="shared" si="0"/>
        <v>0.52000000000000313</v>
      </c>
      <c r="AE30" s="138">
        <f t="shared" si="1"/>
        <v>1.332149200710564E-3</v>
      </c>
    </row>
    <row r="31" spans="1:31" x14ac:dyDescent="0.25">
      <c r="A31" s="391" t="s">
        <v>1</v>
      </c>
      <c r="B31" s="391" t="s">
        <v>2</v>
      </c>
      <c r="C31" s="391" t="s">
        <v>4</v>
      </c>
      <c r="D31" s="391" t="s">
        <v>5</v>
      </c>
      <c r="E31" s="391" t="s">
        <v>90</v>
      </c>
      <c r="F31" s="391" t="s">
        <v>60</v>
      </c>
      <c r="G31" s="391" t="s">
        <v>3</v>
      </c>
      <c r="H31" s="420" t="s">
        <v>6</v>
      </c>
      <c r="I31" s="391" t="s">
        <v>7</v>
      </c>
      <c r="J31" s="391" t="s">
        <v>89</v>
      </c>
      <c r="K31" s="391" t="s">
        <v>61</v>
      </c>
      <c r="L31" s="391" t="s">
        <v>77</v>
      </c>
      <c r="M31" s="391" t="s">
        <v>38</v>
      </c>
      <c r="W31" s="99">
        <v>42566</v>
      </c>
      <c r="X31" s="103">
        <v>44.41</v>
      </c>
      <c r="Y31" s="103">
        <v>45.97</v>
      </c>
      <c r="Z31" s="103">
        <v>44.41</v>
      </c>
      <c r="AA31" s="103">
        <v>45.47</v>
      </c>
      <c r="AB31" s="101">
        <v>5390300</v>
      </c>
      <c r="AC31" s="100">
        <v>45.04</v>
      </c>
      <c r="AD31" s="2">
        <f t="shared" si="0"/>
        <v>1.5600000000000023</v>
      </c>
      <c r="AE31" s="138">
        <f t="shared" si="1"/>
        <v>3.208065994500453E-2</v>
      </c>
    </row>
    <row r="32" spans="1:31" x14ac:dyDescent="0.25">
      <c r="A32" s="394" t="s">
        <v>180</v>
      </c>
      <c r="B32" s="384">
        <v>42376</v>
      </c>
      <c r="C32" s="385">
        <v>100</v>
      </c>
      <c r="D32" s="386">
        <v>36.659999999999997</v>
      </c>
      <c r="E32" s="386">
        <v>0</v>
      </c>
      <c r="F32" s="386">
        <f>C32*D32+E32</f>
        <v>3665.9999999999995</v>
      </c>
      <c r="G32" s="421">
        <v>42432</v>
      </c>
      <c r="H32" s="404">
        <v>100</v>
      </c>
      <c r="I32" s="405">
        <v>37.42</v>
      </c>
      <c r="J32" s="405">
        <v>0.08</v>
      </c>
      <c r="K32" s="406">
        <f>I32*H32-J32</f>
        <v>3741.92</v>
      </c>
      <c r="L32" s="384">
        <v>42444</v>
      </c>
      <c r="M32" s="405">
        <v>44</v>
      </c>
      <c r="W32" s="99">
        <v>42565</v>
      </c>
      <c r="X32" s="103">
        <v>44.5</v>
      </c>
      <c r="Y32" s="103">
        <v>44.68</v>
      </c>
      <c r="Z32" s="103">
        <v>43.98</v>
      </c>
      <c r="AA32" s="103">
        <v>44.05</v>
      </c>
      <c r="AB32" s="101">
        <v>3046000</v>
      </c>
      <c r="AC32" s="100">
        <v>43.64</v>
      </c>
      <c r="AD32" s="2">
        <f t="shared" si="0"/>
        <v>0.70000000000000284</v>
      </c>
      <c r="AE32" s="138">
        <f t="shared" si="1"/>
        <v>-4.1077133728890658E-3</v>
      </c>
    </row>
    <row r="33" spans="1:31" x14ac:dyDescent="0.25">
      <c r="A33" s="395" t="s">
        <v>71</v>
      </c>
      <c r="B33" s="384"/>
      <c r="C33" s="385"/>
      <c r="D33" s="386"/>
      <c r="E33" s="386"/>
      <c r="F33" s="386"/>
      <c r="G33" s="384"/>
      <c r="H33" s="389"/>
      <c r="I33" s="385"/>
      <c r="J33" s="385"/>
      <c r="K33" s="406"/>
      <c r="L33" s="384"/>
      <c r="M33" s="385"/>
      <c r="W33" s="99">
        <v>42564</v>
      </c>
      <c r="X33" s="103">
        <v>44.19</v>
      </c>
      <c r="Y33" s="103">
        <v>44.4</v>
      </c>
      <c r="Z33" s="103">
        <v>43.85</v>
      </c>
      <c r="AA33" s="103">
        <v>44.24</v>
      </c>
      <c r="AB33" s="101">
        <v>2818100</v>
      </c>
      <c r="AC33" s="100">
        <v>43.82</v>
      </c>
      <c r="AD33" s="2">
        <f t="shared" si="0"/>
        <v>0.54999999999999716</v>
      </c>
      <c r="AE33" s="138">
        <f t="shared" si="1"/>
        <v>1.6000000000000458E-3</v>
      </c>
    </row>
    <row r="34" spans="1:31" x14ac:dyDescent="0.25">
      <c r="A34" s="385"/>
      <c r="B34" s="384"/>
      <c r="C34" s="385"/>
      <c r="D34" s="386"/>
      <c r="E34" s="386"/>
      <c r="F34" s="386"/>
      <c r="G34" s="384"/>
      <c r="H34" s="389"/>
      <c r="I34" s="385"/>
      <c r="J34" s="386"/>
      <c r="K34" s="405"/>
      <c r="L34" s="385"/>
      <c r="M34" s="385"/>
      <c r="W34" s="99">
        <v>42563</v>
      </c>
      <c r="X34" s="103">
        <v>43.32</v>
      </c>
      <c r="Y34" s="103">
        <v>44.22</v>
      </c>
      <c r="Z34" s="103">
        <v>43.28</v>
      </c>
      <c r="AA34" s="103">
        <v>44.17</v>
      </c>
      <c r="AB34" s="101">
        <v>2839600</v>
      </c>
      <c r="AC34" s="100">
        <v>43.75</v>
      </c>
      <c r="AD34" s="2">
        <f t="shared" si="0"/>
        <v>0.93999999999999773</v>
      </c>
      <c r="AE34" s="138">
        <f t="shared" si="1"/>
        <v>2.6272577996715896E-2</v>
      </c>
    </row>
    <row r="35" spans="1:31" x14ac:dyDescent="0.25">
      <c r="A35" s="385"/>
      <c r="B35" s="384"/>
      <c r="C35" s="385"/>
      <c r="D35" s="386"/>
      <c r="E35" s="386"/>
      <c r="F35" s="386"/>
      <c r="G35" s="384"/>
      <c r="H35" s="389"/>
      <c r="I35" s="385"/>
      <c r="J35" s="386"/>
      <c r="K35" s="405"/>
      <c r="L35" s="385"/>
      <c r="M35" s="385"/>
      <c r="W35" s="99">
        <v>42562</v>
      </c>
      <c r="X35" s="103">
        <v>42.72</v>
      </c>
      <c r="Y35" s="103">
        <v>43.11</v>
      </c>
      <c r="Z35" s="103">
        <v>42.48</v>
      </c>
      <c r="AA35" s="103">
        <v>43.03</v>
      </c>
      <c r="AB35" s="101">
        <v>1988600</v>
      </c>
      <c r="AC35" s="100">
        <v>42.63</v>
      </c>
      <c r="AD35" s="2">
        <f t="shared" si="0"/>
        <v>0.63000000000000256</v>
      </c>
      <c r="AE35" s="138">
        <f t="shared" si="1"/>
        <v>6.6115702479339067E-3</v>
      </c>
    </row>
    <row r="36" spans="1:31" x14ac:dyDescent="0.25">
      <c r="A36" s="385"/>
      <c r="B36" s="385"/>
      <c r="C36" s="385"/>
      <c r="D36" s="385"/>
      <c r="E36" s="385"/>
      <c r="F36" s="385"/>
      <c r="G36" s="385"/>
      <c r="H36" s="389"/>
      <c r="I36" s="385"/>
      <c r="J36" s="385"/>
      <c r="K36" s="385"/>
      <c r="L36" s="385"/>
      <c r="M36" s="385"/>
      <c r="W36" s="99">
        <v>42559</v>
      </c>
      <c r="X36" s="103">
        <v>42.27</v>
      </c>
      <c r="Y36" s="103">
        <v>42.86</v>
      </c>
      <c r="Z36" s="103">
        <v>42.2</v>
      </c>
      <c r="AA36" s="103">
        <v>42.75</v>
      </c>
      <c r="AB36" s="101">
        <v>2274500</v>
      </c>
      <c r="AC36" s="100">
        <v>42.35</v>
      </c>
      <c r="AD36" s="2">
        <f t="shared" si="0"/>
        <v>0.65999999999999659</v>
      </c>
      <c r="AE36" s="138">
        <f t="shared" si="1"/>
        <v>2.0236087689713411E-2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42558</v>
      </c>
      <c r="X37" s="103">
        <v>41.95</v>
      </c>
      <c r="Y37" s="103">
        <v>42.48</v>
      </c>
      <c r="Z37" s="103">
        <v>41.67</v>
      </c>
      <c r="AA37" s="103">
        <v>41.9</v>
      </c>
      <c r="AB37" s="101">
        <v>2317000</v>
      </c>
      <c r="AC37" s="100">
        <v>41.51</v>
      </c>
      <c r="AD37" s="2">
        <f t="shared" si="0"/>
        <v>0.80999999999999517</v>
      </c>
      <c r="AE37" s="138">
        <f t="shared" si="1"/>
        <v>-1.4433485686793368E-3</v>
      </c>
    </row>
    <row r="38" spans="1:31" x14ac:dyDescent="0.25">
      <c r="A38" s="385"/>
      <c r="B38" s="385"/>
      <c r="C38" s="385"/>
      <c r="D38" s="385"/>
      <c r="E38" s="385"/>
      <c r="F38" s="385"/>
      <c r="G38" s="385"/>
      <c r="H38" s="389"/>
      <c r="I38" s="385"/>
      <c r="J38" s="385"/>
      <c r="K38" s="385"/>
      <c r="L38" s="385"/>
      <c r="M38" s="385"/>
      <c r="W38" s="99">
        <v>42557</v>
      </c>
      <c r="X38" s="103">
        <v>41.69</v>
      </c>
      <c r="Y38" s="103">
        <v>42</v>
      </c>
      <c r="Z38" s="103">
        <v>41.08</v>
      </c>
      <c r="AA38" s="103">
        <v>41.96</v>
      </c>
      <c r="AB38" s="101">
        <v>3467400</v>
      </c>
      <c r="AC38" s="100">
        <v>41.57</v>
      </c>
      <c r="AD38" s="2">
        <f t="shared" si="0"/>
        <v>0.92000000000000171</v>
      </c>
      <c r="AE38" s="138">
        <f t="shared" si="1"/>
        <v>4.8344210780759678E-3</v>
      </c>
    </row>
    <row r="39" spans="1:31" x14ac:dyDescent="0.25">
      <c r="W39" s="99">
        <v>42556</v>
      </c>
      <c r="X39" s="103">
        <v>42.3</v>
      </c>
      <c r="Y39" s="103">
        <v>42.42</v>
      </c>
      <c r="Z39" s="103">
        <v>41.53</v>
      </c>
      <c r="AA39" s="103">
        <v>41.76</v>
      </c>
      <c r="AB39" s="101">
        <v>1822800</v>
      </c>
      <c r="AC39" s="100">
        <v>41.37</v>
      </c>
      <c r="AD39" s="2">
        <f t="shared" si="0"/>
        <v>0.89000000000000057</v>
      </c>
      <c r="AE39" s="138">
        <f t="shared" si="1"/>
        <v>-2.221696998345557E-2</v>
      </c>
    </row>
    <row r="40" spans="1:31" ht="20.25" thickBot="1" x14ac:dyDescent="0.35">
      <c r="O40" s="535" t="s">
        <v>78</v>
      </c>
      <c r="P40" s="535"/>
      <c r="W40" s="99">
        <v>42552</v>
      </c>
      <c r="X40" s="103">
        <v>42.7</v>
      </c>
      <c r="Y40" s="103">
        <v>42.82</v>
      </c>
      <c r="Z40" s="103">
        <v>42.19</v>
      </c>
      <c r="AA40" s="103">
        <v>42.71</v>
      </c>
      <c r="AB40" s="101">
        <v>1943800</v>
      </c>
      <c r="AC40" s="100">
        <v>42.31</v>
      </c>
      <c r="AD40" s="2">
        <f t="shared" si="0"/>
        <v>0.63000000000000256</v>
      </c>
      <c r="AE40" s="138">
        <f t="shared" si="1"/>
        <v>7.8608861362554627E-3</v>
      </c>
    </row>
    <row r="41" spans="1:31" ht="15.75" thickTop="1" x14ac:dyDescent="0.25">
      <c r="O41" s="83">
        <v>1.1000000000000001</v>
      </c>
      <c r="P41" s="83">
        <f>O41*$Q$4</f>
        <v>51.216000000000008</v>
      </c>
      <c r="Q41" s="2"/>
      <c r="W41" s="99">
        <v>42551</v>
      </c>
      <c r="X41" s="103">
        <v>41.31</v>
      </c>
      <c r="Y41" s="103">
        <v>42.38</v>
      </c>
      <c r="Z41" s="103">
        <v>41</v>
      </c>
      <c r="AA41" s="103">
        <v>42.38</v>
      </c>
      <c r="AB41" s="101">
        <v>3105000</v>
      </c>
      <c r="AC41" s="100">
        <v>41.98</v>
      </c>
      <c r="AD41" s="2">
        <f t="shared" si="0"/>
        <v>1.3800000000000026</v>
      </c>
      <c r="AE41" s="138">
        <f t="shared" si="1"/>
        <v>2.9426189308484396E-2</v>
      </c>
    </row>
    <row r="42" spans="1:31" ht="20.25" thickBot="1" x14ac:dyDescent="0.35">
      <c r="O42" s="83">
        <v>1.0900000000000001</v>
      </c>
      <c r="P42" s="83">
        <f t="shared" ref="P42:P61" si="2">O42*$Q$4</f>
        <v>50.750400000000006</v>
      </c>
      <c r="Q42" s="2"/>
      <c r="T42" s="91" t="s">
        <v>113</v>
      </c>
      <c r="W42" s="99">
        <v>42550</v>
      </c>
      <c r="X42" s="103">
        <v>40.83</v>
      </c>
      <c r="Y42" s="103">
        <v>41.34</v>
      </c>
      <c r="Z42" s="103">
        <v>40.630000000000003</v>
      </c>
      <c r="AA42" s="103">
        <v>41.17</v>
      </c>
      <c r="AB42" s="101">
        <v>2300700</v>
      </c>
      <c r="AC42" s="100">
        <v>40.78</v>
      </c>
      <c r="AD42" s="2">
        <f t="shared" si="0"/>
        <v>0.71000000000000085</v>
      </c>
      <c r="AE42" s="138">
        <f t="shared" si="1"/>
        <v>2.2567703109327875E-2</v>
      </c>
    </row>
    <row r="43" spans="1:31" ht="15.75" thickTop="1" x14ac:dyDescent="0.25">
      <c r="O43" s="83">
        <v>1.08</v>
      </c>
      <c r="P43" s="83">
        <f t="shared" si="2"/>
        <v>50.284800000000004</v>
      </c>
      <c r="Q43" s="2"/>
      <c r="T43" s="97" t="s">
        <v>98</v>
      </c>
      <c r="U43" s="98">
        <v>46.96</v>
      </c>
      <c r="W43" s="99">
        <v>42549</v>
      </c>
      <c r="X43" s="103">
        <v>40</v>
      </c>
      <c r="Y43" s="103">
        <v>40.270000000000003</v>
      </c>
      <c r="Z43" s="103">
        <v>39.51</v>
      </c>
      <c r="AA43" s="103">
        <v>40.26</v>
      </c>
      <c r="AB43" s="101">
        <v>2858200</v>
      </c>
      <c r="AC43" s="100">
        <v>39.880000000000003</v>
      </c>
      <c r="AD43" s="2">
        <f t="shared" si="0"/>
        <v>0.76000000000000512</v>
      </c>
      <c r="AE43" s="138">
        <f t="shared" si="1"/>
        <v>1.553348612172134E-2</v>
      </c>
    </row>
    <row r="44" spans="1:31" x14ac:dyDescent="0.25">
      <c r="O44" s="83">
        <v>1.07</v>
      </c>
      <c r="P44" s="83">
        <f t="shared" si="2"/>
        <v>49.819200000000002</v>
      </c>
      <c r="Q44" s="2"/>
      <c r="T44" s="87" t="s">
        <v>99</v>
      </c>
      <c r="U44" s="88">
        <v>47</v>
      </c>
      <c r="W44" s="99">
        <v>42548</v>
      </c>
      <c r="X44" s="103">
        <v>41</v>
      </c>
      <c r="Y44" s="103">
        <v>41.07</v>
      </c>
      <c r="Z44" s="103">
        <v>39.24</v>
      </c>
      <c r="AA44" s="103">
        <v>39.64</v>
      </c>
      <c r="AB44" s="101">
        <v>4015400</v>
      </c>
      <c r="AC44" s="100">
        <v>39.270000000000003</v>
      </c>
      <c r="AD44" s="2">
        <f t="shared" si="0"/>
        <v>1.8299999999999983</v>
      </c>
      <c r="AE44" s="138">
        <f t="shared" si="1"/>
        <v>-4.1727672035138941E-2</v>
      </c>
    </row>
    <row r="45" spans="1:31" x14ac:dyDescent="0.25">
      <c r="O45" s="83">
        <v>1.06</v>
      </c>
      <c r="P45" s="83">
        <f t="shared" si="2"/>
        <v>49.353600000000007</v>
      </c>
      <c r="Q45" s="2"/>
      <c r="T45" s="87" t="s">
        <v>100</v>
      </c>
      <c r="U45" s="88" t="s">
        <v>433</v>
      </c>
      <c r="W45" s="99">
        <v>42545</v>
      </c>
      <c r="X45" s="103">
        <v>41.52</v>
      </c>
      <c r="Y45" s="103">
        <v>42.38</v>
      </c>
      <c r="Z45" s="103">
        <v>41.25</v>
      </c>
      <c r="AA45" s="103">
        <v>41.37</v>
      </c>
      <c r="AB45" s="101">
        <v>9585800</v>
      </c>
      <c r="AC45" s="100">
        <v>40.98</v>
      </c>
      <c r="AD45" s="2">
        <f t="shared" si="0"/>
        <v>1.1300000000000026</v>
      </c>
      <c r="AE45" s="138">
        <f t="shared" si="1"/>
        <v>-4.4309701492537434E-2</v>
      </c>
    </row>
    <row r="46" spans="1:31" x14ac:dyDescent="0.25">
      <c r="O46" s="83">
        <v>1.05</v>
      </c>
      <c r="P46" s="83">
        <f t="shared" si="2"/>
        <v>48.888000000000005</v>
      </c>
      <c r="Q46" s="2"/>
      <c r="T46" s="87" t="s">
        <v>101</v>
      </c>
      <c r="U46" s="88" t="s">
        <v>434</v>
      </c>
      <c r="W46" s="99">
        <v>42544</v>
      </c>
      <c r="X46" s="103">
        <v>43.02</v>
      </c>
      <c r="Y46" s="103">
        <v>43.29</v>
      </c>
      <c r="Z46" s="103">
        <v>42.88</v>
      </c>
      <c r="AA46" s="103">
        <v>43.29</v>
      </c>
      <c r="AB46" s="101">
        <v>1582600</v>
      </c>
      <c r="AC46" s="100">
        <v>42.88</v>
      </c>
      <c r="AD46" s="2">
        <f t="shared" si="0"/>
        <v>0.40999999999999659</v>
      </c>
      <c r="AE46" s="138">
        <f t="shared" si="1"/>
        <v>2.1682153919466485E-2</v>
      </c>
    </row>
    <row r="47" spans="1:31" x14ac:dyDescent="0.25">
      <c r="O47" s="83">
        <v>1.04</v>
      </c>
      <c r="P47" s="83">
        <f t="shared" si="2"/>
        <v>48.422400000000003</v>
      </c>
      <c r="Q47" s="2"/>
      <c r="T47" s="87" t="s">
        <v>102</v>
      </c>
      <c r="U47" s="88">
        <v>47.81</v>
      </c>
      <c r="W47" s="99">
        <v>42543</v>
      </c>
      <c r="X47" s="103">
        <v>42.53</v>
      </c>
      <c r="Y47" s="103">
        <v>42.69</v>
      </c>
      <c r="Z47" s="103">
        <v>42.37</v>
      </c>
      <c r="AA47" s="103">
        <v>42.37</v>
      </c>
      <c r="AB47" s="101">
        <v>1579100</v>
      </c>
      <c r="AC47" s="100">
        <v>41.97</v>
      </c>
      <c r="AD47" s="2">
        <f t="shared" si="0"/>
        <v>0.32000000000000028</v>
      </c>
      <c r="AE47" s="138">
        <f t="shared" si="1"/>
        <v>-1.9024970273483488E-3</v>
      </c>
    </row>
    <row r="48" spans="1:31" x14ac:dyDescent="0.25">
      <c r="O48" s="83">
        <v>1.03</v>
      </c>
      <c r="P48" s="83">
        <f t="shared" si="2"/>
        <v>47.956800000000001</v>
      </c>
      <c r="Q48" s="2"/>
      <c r="T48" s="87" t="s">
        <v>103</v>
      </c>
      <c r="U48" s="88">
        <v>1.51929</v>
      </c>
      <c r="W48" s="99">
        <v>42542</v>
      </c>
      <c r="X48" s="103">
        <v>42.85</v>
      </c>
      <c r="Y48" s="103">
        <v>42.87</v>
      </c>
      <c r="Z48" s="103">
        <v>42.43</v>
      </c>
      <c r="AA48" s="103">
        <v>42.45</v>
      </c>
      <c r="AB48" s="101">
        <v>1729200</v>
      </c>
      <c r="AC48" s="100">
        <v>42.05</v>
      </c>
      <c r="AD48" s="2">
        <f t="shared" si="0"/>
        <v>0.43999999999999773</v>
      </c>
      <c r="AE48" s="138">
        <f t="shared" si="1"/>
        <v>-5.439924314096567E-3</v>
      </c>
    </row>
    <row r="49" spans="15:31" x14ac:dyDescent="0.25">
      <c r="O49" s="83">
        <v>1.02</v>
      </c>
      <c r="P49" s="83">
        <f t="shared" si="2"/>
        <v>47.491200000000006</v>
      </c>
      <c r="Q49" s="2"/>
      <c r="T49" s="87" t="s">
        <v>104</v>
      </c>
      <c r="U49" s="89" t="s">
        <v>331</v>
      </c>
      <c r="W49" s="99">
        <v>42541</v>
      </c>
      <c r="X49" s="103">
        <v>42.45</v>
      </c>
      <c r="Y49" s="103">
        <v>43.11</v>
      </c>
      <c r="Z49" s="103">
        <v>42.42</v>
      </c>
      <c r="AA49" s="103">
        <v>42.68</v>
      </c>
      <c r="AB49" s="101">
        <v>2188300</v>
      </c>
      <c r="AC49" s="100">
        <v>42.28</v>
      </c>
      <c r="AD49" s="2">
        <f t="shared" si="0"/>
        <v>0.68999999999999773</v>
      </c>
      <c r="AE49" s="138">
        <f t="shared" si="1"/>
        <v>1.7079624729372078E-2</v>
      </c>
    </row>
    <row r="50" spans="15:31" x14ac:dyDescent="0.25">
      <c r="O50" s="83">
        <v>1.01</v>
      </c>
      <c r="P50" s="83">
        <f t="shared" si="2"/>
        <v>47.025600000000004</v>
      </c>
      <c r="Q50" s="2"/>
      <c r="T50" s="87"/>
      <c r="U50" s="88"/>
      <c r="W50" s="99">
        <v>42538</v>
      </c>
      <c r="X50" s="103">
        <v>41.72</v>
      </c>
      <c r="Y50" s="103">
        <v>42.04</v>
      </c>
      <c r="Z50" s="103">
        <v>41.45</v>
      </c>
      <c r="AA50" s="103">
        <v>41.96</v>
      </c>
      <c r="AB50" s="101">
        <v>2809500</v>
      </c>
      <c r="AC50" s="100">
        <v>41.57</v>
      </c>
      <c r="AD50" s="2">
        <f t="shared" si="0"/>
        <v>0.58999999999999631</v>
      </c>
      <c r="AE50" s="138">
        <f t="shared" si="1"/>
        <v>5.5636187711658458E-3</v>
      </c>
    </row>
    <row r="51" spans="15:31" x14ac:dyDescent="0.25">
      <c r="O51" s="83">
        <v>1</v>
      </c>
      <c r="P51" s="83">
        <f t="shared" si="2"/>
        <v>46.56</v>
      </c>
      <c r="Q51" s="2"/>
      <c r="T51" s="87" t="s">
        <v>105</v>
      </c>
      <c r="U51" s="88" t="s">
        <v>435</v>
      </c>
      <c r="W51" s="99">
        <v>42537</v>
      </c>
      <c r="X51" s="103">
        <v>41.37</v>
      </c>
      <c r="Y51" s="103">
        <v>41.76</v>
      </c>
      <c r="Z51" s="103">
        <v>40.89</v>
      </c>
      <c r="AA51" s="103">
        <v>41.73</v>
      </c>
      <c r="AB51" s="101">
        <v>2799700</v>
      </c>
      <c r="AC51" s="100">
        <v>41.34</v>
      </c>
      <c r="AD51" s="2">
        <f t="shared" si="0"/>
        <v>0.86999999999999744</v>
      </c>
      <c r="AE51" s="138">
        <f t="shared" si="1"/>
        <v>3.3980582524271163E-3</v>
      </c>
    </row>
    <row r="52" spans="15:31" x14ac:dyDescent="0.25">
      <c r="O52" s="83">
        <v>0.99</v>
      </c>
      <c r="P52" s="83">
        <f t="shared" si="2"/>
        <v>46.0944</v>
      </c>
      <c r="Q52" s="2"/>
      <c r="T52" s="87" t="s">
        <v>106</v>
      </c>
      <c r="U52" s="88" t="s">
        <v>366</v>
      </c>
      <c r="W52" s="99">
        <v>42536</v>
      </c>
      <c r="X52" s="103">
        <v>42</v>
      </c>
      <c r="Y52" s="103">
        <v>42.26</v>
      </c>
      <c r="Z52" s="103">
        <v>41.55</v>
      </c>
      <c r="AA52" s="103">
        <v>41.59</v>
      </c>
      <c r="AB52" s="101">
        <v>2386000</v>
      </c>
      <c r="AC52" s="100">
        <v>41.2</v>
      </c>
      <c r="AD52" s="2">
        <f t="shared" si="0"/>
        <v>0.71000000000000085</v>
      </c>
      <c r="AE52" s="138">
        <f t="shared" si="1"/>
        <v>-3.3865505563619447E-3</v>
      </c>
    </row>
    <row r="53" spans="15:31" x14ac:dyDescent="0.25">
      <c r="O53" s="83">
        <v>0.98</v>
      </c>
      <c r="P53" s="83">
        <f t="shared" si="2"/>
        <v>45.628799999999998</v>
      </c>
      <c r="Q53" s="2"/>
      <c r="T53" s="87" t="s">
        <v>107</v>
      </c>
      <c r="U53" s="90">
        <v>1478464</v>
      </c>
      <c r="W53" s="99">
        <v>42535</v>
      </c>
      <c r="X53" s="103">
        <v>41.78</v>
      </c>
      <c r="Y53" s="103">
        <v>41.94</v>
      </c>
      <c r="Z53" s="103">
        <v>41.31</v>
      </c>
      <c r="AA53" s="103">
        <v>41.73</v>
      </c>
      <c r="AB53" s="101">
        <v>3014400</v>
      </c>
      <c r="AC53" s="100">
        <v>41.34</v>
      </c>
      <c r="AD53" s="2">
        <f t="shared" si="0"/>
        <v>0.62999999999999545</v>
      </c>
      <c r="AE53" s="138">
        <f t="shared" si="1"/>
        <v>-6.0110603510459271E-3</v>
      </c>
    </row>
    <row r="54" spans="15:31" x14ac:dyDescent="0.25">
      <c r="O54" s="83">
        <v>0.97</v>
      </c>
      <c r="P54" s="83">
        <f t="shared" si="2"/>
        <v>45.163200000000003</v>
      </c>
      <c r="T54" s="87" t="s">
        <v>110</v>
      </c>
      <c r="U54" s="90">
        <v>2591770</v>
      </c>
      <c r="W54" s="99">
        <v>42534</v>
      </c>
      <c r="X54" s="103">
        <v>42.92</v>
      </c>
      <c r="Y54" s="103">
        <v>43.04</v>
      </c>
      <c r="Z54" s="103">
        <v>41.93</v>
      </c>
      <c r="AA54" s="103">
        <v>41.98</v>
      </c>
      <c r="AB54" s="101">
        <v>3483500</v>
      </c>
      <c r="AC54" s="100">
        <v>41.59</v>
      </c>
      <c r="AD54" s="2">
        <f t="shared" si="0"/>
        <v>1.1099999999999994</v>
      </c>
      <c r="AE54" s="138">
        <f t="shared" si="1"/>
        <v>-2.7589431844750933E-2</v>
      </c>
    </row>
    <row r="55" spans="15:31" x14ac:dyDescent="0.25">
      <c r="O55" s="83">
        <v>0.96</v>
      </c>
      <c r="P55" s="83">
        <f t="shared" si="2"/>
        <v>44.697600000000001</v>
      </c>
      <c r="T55" s="87" t="s">
        <v>108</v>
      </c>
      <c r="U55" s="88" t="s">
        <v>436</v>
      </c>
      <c r="W55" s="99">
        <v>42531</v>
      </c>
      <c r="X55" s="103">
        <v>43.35</v>
      </c>
      <c r="Y55" s="103">
        <v>43.39</v>
      </c>
      <c r="Z55" s="103">
        <v>42.9</v>
      </c>
      <c r="AA55" s="103">
        <v>43.18</v>
      </c>
      <c r="AB55" s="101">
        <v>2337200</v>
      </c>
      <c r="AC55" s="100">
        <v>42.77</v>
      </c>
      <c r="AD55" s="2">
        <f t="shared" si="0"/>
        <v>0.49000000000000199</v>
      </c>
      <c r="AE55" s="138">
        <f t="shared" si="1"/>
        <v>-9.4951366373320356E-3</v>
      </c>
    </row>
    <row r="56" spans="15:31" x14ac:dyDescent="0.25">
      <c r="O56" s="83">
        <v>0.95</v>
      </c>
      <c r="P56" s="83">
        <f t="shared" si="2"/>
        <v>44.231999999999999</v>
      </c>
      <c r="T56" s="87" t="s">
        <v>111</v>
      </c>
      <c r="U56" s="88">
        <v>25.22</v>
      </c>
      <c r="W56" s="99">
        <v>42530</v>
      </c>
      <c r="X56" s="103">
        <v>43.9</v>
      </c>
      <c r="Y56" s="103">
        <v>43.99</v>
      </c>
      <c r="Z56" s="103">
        <v>43.36</v>
      </c>
      <c r="AA56" s="103">
        <v>43.59</v>
      </c>
      <c r="AB56" s="101">
        <v>1661100</v>
      </c>
      <c r="AC56" s="100">
        <v>43.18</v>
      </c>
      <c r="AD56" s="2">
        <f t="shared" si="0"/>
        <v>0.63000000000000256</v>
      </c>
      <c r="AE56" s="138">
        <f t="shared" si="1"/>
        <v>-1.189931350114426E-2</v>
      </c>
    </row>
    <row r="57" spans="15:31" x14ac:dyDescent="0.25">
      <c r="O57" s="83">
        <v>0.94</v>
      </c>
      <c r="P57" s="83">
        <f t="shared" si="2"/>
        <v>43.766399999999997</v>
      </c>
      <c r="T57" s="87" t="s">
        <v>112</v>
      </c>
      <c r="U57" s="88">
        <v>1.85</v>
      </c>
      <c r="W57" s="99">
        <v>42529</v>
      </c>
      <c r="X57" s="103">
        <v>44.12</v>
      </c>
      <c r="Y57" s="103">
        <v>44.18</v>
      </c>
      <c r="Z57" s="103">
        <v>43.87</v>
      </c>
      <c r="AA57" s="103">
        <v>44.11</v>
      </c>
      <c r="AB57" s="101">
        <v>2899800</v>
      </c>
      <c r="AC57" s="100">
        <v>43.7</v>
      </c>
      <c r="AD57" s="2">
        <f t="shared" si="0"/>
        <v>0.31000000000000227</v>
      </c>
      <c r="AE57" s="138">
        <f t="shared" si="1"/>
        <v>4.5977011494253706E-3</v>
      </c>
    </row>
    <row r="58" spans="15:31" x14ac:dyDescent="0.25">
      <c r="O58" s="83">
        <v>0.93</v>
      </c>
      <c r="P58" s="83">
        <f t="shared" si="2"/>
        <v>43.300800000000002</v>
      </c>
      <c r="T58" s="87" t="s">
        <v>109</v>
      </c>
      <c r="U58" s="88" t="s">
        <v>386</v>
      </c>
      <c r="W58" s="99">
        <v>42528</v>
      </c>
      <c r="X58" s="103">
        <v>43.29</v>
      </c>
      <c r="Y58" s="103">
        <v>44.11</v>
      </c>
      <c r="Z58" s="103">
        <v>43.2</v>
      </c>
      <c r="AA58" s="103">
        <v>43.91</v>
      </c>
      <c r="AB58" s="101">
        <v>3864500</v>
      </c>
      <c r="AC58" s="100">
        <v>43.5</v>
      </c>
      <c r="AD58" s="2">
        <f t="shared" si="0"/>
        <v>0.90999999999999659</v>
      </c>
      <c r="AE58" s="138">
        <f t="shared" si="1"/>
        <v>1.8496839147740474E-2</v>
      </c>
    </row>
    <row r="59" spans="15:31" x14ac:dyDescent="0.25">
      <c r="O59" s="83">
        <v>0.92</v>
      </c>
      <c r="P59" s="83">
        <f t="shared" si="2"/>
        <v>42.835200000000007</v>
      </c>
      <c r="W59" s="99">
        <v>42527</v>
      </c>
      <c r="X59" s="103">
        <v>43</v>
      </c>
      <c r="Y59" s="103">
        <v>43.25</v>
      </c>
      <c r="Z59" s="103">
        <v>42.93</v>
      </c>
      <c r="AA59" s="103">
        <v>43.12</v>
      </c>
      <c r="AB59" s="101">
        <v>1945800</v>
      </c>
      <c r="AC59" s="100">
        <v>42.71</v>
      </c>
      <c r="AD59" s="2">
        <f t="shared" si="0"/>
        <v>0.32000000000000028</v>
      </c>
      <c r="AE59" s="138">
        <f t="shared" si="1"/>
        <v>4.2323066071008331E-3</v>
      </c>
    </row>
    <row r="60" spans="15:31" x14ac:dyDescent="0.25">
      <c r="O60" s="83">
        <v>0.91</v>
      </c>
      <c r="P60" s="83">
        <f t="shared" si="2"/>
        <v>42.369600000000005</v>
      </c>
      <c r="W60" s="99">
        <v>42524</v>
      </c>
      <c r="X60" s="103">
        <v>42.9</v>
      </c>
      <c r="Y60" s="103">
        <v>42.98</v>
      </c>
      <c r="Z60" s="103">
        <v>42.4</v>
      </c>
      <c r="AA60" s="103">
        <v>42.93</v>
      </c>
      <c r="AB60" s="101">
        <v>2868400</v>
      </c>
      <c r="AC60" s="100">
        <v>42.53</v>
      </c>
      <c r="AD60" s="2">
        <f t="shared" si="0"/>
        <v>0.57999999999999829</v>
      </c>
      <c r="AE60" s="138">
        <f t="shared" si="1"/>
        <v>7.0588235294111179E-4</v>
      </c>
    </row>
    <row r="61" spans="15:31" x14ac:dyDescent="0.25">
      <c r="O61" s="83">
        <v>0.9</v>
      </c>
      <c r="P61" s="83">
        <f t="shared" si="2"/>
        <v>41.904000000000003</v>
      </c>
      <c r="W61" s="99">
        <v>42523</v>
      </c>
      <c r="X61" s="103">
        <v>42.15</v>
      </c>
      <c r="Y61" s="103">
        <v>43.09</v>
      </c>
      <c r="Z61" s="103">
        <v>42.07</v>
      </c>
      <c r="AA61" s="103">
        <v>42.9</v>
      </c>
      <c r="AB61" s="101">
        <v>3181700</v>
      </c>
      <c r="AC61" s="100">
        <v>42.5</v>
      </c>
      <c r="AD61" s="2">
        <f t="shared" si="0"/>
        <v>1.0200000000000031</v>
      </c>
      <c r="AE61" s="138">
        <f t="shared" si="1"/>
        <v>1.8940302085830751E-2</v>
      </c>
    </row>
    <row r="62" spans="15:31" x14ac:dyDescent="0.25">
      <c r="W62" s="99">
        <v>42522</v>
      </c>
      <c r="X62" s="103">
        <v>41.95</v>
      </c>
      <c r="Y62" s="103">
        <v>42.12</v>
      </c>
      <c r="Z62" s="103">
        <v>41.7</v>
      </c>
      <c r="AA62" s="103">
        <v>42.11</v>
      </c>
      <c r="AB62" s="101">
        <v>1967900</v>
      </c>
      <c r="AC62" s="100">
        <v>41.71</v>
      </c>
      <c r="AD62" s="2">
        <f t="shared" si="0"/>
        <v>0.4199999999999946</v>
      </c>
      <c r="AE62" s="138">
        <f t="shared" si="1"/>
        <v>-1.1973180076627621E-3</v>
      </c>
    </row>
    <row r="63" spans="15:31" x14ac:dyDescent="0.25">
      <c r="W63" s="99">
        <v>42521</v>
      </c>
      <c r="X63" s="103">
        <v>42.3</v>
      </c>
      <c r="Y63" s="103">
        <v>42.5</v>
      </c>
      <c r="Z63" s="103">
        <v>41.79</v>
      </c>
      <c r="AA63" s="103">
        <v>42.16</v>
      </c>
      <c r="AB63" s="101">
        <v>2822000</v>
      </c>
      <c r="AC63" s="100">
        <v>41.76</v>
      </c>
      <c r="AD63" s="2">
        <f t="shared" si="0"/>
        <v>0.71000000000000085</v>
      </c>
      <c r="AE63" s="138">
        <f t="shared" si="1"/>
        <v>1.6790597265532448E-3</v>
      </c>
    </row>
    <row r="64" spans="15:31" x14ac:dyDescent="0.25">
      <c r="W64" s="99">
        <v>42517</v>
      </c>
      <c r="X64" s="103">
        <v>41.92</v>
      </c>
      <c r="Y64" s="103">
        <v>42.22</v>
      </c>
      <c r="Z64" s="103">
        <v>41.8</v>
      </c>
      <c r="AA64" s="103">
        <v>42.09</v>
      </c>
      <c r="AB64" s="101">
        <v>1625100</v>
      </c>
      <c r="AC64" s="100">
        <v>41.69</v>
      </c>
      <c r="AD64" s="2">
        <f t="shared" si="0"/>
        <v>0.42000000000000171</v>
      </c>
      <c r="AE64" s="138">
        <f t="shared" si="1"/>
        <v>5.7901085645355455E-3</v>
      </c>
    </row>
    <row r="65" spans="23:31" x14ac:dyDescent="0.25">
      <c r="W65" s="99">
        <v>42516</v>
      </c>
      <c r="X65" s="103">
        <v>42.11</v>
      </c>
      <c r="Y65" s="103">
        <v>42.26</v>
      </c>
      <c r="Z65" s="103">
        <v>41.71</v>
      </c>
      <c r="AA65" s="103">
        <v>41.84</v>
      </c>
      <c r="AB65" s="101">
        <v>2460600</v>
      </c>
      <c r="AC65" s="100">
        <v>41.45</v>
      </c>
      <c r="AD65" s="2">
        <f t="shared" si="0"/>
        <v>0.54999999999999716</v>
      </c>
      <c r="AE65" s="138">
        <f t="shared" si="1"/>
        <v>-6.7098011023243309E-3</v>
      </c>
    </row>
    <row r="66" spans="23:31" x14ac:dyDescent="0.25">
      <c r="W66" s="99">
        <v>42515</v>
      </c>
      <c r="X66" s="103">
        <v>41.18</v>
      </c>
      <c r="Y66" s="103">
        <v>42.42</v>
      </c>
      <c r="Z66" s="103">
        <v>41.18</v>
      </c>
      <c r="AA66" s="103">
        <v>42.13</v>
      </c>
      <c r="AB66" s="101">
        <v>4884300</v>
      </c>
      <c r="AC66" s="100">
        <v>41.73</v>
      </c>
      <c r="AD66" s="2">
        <f t="shared" si="0"/>
        <v>1.240000000000002</v>
      </c>
      <c r="AE66" s="138" t="e">
        <f t="shared" si="1"/>
        <v>#DIV/0!</v>
      </c>
    </row>
    <row r="67" spans="23:31" x14ac:dyDescent="0.25">
      <c r="W67" s="99">
        <v>42515</v>
      </c>
      <c r="X67" s="103" t="s">
        <v>237</v>
      </c>
      <c r="Y67" s="103"/>
      <c r="Z67" s="103"/>
      <c r="AA67" s="103"/>
      <c r="AB67" s="101"/>
      <c r="AC67" s="100"/>
      <c r="AD67" s="2">
        <f>Y67-Z67</f>
        <v>0</v>
      </c>
      <c r="AE67" s="138" t="e">
        <f>AC67/#REF!-1</f>
        <v>#REF!</v>
      </c>
    </row>
    <row r="68" spans="23:31" x14ac:dyDescent="0.25">
      <c r="W68" s="99">
        <v>42514</v>
      </c>
      <c r="X68" s="103">
        <v>41.24</v>
      </c>
      <c r="Y68" s="103">
        <v>41.54</v>
      </c>
      <c r="Z68" s="103">
        <v>41.14</v>
      </c>
      <c r="AA68" s="103">
        <v>41.42</v>
      </c>
      <c r="AB68" s="101">
        <v>2987700</v>
      </c>
      <c r="AC68" s="100">
        <v>40.590000000000003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42513</v>
      </c>
      <c r="X69" s="103">
        <v>40.53</v>
      </c>
      <c r="Y69" s="103">
        <v>41.52</v>
      </c>
      <c r="Z69" s="103">
        <v>40.49</v>
      </c>
      <c r="AA69" s="103">
        <v>40.93</v>
      </c>
      <c r="AB69" s="101">
        <v>3211100</v>
      </c>
      <c r="AC69" s="100">
        <v>40.11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42606</v>
      </c>
      <c r="X2" s="103">
        <v>35.32</v>
      </c>
      <c r="Y2" s="103">
        <v>35.409999999999997</v>
      </c>
      <c r="Z2" s="103">
        <v>35.020000000000003</v>
      </c>
      <c r="AA2" s="103">
        <v>35.15</v>
      </c>
      <c r="AB2" s="101">
        <v>16342200</v>
      </c>
      <c r="AC2" s="100">
        <v>35.15</v>
      </c>
      <c r="AD2" s="2">
        <f>Y2-Z2</f>
        <v>0.38999999999999346</v>
      </c>
      <c r="AE2" s="138">
        <f>AC2/AC3-1</f>
        <v>-7.0621468926553854E-3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35.15</v>
      </c>
      <c r="S3" s="115"/>
      <c r="T3" s="17"/>
      <c r="U3" s="17"/>
      <c r="V3" s="17"/>
      <c r="W3" s="99">
        <v>42605</v>
      </c>
      <c r="X3" s="103">
        <v>35.5</v>
      </c>
      <c r="Y3" s="103">
        <v>35.69</v>
      </c>
      <c r="Z3" s="103">
        <v>35.299999999999997</v>
      </c>
      <c r="AA3" s="103">
        <v>35.4</v>
      </c>
      <c r="AB3" s="101">
        <v>18306200</v>
      </c>
      <c r="AC3" s="100">
        <v>35.4</v>
      </c>
      <c r="AD3" s="2">
        <f t="shared" ref="AD3:AD66" si="0">Y3-Z3</f>
        <v>0.39000000000000057</v>
      </c>
      <c r="AE3" s="138">
        <f t="shared" ref="AE3:AE66" si="1">AC3/AC4-1</f>
        <v>1.1312217194570096E-3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35.15</v>
      </c>
      <c r="W4" s="99">
        <v>42604</v>
      </c>
      <c r="X4" s="103">
        <v>35.200000000000003</v>
      </c>
      <c r="Y4" s="103">
        <v>35.450000000000003</v>
      </c>
      <c r="Z4" s="103">
        <v>35.119999999999997</v>
      </c>
      <c r="AA4" s="103">
        <v>35.36</v>
      </c>
      <c r="AB4" s="101">
        <v>14941400</v>
      </c>
      <c r="AC4" s="100">
        <v>35.36</v>
      </c>
      <c r="AD4" s="2">
        <f t="shared" si="0"/>
        <v>0.3300000000000054</v>
      </c>
      <c r="AE4" s="138">
        <f t="shared" si="1"/>
        <v>3.4052213393869213E-3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42601</v>
      </c>
      <c r="X5" s="103">
        <v>34.840000000000003</v>
      </c>
      <c r="Y5" s="103">
        <v>35.270000000000003</v>
      </c>
      <c r="Z5" s="103">
        <v>34.74</v>
      </c>
      <c r="AA5" s="103">
        <v>35.24</v>
      </c>
      <c r="AB5" s="101">
        <v>16417600</v>
      </c>
      <c r="AC5" s="100">
        <v>35.24</v>
      </c>
      <c r="AD5" s="2">
        <f t="shared" si="0"/>
        <v>0.53000000000000114</v>
      </c>
      <c r="AE5" s="138">
        <f t="shared" si="1"/>
        <v>7.7209036316843171E-3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42600</v>
      </c>
      <c r="X6" s="103">
        <v>34.96</v>
      </c>
      <c r="Y6" s="103">
        <v>35.090000000000003</v>
      </c>
      <c r="Z6" s="103">
        <v>34.75</v>
      </c>
      <c r="AA6" s="103">
        <v>34.97</v>
      </c>
      <c r="AB6" s="101">
        <v>16085200</v>
      </c>
      <c r="AC6" s="100">
        <v>34.97</v>
      </c>
      <c r="AD6" s="2">
        <f t="shared" si="0"/>
        <v>0.34000000000000341</v>
      </c>
      <c r="AE6" s="138">
        <f t="shared" si="1"/>
        <v>-1.4277555682468135E-3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42599</v>
      </c>
      <c r="X7" s="103">
        <v>35.17</v>
      </c>
      <c r="Y7" s="103">
        <v>35.21</v>
      </c>
      <c r="Z7" s="103">
        <v>34.770000000000003</v>
      </c>
      <c r="AA7" s="103">
        <v>35.020000000000003</v>
      </c>
      <c r="AB7" s="101">
        <v>18221600</v>
      </c>
      <c r="AC7" s="100">
        <v>35.020000000000003</v>
      </c>
      <c r="AD7" s="2">
        <f t="shared" si="0"/>
        <v>0.43999999999999773</v>
      </c>
      <c r="AE7" s="138">
        <f t="shared" si="1"/>
        <v>-5.3961942629934256E-3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42598</v>
      </c>
      <c r="X8" s="103">
        <v>34.770000000000003</v>
      </c>
      <c r="Y8" s="103">
        <v>35.21</v>
      </c>
      <c r="Z8" s="103">
        <v>34.770000000000003</v>
      </c>
      <c r="AA8" s="103">
        <v>35.21</v>
      </c>
      <c r="AB8" s="101">
        <v>16320900</v>
      </c>
      <c r="AC8" s="100">
        <v>35.21</v>
      </c>
      <c r="AD8" s="2">
        <f t="shared" si="0"/>
        <v>0.43999999999999773</v>
      </c>
      <c r="AE8" s="138">
        <f t="shared" si="1"/>
        <v>8.5935262102549981E-3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225</v>
      </c>
      <c r="Q9" s="138">
        <f>IF(Q2=0, 0, Q8/Q6)</f>
        <v>0</v>
      </c>
      <c r="W9" s="99">
        <v>42597</v>
      </c>
      <c r="X9" s="103">
        <v>34.700000000000003</v>
      </c>
      <c r="Y9" s="103">
        <v>35.159999999999997</v>
      </c>
      <c r="Z9" s="103">
        <v>34.630000000000003</v>
      </c>
      <c r="AA9" s="103">
        <v>34.909999999999997</v>
      </c>
      <c r="AB9" s="101">
        <v>18931100</v>
      </c>
      <c r="AC9" s="100">
        <v>34.909999999999997</v>
      </c>
      <c r="AD9" s="2">
        <f t="shared" si="0"/>
        <v>0.52999999999999403</v>
      </c>
      <c r="AE9" s="138">
        <f t="shared" si="1"/>
        <v>9.8351171536013027E-3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224</v>
      </c>
      <c r="P10" s="34"/>
      <c r="Q10" s="2">
        <f>M33</f>
        <v>1407.5400000000009</v>
      </c>
      <c r="W10" s="99">
        <v>42594</v>
      </c>
      <c r="X10" s="103">
        <v>34.520000000000003</v>
      </c>
      <c r="Y10" s="103">
        <v>34.76</v>
      </c>
      <c r="Z10" s="103">
        <v>34.44</v>
      </c>
      <c r="AA10" s="103">
        <v>34.57</v>
      </c>
      <c r="AB10" s="101">
        <v>15708300</v>
      </c>
      <c r="AC10" s="100">
        <v>34.57</v>
      </c>
      <c r="AD10" s="2">
        <f t="shared" si="0"/>
        <v>0.32000000000000028</v>
      </c>
      <c r="AE10" s="138">
        <f t="shared" si="1"/>
        <v>-3.1718569780853079E-3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42593</v>
      </c>
      <c r="X11" s="103">
        <v>34.659999999999997</v>
      </c>
      <c r="Y11" s="103">
        <v>34.74</v>
      </c>
      <c r="Z11" s="103">
        <v>34.49</v>
      </c>
      <c r="AA11" s="103">
        <v>34.68</v>
      </c>
      <c r="AB11" s="101">
        <v>16364100</v>
      </c>
      <c r="AC11" s="100">
        <v>34.68</v>
      </c>
      <c r="AD11" s="2">
        <f t="shared" si="0"/>
        <v>0.25</v>
      </c>
      <c r="AE11" s="138">
        <f t="shared" si="1"/>
        <v>4.3440486533448119E-3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42592</v>
      </c>
      <c r="X12" s="103">
        <v>35</v>
      </c>
      <c r="Y12" s="103">
        <v>35</v>
      </c>
      <c r="Z12" s="103">
        <v>34.5</v>
      </c>
      <c r="AA12" s="103">
        <v>34.53</v>
      </c>
      <c r="AB12" s="101">
        <v>19579000</v>
      </c>
      <c r="AC12" s="100">
        <v>34.53</v>
      </c>
      <c r="AD12" s="2">
        <f t="shared" si="0"/>
        <v>0.5</v>
      </c>
      <c r="AE12" s="138">
        <f t="shared" si="1"/>
        <v>-1.1168384879725046E-2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42591</v>
      </c>
      <c r="X13" s="103">
        <v>35.04</v>
      </c>
      <c r="Y13" s="103">
        <v>35.159999999999997</v>
      </c>
      <c r="Z13" s="103">
        <v>34.840000000000003</v>
      </c>
      <c r="AA13" s="103">
        <v>34.92</v>
      </c>
      <c r="AB13" s="101">
        <v>12578900</v>
      </c>
      <c r="AC13" s="100">
        <v>34.92</v>
      </c>
      <c r="AD13" s="2">
        <f t="shared" si="0"/>
        <v>0.31999999999999318</v>
      </c>
      <c r="AE13" s="138">
        <f t="shared" si="1"/>
        <v>-3.424657534246478E-3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42590</v>
      </c>
      <c r="X14" s="103">
        <v>34.9</v>
      </c>
      <c r="Y14" s="103">
        <v>35.17</v>
      </c>
      <c r="Z14" s="103">
        <v>34.86</v>
      </c>
      <c r="AA14" s="103">
        <v>35.04</v>
      </c>
      <c r="AB14" s="101">
        <v>19497300</v>
      </c>
      <c r="AC14" s="100">
        <v>35.04</v>
      </c>
      <c r="AD14" s="2">
        <f t="shared" si="0"/>
        <v>0.31000000000000227</v>
      </c>
      <c r="AE14" s="138">
        <f t="shared" si="1"/>
        <v>1.7152658662094034E-3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42587</v>
      </c>
      <c r="X15" s="103">
        <v>34.799999999999997</v>
      </c>
      <c r="Y15" s="103">
        <v>35.130000000000003</v>
      </c>
      <c r="Z15" s="103">
        <v>34.700000000000003</v>
      </c>
      <c r="AA15" s="103">
        <v>34.979999999999997</v>
      </c>
      <c r="AB15" s="101">
        <v>20046200</v>
      </c>
      <c r="AC15" s="100">
        <v>34.979999999999997</v>
      </c>
      <c r="AD15" s="2">
        <f t="shared" si="0"/>
        <v>0.42999999999999972</v>
      </c>
      <c r="AE15" s="138">
        <f t="shared" si="1"/>
        <v>1.1567379988432602E-2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42586</v>
      </c>
      <c r="X16" s="103">
        <v>34.29</v>
      </c>
      <c r="Y16" s="103">
        <v>34.619999999999997</v>
      </c>
      <c r="Z16" s="103">
        <v>34.22</v>
      </c>
      <c r="AA16" s="103">
        <v>34.58</v>
      </c>
      <c r="AB16" s="101">
        <v>16362600</v>
      </c>
      <c r="AC16" s="100">
        <v>34.58</v>
      </c>
      <c r="AD16" s="2">
        <f t="shared" si="0"/>
        <v>0.39999999999999858</v>
      </c>
      <c r="AE16" s="138">
        <f t="shared" si="1"/>
        <v>9.6350364963502244E-3</v>
      </c>
    </row>
    <row r="17" spans="1:31" x14ac:dyDescent="0.25">
      <c r="W17" s="99">
        <v>42585</v>
      </c>
      <c r="X17" s="103">
        <v>34.1</v>
      </c>
      <c r="Y17" s="103">
        <v>34.28</v>
      </c>
      <c r="Z17" s="103">
        <v>33.99</v>
      </c>
      <c r="AA17" s="103">
        <v>34.25</v>
      </c>
      <c r="AB17" s="101">
        <v>18388800</v>
      </c>
      <c r="AC17" s="100">
        <v>34.25</v>
      </c>
      <c r="AD17" s="2">
        <f t="shared" si="0"/>
        <v>0.28999999999999915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42585</v>
      </c>
      <c r="X18" s="103" t="s">
        <v>142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42584</v>
      </c>
      <c r="X19" s="103">
        <v>34.81</v>
      </c>
      <c r="Y19" s="103">
        <v>34.869999999999997</v>
      </c>
      <c r="Z19" s="103">
        <v>34.33</v>
      </c>
      <c r="AA19" s="103">
        <v>34.56</v>
      </c>
      <c r="AB19" s="101">
        <v>20057300</v>
      </c>
      <c r="AC19" s="100">
        <v>34.299999999999997</v>
      </c>
      <c r="AD19" s="2">
        <f t="shared" si="0"/>
        <v>0.53999999999999915</v>
      </c>
      <c r="AE19" s="138">
        <f t="shared" si="1"/>
        <v>-8.383925990170793E-3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42583</v>
      </c>
      <c r="X20" s="103">
        <v>34.82</v>
      </c>
      <c r="Y20" s="103">
        <v>34.909999999999997</v>
      </c>
      <c r="Z20" s="103">
        <v>34.56</v>
      </c>
      <c r="AA20" s="103">
        <v>34.85</v>
      </c>
      <c r="AB20" s="101">
        <v>18824400</v>
      </c>
      <c r="AC20" s="100">
        <v>34.590000000000003</v>
      </c>
      <c r="AD20" s="2">
        <f t="shared" si="0"/>
        <v>0.34999999999999432</v>
      </c>
      <c r="AE20" s="138">
        <f t="shared" si="1"/>
        <v>-2.8901734104036514E-4</v>
      </c>
    </row>
    <row r="21" spans="1:31" x14ac:dyDescent="0.25">
      <c r="B21" s="193"/>
      <c r="C21" s="10"/>
      <c r="D21" s="40"/>
      <c r="E21" s="40"/>
      <c r="F21" s="40"/>
      <c r="G21" s="40"/>
      <c r="W21" s="99">
        <v>42580</v>
      </c>
      <c r="X21" s="103">
        <v>34.770000000000003</v>
      </c>
      <c r="Y21" s="103">
        <v>34.92</v>
      </c>
      <c r="Z21" s="103">
        <v>34.6</v>
      </c>
      <c r="AA21" s="103">
        <v>34.86</v>
      </c>
      <c r="AB21" s="101">
        <v>18171200</v>
      </c>
      <c r="AC21" s="100">
        <v>34.6</v>
      </c>
      <c r="AD21" s="2">
        <f t="shared" si="0"/>
        <v>0.32000000000000028</v>
      </c>
      <c r="AE21" s="138">
        <f t="shared" si="1"/>
        <v>2.6079397276153049E-3</v>
      </c>
    </row>
    <row r="22" spans="1:31" x14ac:dyDescent="0.25">
      <c r="B22" s="193"/>
      <c r="C22" s="10"/>
      <c r="D22" s="40"/>
      <c r="E22" s="40"/>
      <c r="F22" s="40"/>
      <c r="G22" s="40"/>
      <c r="W22" s="99">
        <v>42579</v>
      </c>
      <c r="X22" s="103">
        <v>34.83</v>
      </c>
      <c r="Y22" s="103">
        <v>34.83</v>
      </c>
      <c r="Z22" s="103">
        <v>34.520000000000003</v>
      </c>
      <c r="AA22" s="103">
        <v>34.770000000000003</v>
      </c>
      <c r="AB22" s="101">
        <v>21667400</v>
      </c>
      <c r="AC22" s="100">
        <v>34.51</v>
      </c>
      <c r="AD22" s="2">
        <f t="shared" si="0"/>
        <v>0.30999999999999517</v>
      </c>
      <c r="AE22" s="138">
        <f t="shared" si="1"/>
        <v>-1.7356089094591187E-3</v>
      </c>
    </row>
    <row r="23" spans="1:31" x14ac:dyDescent="0.25">
      <c r="B23" s="10"/>
      <c r="C23" s="10"/>
      <c r="D23" s="40"/>
      <c r="E23" s="40"/>
      <c r="F23" s="40"/>
      <c r="G23" s="40"/>
      <c r="W23" s="99">
        <v>42578</v>
      </c>
      <c r="X23" s="103">
        <v>35</v>
      </c>
      <c r="Y23" s="103">
        <v>35.28</v>
      </c>
      <c r="Z23" s="103">
        <v>34.630000000000003</v>
      </c>
      <c r="AA23" s="103">
        <v>34.83</v>
      </c>
      <c r="AB23" s="101">
        <v>23601800</v>
      </c>
      <c r="AC23" s="100">
        <v>34.57</v>
      </c>
      <c r="AD23" s="2">
        <f t="shared" si="0"/>
        <v>0.64999999999999858</v>
      </c>
      <c r="AE23" s="138">
        <f t="shared" si="1"/>
        <v>-7.4648291702554825E-3</v>
      </c>
    </row>
    <row r="24" spans="1:31" x14ac:dyDescent="0.25">
      <c r="B24" s="10"/>
      <c r="C24" s="10"/>
      <c r="D24" s="40"/>
      <c r="E24" s="40"/>
      <c r="F24" s="40"/>
      <c r="G24" s="40"/>
      <c r="W24" s="99">
        <v>42577</v>
      </c>
      <c r="X24" s="103">
        <v>34.75</v>
      </c>
      <c r="Y24" s="103">
        <v>35.229999999999997</v>
      </c>
      <c r="Z24" s="103">
        <v>34.700000000000003</v>
      </c>
      <c r="AA24" s="103">
        <v>35.090000000000003</v>
      </c>
      <c r="AB24" s="101">
        <v>29644400</v>
      </c>
      <c r="AC24" s="100">
        <v>34.83</v>
      </c>
      <c r="AD24" s="2">
        <f t="shared" si="0"/>
        <v>0.52999999999999403</v>
      </c>
      <c r="AE24" s="138">
        <f t="shared" si="1"/>
        <v>1.1617775196050006E-2</v>
      </c>
    </row>
    <row r="25" spans="1:31" x14ac:dyDescent="0.25">
      <c r="B25" s="10"/>
      <c r="C25" s="10"/>
      <c r="D25" s="40"/>
      <c r="E25" s="40"/>
      <c r="F25" s="40"/>
      <c r="G25" s="40"/>
      <c r="W25" s="99">
        <v>42576</v>
      </c>
      <c r="X25" s="103">
        <v>34.619999999999997</v>
      </c>
      <c r="Y25" s="103">
        <v>34.76</v>
      </c>
      <c r="Z25" s="103">
        <v>34.57</v>
      </c>
      <c r="AA25" s="103">
        <v>34.69</v>
      </c>
      <c r="AB25" s="101">
        <v>20277700</v>
      </c>
      <c r="AC25" s="100">
        <v>34.43</v>
      </c>
      <c r="AD25" s="2">
        <f t="shared" si="0"/>
        <v>0.18999999999999773</v>
      </c>
      <c r="AE25" s="138">
        <f t="shared" si="1"/>
        <v>8.7209302325574889E-4</v>
      </c>
    </row>
    <row r="26" spans="1:31" x14ac:dyDescent="0.25">
      <c r="B26" s="10"/>
      <c r="C26" s="10"/>
      <c r="D26" s="40"/>
      <c r="E26" s="40"/>
      <c r="F26" s="40"/>
      <c r="G26" s="40"/>
      <c r="W26" s="99">
        <v>42573</v>
      </c>
      <c r="X26" s="103">
        <v>34.380000000000003</v>
      </c>
      <c r="Y26" s="103">
        <v>34.700000000000003</v>
      </c>
      <c r="Z26" s="103">
        <v>34.26</v>
      </c>
      <c r="AA26" s="103">
        <v>34.659999999999997</v>
      </c>
      <c r="AB26" s="101">
        <v>33033700</v>
      </c>
      <c r="AC26" s="100">
        <v>34.4</v>
      </c>
      <c r="AD26" s="2">
        <f t="shared" si="0"/>
        <v>0.44000000000000483</v>
      </c>
      <c r="AE26" s="138">
        <f t="shared" si="1"/>
        <v>1.1467215524845642E-2</v>
      </c>
    </row>
    <row r="27" spans="1:31" x14ac:dyDescent="0.25">
      <c r="B27" s="10"/>
      <c r="C27" s="10"/>
      <c r="D27" s="40"/>
      <c r="E27" s="40"/>
      <c r="F27" s="40"/>
      <c r="G27" s="40"/>
      <c r="W27" s="99">
        <v>42572</v>
      </c>
      <c r="X27" s="103">
        <v>34.33</v>
      </c>
      <c r="Y27" s="103">
        <v>34.49</v>
      </c>
      <c r="Z27" s="103">
        <v>33.86</v>
      </c>
      <c r="AA27" s="103">
        <v>34.270000000000003</v>
      </c>
      <c r="AB27" s="101">
        <v>63708600</v>
      </c>
      <c r="AC27" s="100">
        <v>34.01</v>
      </c>
      <c r="AD27" s="2">
        <f t="shared" si="0"/>
        <v>0.63000000000000256</v>
      </c>
      <c r="AE27" s="138">
        <f t="shared" si="1"/>
        <v>-3.9808018068887785E-2</v>
      </c>
    </row>
    <row r="28" spans="1:31" x14ac:dyDescent="0.25">
      <c r="B28" s="10"/>
      <c r="C28" s="10"/>
      <c r="D28" s="40"/>
      <c r="E28" s="40"/>
      <c r="F28" s="40"/>
      <c r="G28" s="40"/>
      <c r="W28" s="99">
        <v>42571</v>
      </c>
      <c r="X28" s="103">
        <v>35.299999999999997</v>
      </c>
      <c r="Y28" s="103">
        <v>35.93</v>
      </c>
      <c r="Z28" s="103">
        <v>35.06</v>
      </c>
      <c r="AA28" s="103">
        <v>35.69</v>
      </c>
      <c r="AB28" s="101">
        <v>42994200</v>
      </c>
      <c r="AC28" s="100">
        <v>35.42</v>
      </c>
      <c r="AD28" s="2">
        <f t="shared" si="0"/>
        <v>0.86999999999999744</v>
      </c>
      <c r="AE28" s="138">
        <f t="shared" si="1"/>
        <v>1.5190599025508789E-2</v>
      </c>
    </row>
    <row r="29" spans="1:31" x14ac:dyDescent="0.25">
      <c r="B29" s="10"/>
      <c r="C29" s="10"/>
      <c r="D29" s="40"/>
      <c r="E29" s="40"/>
      <c r="F29" s="40"/>
      <c r="G29" s="40"/>
      <c r="W29" s="99">
        <v>42570</v>
      </c>
      <c r="X29" s="103">
        <v>34.89</v>
      </c>
      <c r="Y29" s="103">
        <v>35.159999999999997</v>
      </c>
      <c r="Z29" s="103">
        <v>34.85</v>
      </c>
      <c r="AA29" s="103">
        <v>35.15</v>
      </c>
      <c r="AB29" s="101">
        <v>20395400</v>
      </c>
      <c r="AC29" s="100">
        <v>34.89</v>
      </c>
      <c r="AD29" s="2">
        <f t="shared" si="0"/>
        <v>0.30999999999999517</v>
      </c>
      <c r="AE29" s="138">
        <f t="shared" si="1"/>
        <v>2.8743891922966558E-3</v>
      </c>
    </row>
    <row r="30" spans="1:31" x14ac:dyDescent="0.25">
      <c r="B30" s="10"/>
      <c r="C30" s="10"/>
      <c r="D30" s="40"/>
      <c r="E30" s="40"/>
      <c r="F30" s="40"/>
      <c r="G30" s="40"/>
      <c r="W30" s="99">
        <v>42569</v>
      </c>
      <c r="X30" s="103">
        <v>35.18</v>
      </c>
      <c r="Y30" s="103">
        <v>35.200000000000003</v>
      </c>
      <c r="Z30" s="103">
        <v>34.950000000000003</v>
      </c>
      <c r="AA30" s="103">
        <v>35.049999999999997</v>
      </c>
      <c r="AB30" s="101">
        <v>19347200</v>
      </c>
      <c r="AC30" s="100">
        <v>34.79</v>
      </c>
      <c r="AD30" s="2">
        <f t="shared" si="0"/>
        <v>0.25</v>
      </c>
      <c r="AE30" s="138">
        <f t="shared" si="1"/>
        <v>-5.7454754380936723E-4</v>
      </c>
    </row>
    <row r="31" spans="1:31" x14ac:dyDescent="0.25">
      <c r="W31" s="99">
        <v>42566</v>
      </c>
      <c r="X31" s="103">
        <v>35.26</v>
      </c>
      <c r="Y31" s="103">
        <v>35.29</v>
      </c>
      <c r="Z31" s="103">
        <v>34.9</v>
      </c>
      <c r="AA31" s="103">
        <v>35.07</v>
      </c>
      <c r="AB31" s="101">
        <v>23661900</v>
      </c>
      <c r="AC31" s="100">
        <v>34.81</v>
      </c>
      <c r="AD31" s="2">
        <f t="shared" si="0"/>
        <v>0.39000000000000057</v>
      </c>
      <c r="AE31" s="138">
        <f t="shared" si="1"/>
        <v>-3.7206639954205922E-3</v>
      </c>
    </row>
    <row r="32" spans="1:31" x14ac:dyDescent="0.25">
      <c r="W32" s="99">
        <v>42565</v>
      </c>
      <c r="X32" s="103">
        <v>35.130000000000003</v>
      </c>
      <c r="Y32" s="103">
        <v>35.299999999999997</v>
      </c>
      <c r="Z32" s="103">
        <v>34.96</v>
      </c>
      <c r="AA32" s="103">
        <v>35.200000000000003</v>
      </c>
      <c r="AB32" s="101">
        <v>25296400</v>
      </c>
      <c r="AC32" s="100">
        <v>34.94</v>
      </c>
      <c r="AD32" s="2">
        <f t="shared" si="0"/>
        <v>0.33999999999999631</v>
      </c>
      <c r="AE32" s="138">
        <f t="shared" si="1"/>
        <v>5.4676258992805149E-3</v>
      </c>
    </row>
    <row r="33" spans="1:31" x14ac:dyDescent="0.25">
      <c r="L33" t="s">
        <v>224</v>
      </c>
      <c r="M33" s="2">
        <f>M56+K56-F56</f>
        <v>1407.5400000000009</v>
      </c>
      <c r="W33" s="99">
        <v>42564</v>
      </c>
      <c r="X33" s="103">
        <v>35.04</v>
      </c>
      <c r="Y33" s="103">
        <v>35.25</v>
      </c>
      <c r="Z33" s="103">
        <v>34.880000000000003</v>
      </c>
      <c r="AA33" s="103">
        <v>35.01</v>
      </c>
      <c r="AB33" s="101">
        <v>29120900</v>
      </c>
      <c r="AC33" s="100">
        <v>34.75</v>
      </c>
      <c r="AD33" s="2">
        <f t="shared" si="0"/>
        <v>0.36999999999999744</v>
      </c>
      <c r="AE33" s="138">
        <f t="shared" si="1"/>
        <v>2.0184544405996707E-3</v>
      </c>
    </row>
    <row r="34" spans="1:31" x14ac:dyDescent="0.25">
      <c r="A34" s="264" t="s">
        <v>1</v>
      </c>
      <c r="B34" s="264" t="s">
        <v>2</v>
      </c>
      <c r="C34" s="264" t="s">
        <v>4</v>
      </c>
      <c r="D34" s="264" t="s">
        <v>5</v>
      </c>
      <c r="E34" s="264" t="s">
        <v>90</v>
      </c>
      <c r="F34" s="264" t="s">
        <v>60</v>
      </c>
      <c r="G34" s="264" t="s">
        <v>3</v>
      </c>
      <c r="H34" s="413" t="s">
        <v>6</v>
      </c>
      <c r="I34" s="264" t="s">
        <v>7</v>
      </c>
      <c r="J34" s="264" t="s">
        <v>89</v>
      </c>
      <c r="K34" s="264" t="s">
        <v>61</v>
      </c>
      <c r="L34" s="264" t="s">
        <v>77</v>
      </c>
      <c r="M34" s="264" t="s">
        <v>38</v>
      </c>
      <c r="W34" s="99">
        <v>42563</v>
      </c>
      <c r="X34" s="103">
        <v>34.51</v>
      </c>
      <c r="Y34" s="103">
        <v>34.97</v>
      </c>
      <c r="Z34" s="103">
        <v>34.479999999999997</v>
      </c>
      <c r="AA34" s="103">
        <v>34.94</v>
      </c>
      <c r="AB34" s="101">
        <v>28064100</v>
      </c>
      <c r="AC34" s="100">
        <v>34.68</v>
      </c>
      <c r="AD34" s="2">
        <f t="shared" si="0"/>
        <v>0.49000000000000199</v>
      </c>
      <c r="AE34" s="138">
        <f t="shared" si="1"/>
        <v>1.6412661195779776E-2</v>
      </c>
    </row>
    <row r="35" spans="1:31" x14ac:dyDescent="0.25">
      <c r="A35" s="266" t="s">
        <v>27</v>
      </c>
      <c r="B35" s="267">
        <v>42164</v>
      </c>
      <c r="C35" s="262">
        <v>30</v>
      </c>
      <c r="D35" s="263">
        <v>32.200000000000003</v>
      </c>
      <c r="E35" s="263">
        <v>0</v>
      </c>
      <c r="F35" s="263">
        <f>C35*D35</f>
        <v>966.00000000000011</v>
      </c>
      <c r="G35" s="414">
        <v>42247</v>
      </c>
      <c r="H35" s="415">
        <v>100</v>
      </c>
      <c r="I35" s="374">
        <v>27.15</v>
      </c>
      <c r="J35" s="374">
        <v>0.05</v>
      </c>
      <c r="K35" s="276">
        <f t="shared" ref="K35:K43" si="2">H35*I35-J35</f>
        <v>2714.95</v>
      </c>
      <c r="L35" s="267">
        <v>42248</v>
      </c>
      <c r="M35" s="374">
        <v>156</v>
      </c>
      <c r="W35" s="99">
        <v>42562</v>
      </c>
      <c r="X35" s="103">
        <v>34.04</v>
      </c>
      <c r="Y35" s="103">
        <v>34.5</v>
      </c>
      <c r="Z35" s="103">
        <v>34.04</v>
      </c>
      <c r="AA35" s="103">
        <v>34.380000000000003</v>
      </c>
      <c r="AB35" s="101">
        <v>23820700</v>
      </c>
      <c r="AC35" s="100">
        <v>34.119999999999997</v>
      </c>
      <c r="AD35" s="2">
        <f t="shared" si="0"/>
        <v>0.46000000000000085</v>
      </c>
      <c r="AE35" s="138">
        <f t="shared" si="1"/>
        <v>1.1262596324836949E-2</v>
      </c>
    </row>
    <row r="36" spans="1:31" x14ac:dyDescent="0.25">
      <c r="A36" s="269" t="s">
        <v>71</v>
      </c>
      <c r="B36" s="267">
        <v>42166</v>
      </c>
      <c r="C36" s="262">
        <v>30</v>
      </c>
      <c r="D36" s="263">
        <v>31.3</v>
      </c>
      <c r="E36" s="263">
        <v>0</v>
      </c>
      <c r="F36" s="263">
        <f t="shared" ref="F36:F43" si="3">C36*D36</f>
        <v>939</v>
      </c>
      <c r="G36" s="267">
        <v>42263</v>
      </c>
      <c r="H36" s="268">
        <v>230</v>
      </c>
      <c r="I36" s="262">
        <v>29.47</v>
      </c>
      <c r="J36" s="262">
        <v>0.12</v>
      </c>
      <c r="K36" s="276">
        <f t="shared" si="2"/>
        <v>6777.98</v>
      </c>
      <c r="L36" s="267">
        <v>42339</v>
      </c>
      <c r="M36" s="263">
        <v>26.4</v>
      </c>
      <c r="W36" s="99">
        <v>42559</v>
      </c>
      <c r="X36" s="103">
        <v>33.65</v>
      </c>
      <c r="Y36" s="103">
        <v>34</v>
      </c>
      <c r="Z36" s="103">
        <v>33.5</v>
      </c>
      <c r="AA36" s="103">
        <v>34</v>
      </c>
      <c r="AB36" s="101">
        <v>23341900</v>
      </c>
      <c r="AC36" s="100">
        <v>33.74</v>
      </c>
      <c r="AD36" s="2">
        <f t="shared" si="0"/>
        <v>0.5</v>
      </c>
      <c r="AE36" s="138">
        <f t="shared" si="1"/>
        <v>2.3975720789074284E-2</v>
      </c>
    </row>
    <row r="37" spans="1:31" x14ac:dyDescent="0.25">
      <c r="A37" s="262"/>
      <c r="B37" s="267">
        <v>42186</v>
      </c>
      <c r="C37" s="262">
        <v>140</v>
      </c>
      <c r="D37" s="263">
        <v>31.1</v>
      </c>
      <c r="E37" s="263">
        <v>0</v>
      </c>
      <c r="F37" s="263">
        <f t="shared" si="3"/>
        <v>4354</v>
      </c>
      <c r="G37" s="267">
        <v>42263</v>
      </c>
      <c r="H37" s="268">
        <v>180</v>
      </c>
      <c r="I37" s="262">
        <v>29.49</v>
      </c>
      <c r="J37" s="263">
        <v>0.09</v>
      </c>
      <c r="K37" s="374">
        <f t="shared" si="2"/>
        <v>5308.11</v>
      </c>
      <c r="L37" s="262"/>
      <c r="M37" s="262"/>
      <c r="W37" s="99">
        <v>42558</v>
      </c>
      <c r="X37" s="103">
        <v>32.96</v>
      </c>
      <c r="Y37" s="103">
        <v>33.549999999999997</v>
      </c>
      <c r="Z37" s="103">
        <v>32.96</v>
      </c>
      <c r="AA37" s="103">
        <v>33.200000000000003</v>
      </c>
      <c r="AB37" s="101">
        <v>26119400</v>
      </c>
      <c r="AC37" s="100">
        <v>32.950000000000003</v>
      </c>
      <c r="AD37" s="2">
        <f t="shared" si="0"/>
        <v>0.58999999999999631</v>
      </c>
      <c r="AE37" s="138">
        <f t="shared" si="1"/>
        <v>7.0293398533007867E-3</v>
      </c>
    </row>
    <row r="38" spans="1:31" x14ac:dyDescent="0.25">
      <c r="A38" s="262"/>
      <c r="B38" s="267">
        <v>42186</v>
      </c>
      <c r="C38" s="262">
        <v>200</v>
      </c>
      <c r="D38" s="263">
        <v>30.9</v>
      </c>
      <c r="E38" s="263">
        <v>0</v>
      </c>
      <c r="F38" s="263">
        <f t="shared" si="3"/>
        <v>6180</v>
      </c>
      <c r="G38" s="267">
        <v>42282</v>
      </c>
      <c r="H38" s="268">
        <v>710</v>
      </c>
      <c r="I38" s="262">
        <v>30.05</v>
      </c>
      <c r="J38" s="263">
        <v>0.39</v>
      </c>
      <c r="K38" s="374">
        <f t="shared" si="2"/>
        <v>21335.11</v>
      </c>
      <c r="L38" s="262"/>
      <c r="M38" s="262"/>
      <c r="W38" s="99">
        <v>42557</v>
      </c>
      <c r="X38" s="103">
        <v>32.799999999999997</v>
      </c>
      <c r="Y38" s="103">
        <v>33</v>
      </c>
      <c r="Z38" s="103">
        <v>32.380000000000003</v>
      </c>
      <c r="AA38" s="103">
        <v>32.97</v>
      </c>
      <c r="AB38" s="101">
        <v>21070200</v>
      </c>
      <c r="AC38" s="100">
        <v>32.72</v>
      </c>
      <c r="AD38" s="2">
        <f t="shared" si="0"/>
        <v>0.61999999999999744</v>
      </c>
      <c r="AE38" s="138">
        <f t="shared" si="1"/>
        <v>8.9423373419672547E-3</v>
      </c>
    </row>
    <row r="39" spans="1:31" x14ac:dyDescent="0.25">
      <c r="A39" s="262"/>
      <c r="B39" s="267">
        <v>42194</v>
      </c>
      <c r="C39" s="262">
        <v>100</v>
      </c>
      <c r="D39" s="263">
        <v>29.8</v>
      </c>
      <c r="E39" s="263">
        <v>0</v>
      </c>
      <c r="F39" s="263">
        <f t="shared" si="3"/>
        <v>2980</v>
      </c>
      <c r="G39" s="267">
        <v>42291</v>
      </c>
      <c r="H39" s="268">
        <v>60</v>
      </c>
      <c r="I39" s="262">
        <v>32.450000000000003</v>
      </c>
      <c r="J39" s="262">
        <v>0.04</v>
      </c>
      <c r="K39" s="374">
        <f t="shared" si="2"/>
        <v>1946.9600000000003</v>
      </c>
      <c r="L39" s="262"/>
      <c r="M39" s="262"/>
      <c r="W39" s="99">
        <v>42556</v>
      </c>
      <c r="X39" s="103">
        <v>32.5</v>
      </c>
      <c r="Y39" s="103">
        <v>32.729999999999997</v>
      </c>
      <c r="Z39" s="103">
        <v>32.46</v>
      </c>
      <c r="AA39" s="103">
        <v>32.68</v>
      </c>
      <c r="AB39" s="101">
        <v>20107200</v>
      </c>
      <c r="AC39" s="100">
        <v>32.43</v>
      </c>
      <c r="AD39" s="2">
        <f t="shared" si="0"/>
        <v>0.26999999999999602</v>
      </c>
      <c r="AE39" s="138">
        <f t="shared" si="1"/>
        <v>-2.1538461538461728E-3</v>
      </c>
    </row>
    <row r="40" spans="1:31" ht="20.25" thickBot="1" x14ac:dyDescent="0.35">
      <c r="A40" s="262"/>
      <c r="B40" s="267">
        <v>42207</v>
      </c>
      <c r="C40" s="262">
        <v>50</v>
      </c>
      <c r="D40" s="263">
        <v>29.32</v>
      </c>
      <c r="E40" s="263">
        <v>0</v>
      </c>
      <c r="F40" s="263">
        <f t="shared" si="3"/>
        <v>1466</v>
      </c>
      <c r="G40" s="267">
        <v>42296</v>
      </c>
      <c r="H40" s="268">
        <v>200</v>
      </c>
      <c r="I40" s="262">
        <v>32.82</v>
      </c>
      <c r="J40" s="262">
        <v>0.12</v>
      </c>
      <c r="K40" s="374">
        <f t="shared" si="2"/>
        <v>6563.88</v>
      </c>
      <c r="L40" s="262"/>
      <c r="M40" s="262"/>
      <c r="O40" s="535" t="s">
        <v>78</v>
      </c>
      <c r="P40" s="535"/>
      <c r="W40" s="99">
        <v>42552</v>
      </c>
      <c r="X40" s="103">
        <v>32.64</v>
      </c>
      <c r="Y40" s="103">
        <v>32.89</v>
      </c>
      <c r="Z40" s="103">
        <v>32.47</v>
      </c>
      <c r="AA40" s="103">
        <v>32.75</v>
      </c>
      <c r="AB40" s="101">
        <v>17084600</v>
      </c>
      <c r="AC40" s="100">
        <v>32.5</v>
      </c>
      <c r="AD40" s="2">
        <f t="shared" si="0"/>
        <v>0.42000000000000171</v>
      </c>
      <c r="AE40" s="138">
        <f t="shared" si="1"/>
        <v>-1.536098310291778E-3</v>
      </c>
    </row>
    <row r="41" spans="1:31" ht="15.75" thickTop="1" x14ac:dyDescent="0.25">
      <c r="A41" s="262"/>
      <c r="B41" s="267">
        <v>42209</v>
      </c>
      <c r="C41" s="262">
        <v>50</v>
      </c>
      <c r="D41" s="263">
        <v>28.6</v>
      </c>
      <c r="E41" s="263">
        <v>0</v>
      </c>
      <c r="F41" s="263">
        <f t="shared" si="3"/>
        <v>1430</v>
      </c>
      <c r="G41" s="267">
        <v>42299</v>
      </c>
      <c r="H41" s="268">
        <v>80</v>
      </c>
      <c r="I41" s="262">
        <v>33.549999999999997</v>
      </c>
      <c r="J41" s="262">
        <v>0.05</v>
      </c>
      <c r="K41" s="374">
        <f t="shared" si="2"/>
        <v>2683.95</v>
      </c>
      <c r="L41" s="262"/>
      <c r="M41" s="262"/>
      <c r="O41" s="83">
        <v>1.1000000000000001</v>
      </c>
      <c r="P41" s="83">
        <f>O41*$Q$4</f>
        <v>38.664999999999999</v>
      </c>
      <c r="Q41" s="2"/>
      <c r="W41" s="99">
        <v>42551</v>
      </c>
      <c r="X41" s="103">
        <v>32</v>
      </c>
      <c r="Y41" s="103">
        <v>32.880000000000003</v>
      </c>
      <c r="Z41" s="103">
        <v>31.97</v>
      </c>
      <c r="AA41" s="103">
        <v>32.799999999999997</v>
      </c>
      <c r="AB41" s="101">
        <v>34528900</v>
      </c>
      <c r="AC41" s="100">
        <v>32.549999999999997</v>
      </c>
      <c r="AD41" s="2">
        <f t="shared" si="0"/>
        <v>0.91000000000000369</v>
      </c>
      <c r="AE41" s="138">
        <f t="shared" si="1"/>
        <v>2.7137898390659387E-2</v>
      </c>
    </row>
    <row r="42" spans="1:31" ht="20.25" thickBot="1" x14ac:dyDescent="0.35">
      <c r="A42" s="262"/>
      <c r="B42" s="267">
        <v>42214</v>
      </c>
      <c r="C42" s="262">
        <v>50</v>
      </c>
      <c r="D42" s="263">
        <v>28.19</v>
      </c>
      <c r="E42" s="263">
        <v>0</v>
      </c>
      <c r="F42" s="263">
        <f t="shared" si="3"/>
        <v>1409.5</v>
      </c>
      <c r="G42" s="267">
        <v>42304</v>
      </c>
      <c r="H42" s="268">
        <v>40</v>
      </c>
      <c r="I42" s="262">
        <v>34.049999999999997</v>
      </c>
      <c r="J42" s="262">
        <v>0.03</v>
      </c>
      <c r="K42" s="374">
        <f t="shared" si="2"/>
        <v>1361.97</v>
      </c>
      <c r="L42" s="262"/>
      <c r="M42" s="262"/>
      <c r="O42" s="83">
        <v>1.0900000000000001</v>
      </c>
      <c r="P42" s="83">
        <f t="shared" ref="P42:P61" si="4">O42*$Q$4</f>
        <v>38.313500000000005</v>
      </c>
      <c r="Q42" s="2"/>
      <c r="T42" s="91" t="s">
        <v>113</v>
      </c>
      <c r="W42" s="99">
        <v>42550</v>
      </c>
      <c r="X42" s="103">
        <v>31.35</v>
      </c>
      <c r="Y42" s="103">
        <v>31.98</v>
      </c>
      <c r="Z42" s="103">
        <v>31.31</v>
      </c>
      <c r="AA42" s="103">
        <v>31.93</v>
      </c>
      <c r="AB42" s="101">
        <v>22771100</v>
      </c>
      <c r="AC42" s="100">
        <v>31.69</v>
      </c>
      <c r="AD42" s="2">
        <f t="shared" si="0"/>
        <v>0.67000000000000171</v>
      </c>
      <c r="AE42" s="138">
        <f t="shared" si="1"/>
        <v>2.3578811369509012E-2</v>
      </c>
    </row>
    <row r="43" spans="1:31" ht="15.75" thickTop="1" x14ac:dyDescent="0.25">
      <c r="A43" s="262"/>
      <c r="B43" s="267">
        <v>42240</v>
      </c>
      <c r="C43" s="262">
        <v>100</v>
      </c>
      <c r="D43" s="263">
        <v>28.4</v>
      </c>
      <c r="E43" s="263">
        <v>0</v>
      </c>
      <c r="F43" s="263">
        <f t="shared" si="3"/>
        <v>2840</v>
      </c>
      <c r="G43" s="267">
        <v>42332</v>
      </c>
      <c r="H43" s="268">
        <v>110</v>
      </c>
      <c r="I43" s="262">
        <v>34.450000000000003</v>
      </c>
      <c r="J43" s="262">
        <v>7.0000000000000007E-2</v>
      </c>
      <c r="K43" s="374">
        <f t="shared" si="2"/>
        <v>3789.4300000000003</v>
      </c>
      <c r="L43" s="262"/>
      <c r="M43" s="262"/>
      <c r="O43" s="83">
        <v>1.08</v>
      </c>
      <c r="P43" s="83">
        <f t="shared" si="4"/>
        <v>37.962000000000003</v>
      </c>
      <c r="Q43" s="2"/>
      <c r="T43" s="97" t="s">
        <v>98</v>
      </c>
      <c r="U43" s="98">
        <v>35.4</v>
      </c>
      <c r="V43" s="416"/>
      <c r="W43" s="99">
        <v>42549</v>
      </c>
      <c r="X43" s="103">
        <v>30.97</v>
      </c>
      <c r="Y43" s="103">
        <v>31.2</v>
      </c>
      <c r="Z43" s="103">
        <v>30.81</v>
      </c>
      <c r="AA43" s="103">
        <v>31.19</v>
      </c>
      <c r="AB43" s="101">
        <v>23693900</v>
      </c>
      <c r="AC43" s="100">
        <v>30.96</v>
      </c>
      <c r="AD43" s="2">
        <f t="shared" si="0"/>
        <v>0.39000000000000057</v>
      </c>
      <c r="AE43" s="138">
        <f t="shared" si="1"/>
        <v>1.5414890127910974E-2</v>
      </c>
    </row>
    <row r="44" spans="1:31" x14ac:dyDescent="0.25">
      <c r="A44" s="262"/>
      <c r="B44" s="267">
        <v>42240</v>
      </c>
      <c r="C44" s="262">
        <v>50</v>
      </c>
      <c r="D44" s="263">
        <v>28.3</v>
      </c>
      <c r="E44" s="263">
        <v>0</v>
      </c>
      <c r="F44" s="263">
        <f>C44*D44</f>
        <v>1415</v>
      </c>
      <c r="G44" s="262"/>
      <c r="H44" s="268"/>
      <c r="I44" s="262"/>
      <c r="J44" s="262"/>
      <c r="K44" s="262"/>
      <c r="L44" s="262"/>
      <c r="M44" s="262"/>
      <c r="O44" s="83">
        <v>1.07</v>
      </c>
      <c r="P44" s="83">
        <f t="shared" si="4"/>
        <v>37.610500000000002</v>
      </c>
      <c r="Q44" s="2"/>
      <c r="T44" s="87" t="s">
        <v>99</v>
      </c>
      <c r="U44" s="88">
        <v>35.33</v>
      </c>
      <c r="V44" s="417"/>
      <c r="W44" s="99">
        <v>42548</v>
      </c>
      <c r="X44" s="103">
        <v>31.41</v>
      </c>
      <c r="Y44" s="103">
        <v>31.41</v>
      </c>
      <c r="Z44" s="103">
        <v>30.44</v>
      </c>
      <c r="AA44" s="103">
        <v>30.72</v>
      </c>
      <c r="AB44" s="101">
        <v>34965100</v>
      </c>
      <c r="AC44" s="100">
        <v>30.49</v>
      </c>
      <c r="AD44" s="2">
        <f t="shared" si="0"/>
        <v>0.96999999999999886</v>
      </c>
      <c r="AE44" s="138">
        <f t="shared" si="1"/>
        <v>-2.6189715745768116E-2</v>
      </c>
    </row>
    <row r="45" spans="1:31" x14ac:dyDescent="0.25">
      <c r="A45" s="262"/>
      <c r="B45" s="267">
        <v>42244</v>
      </c>
      <c r="C45" s="262">
        <v>100</v>
      </c>
      <c r="D45" s="263">
        <v>26.7</v>
      </c>
      <c r="E45" s="263">
        <v>0</v>
      </c>
      <c r="F45" s="263">
        <f t="shared" ref="F45:F51" si="5">C45*D45</f>
        <v>2670</v>
      </c>
      <c r="G45" s="262"/>
      <c r="H45" s="268"/>
      <c r="I45" s="262"/>
      <c r="J45" s="262"/>
      <c r="K45" s="262"/>
      <c r="L45" s="262"/>
      <c r="M45" s="262"/>
      <c r="O45" s="83">
        <v>1.06</v>
      </c>
      <c r="P45" s="83">
        <f t="shared" si="4"/>
        <v>37.259</v>
      </c>
      <c r="Q45" s="2"/>
      <c r="T45" s="87" t="s">
        <v>100</v>
      </c>
      <c r="U45" s="88" t="s">
        <v>437</v>
      </c>
      <c r="V45" s="417"/>
      <c r="W45" s="99">
        <v>42545</v>
      </c>
      <c r="X45" s="103">
        <v>31.8</v>
      </c>
      <c r="Y45" s="103">
        <v>32.32</v>
      </c>
      <c r="Z45" s="103">
        <v>31.4</v>
      </c>
      <c r="AA45" s="103">
        <v>31.55</v>
      </c>
      <c r="AB45" s="101">
        <v>38094300</v>
      </c>
      <c r="AC45" s="100">
        <v>31.31</v>
      </c>
      <c r="AD45" s="2">
        <f t="shared" si="0"/>
        <v>0.92000000000000171</v>
      </c>
      <c r="AE45" s="138">
        <f t="shared" si="1"/>
        <v>-4.3677458766035571E-2</v>
      </c>
    </row>
    <row r="46" spans="1:31" x14ac:dyDescent="0.25">
      <c r="A46" s="262"/>
      <c r="B46" s="267">
        <v>42270</v>
      </c>
      <c r="C46" s="262">
        <v>330</v>
      </c>
      <c r="D46" s="263">
        <v>29.15</v>
      </c>
      <c r="E46" s="263">
        <v>0</v>
      </c>
      <c r="F46" s="263">
        <f t="shared" si="5"/>
        <v>9619.5</v>
      </c>
      <c r="G46" s="262"/>
      <c r="H46" s="268"/>
      <c r="I46" s="262"/>
      <c r="J46" s="262"/>
      <c r="K46" s="262"/>
      <c r="L46" s="262"/>
      <c r="M46" s="262"/>
      <c r="O46" s="83">
        <v>1.05</v>
      </c>
      <c r="P46" s="83">
        <f t="shared" si="4"/>
        <v>36.907499999999999</v>
      </c>
      <c r="Q46" s="2"/>
      <c r="T46" s="87" t="s">
        <v>101</v>
      </c>
      <c r="U46" s="88" t="s">
        <v>438</v>
      </c>
      <c r="V46" s="417"/>
      <c r="W46" s="99">
        <v>42544</v>
      </c>
      <c r="X46" s="103">
        <v>32.58</v>
      </c>
      <c r="Y46" s="103">
        <v>33</v>
      </c>
      <c r="Z46" s="103">
        <v>32.5</v>
      </c>
      <c r="AA46" s="103">
        <v>32.99</v>
      </c>
      <c r="AB46" s="101">
        <v>22048800</v>
      </c>
      <c r="AC46" s="100">
        <v>32.74</v>
      </c>
      <c r="AD46" s="2">
        <f t="shared" si="0"/>
        <v>0.5</v>
      </c>
      <c r="AE46" s="138">
        <f t="shared" si="1"/>
        <v>2.152886115444641E-2</v>
      </c>
    </row>
    <row r="47" spans="1:31" x14ac:dyDescent="0.25">
      <c r="A47" s="262"/>
      <c r="B47" s="267">
        <v>42276</v>
      </c>
      <c r="C47" s="262">
        <v>50</v>
      </c>
      <c r="D47" s="262">
        <v>27.95</v>
      </c>
      <c r="E47" s="263">
        <v>0</v>
      </c>
      <c r="F47" s="263">
        <f t="shared" si="5"/>
        <v>1397.5</v>
      </c>
      <c r="G47" s="262"/>
      <c r="H47" s="268"/>
      <c r="I47" s="262"/>
      <c r="J47" s="262"/>
      <c r="K47" s="262"/>
      <c r="L47" s="262"/>
      <c r="M47" s="262"/>
      <c r="O47" s="83">
        <v>1.04</v>
      </c>
      <c r="P47" s="83">
        <f t="shared" si="4"/>
        <v>36.555999999999997</v>
      </c>
      <c r="Q47" s="2"/>
      <c r="T47" s="87" t="s">
        <v>102</v>
      </c>
      <c r="U47" s="88">
        <v>37.58</v>
      </c>
      <c r="V47" s="417"/>
      <c r="W47" s="99">
        <v>42543</v>
      </c>
      <c r="X47" s="103">
        <v>32.299999999999997</v>
      </c>
      <c r="Y47" s="103">
        <v>32.630000000000003</v>
      </c>
      <c r="Z47" s="103">
        <v>32.25</v>
      </c>
      <c r="AA47" s="103">
        <v>32.29</v>
      </c>
      <c r="AB47" s="101">
        <v>18304800</v>
      </c>
      <c r="AC47" s="100">
        <v>32.049999999999997</v>
      </c>
      <c r="AD47" s="2">
        <f t="shared" si="0"/>
        <v>0.38000000000000256</v>
      </c>
      <c r="AE47" s="138">
        <f t="shared" si="1"/>
        <v>-9.3516209476307566E-4</v>
      </c>
    </row>
    <row r="48" spans="1:31" x14ac:dyDescent="0.25">
      <c r="A48" s="262"/>
      <c r="B48" s="267">
        <v>42293</v>
      </c>
      <c r="C48" s="262">
        <v>80</v>
      </c>
      <c r="D48" s="263">
        <v>32.090000000000003</v>
      </c>
      <c r="E48" s="263">
        <v>0</v>
      </c>
      <c r="F48" s="263">
        <f t="shared" si="5"/>
        <v>2567.2000000000003</v>
      </c>
      <c r="G48" s="262"/>
      <c r="H48" s="268"/>
      <c r="I48" s="262"/>
      <c r="J48" s="262"/>
      <c r="K48" s="262"/>
      <c r="L48" s="262"/>
      <c r="M48" s="262"/>
      <c r="O48" s="83">
        <v>1.03</v>
      </c>
      <c r="P48" s="83">
        <f t="shared" si="4"/>
        <v>36.204500000000003</v>
      </c>
      <c r="Q48" s="2"/>
      <c r="T48" s="87" t="s">
        <v>103</v>
      </c>
      <c r="U48" s="88">
        <v>1.1814199999999999</v>
      </c>
      <c r="V48" s="417"/>
      <c r="W48" s="99">
        <v>42542</v>
      </c>
      <c r="X48" s="103">
        <v>32.26</v>
      </c>
      <c r="Y48" s="103">
        <v>32.380000000000003</v>
      </c>
      <c r="Z48" s="103">
        <v>32.090000000000003</v>
      </c>
      <c r="AA48" s="103">
        <v>32.32</v>
      </c>
      <c r="AB48" s="101">
        <v>15476500</v>
      </c>
      <c r="AC48" s="100">
        <v>32.08</v>
      </c>
      <c r="AD48" s="2">
        <f t="shared" si="0"/>
        <v>0.28999999999999915</v>
      </c>
      <c r="AE48" s="138">
        <f t="shared" si="1"/>
        <v>4.6977763858440102E-3</v>
      </c>
    </row>
    <row r="49" spans="1:31" x14ac:dyDescent="0.25">
      <c r="A49" s="262"/>
      <c r="B49" s="267">
        <v>42293</v>
      </c>
      <c r="C49" s="262">
        <v>80</v>
      </c>
      <c r="D49" s="263">
        <v>31.95</v>
      </c>
      <c r="E49" s="263">
        <v>0</v>
      </c>
      <c r="F49" s="263">
        <f t="shared" si="5"/>
        <v>2556</v>
      </c>
      <c r="G49" s="262"/>
      <c r="H49" s="268"/>
      <c r="I49" s="262"/>
      <c r="J49" s="262"/>
      <c r="K49" s="262"/>
      <c r="L49" s="262"/>
      <c r="M49" s="262"/>
      <c r="O49" s="83">
        <v>1.02</v>
      </c>
      <c r="P49" s="83">
        <f t="shared" si="4"/>
        <v>35.853000000000002</v>
      </c>
      <c r="Q49" s="2"/>
      <c r="T49" s="87" t="s">
        <v>104</v>
      </c>
      <c r="U49" s="89" t="s">
        <v>316</v>
      </c>
      <c r="V49" s="418"/>
      <c r="W49" s="99">
        <v>42541</v>
      </c>
      <c r="X49" s="103">
        <v>32.07</v>
      </c>
      <c r="Y49" s="103">
        <v>32.44</v>
      </c>
      <c r="Z49" s="103">
        <v>32.01</v>
      </c>
      <c r="AA49" s="103">
        <v>32.17</v>
      </c>
      <c r="AB49" s="101">
        <v>21961600</v>
      </c>
      <c r="AC49" s="100">
        <v>31.93</v>
      </c>
      <c r="AD49" s="2">
        <f t="shared" si="0"/>
        <v>0.42999999999999972</v>
      </c>
      <c r="AE49" s="138">
        <f t="shared" si="1"/>
        <v>1.3007614213198071E-2</v>
      </c>
    </row>
    <row r="50" spans="1:31" x14ac:dyDescent="0.25">
      <c r="A50" s="262"/>
      <c r="B50" s="267">
        <v>42293</v>
      </c>
      <c r="C50" s="262">
        <v>120</v>
      </c>
      <c r="D50" s="263">
        <v>31.75</v>
      </c>
      <c r="E50" s="263">
        <v>0</v>
      </c>
      <c r="F50" s="263">
        <f t="shared" si="5"/>
        <v>3810</v>
      </c>
      <c r="G50" s="262"/>
      <c r="H50" s="268"/>
      <c r="I50" s="262"/>
      <c r="J50" s="262"/>
      <c r="K50" s="262"/>
      <c r="L50" s="262"/>
      <c r="M50" s="262"/>
      <c r="O50" s="83">
        <v>1.01</v>
      </c>
      <c r="P50" s="83">
        <f t="shared" si="4"/>
        <v>35.5015</v>
      </c>
      <c r="Q50" s="2"/>
      <c r="T50" s="87"/>
      <c r="U50" s="88"/>
      <c r="V50" s="417"/>
      <c r="W50" s="99">
        <v>42538</v>
      </c>
      <c r="X50" s="103">
        <v>31.73</v>
      </c>
      <c r="Y50" s="103">
        <v>31.81</v>
      </c>
      <c r="Z50" s="103">
        <v>31.47</v>
      </c>
      <c r="AA50" s="103">
        <v>31.76</v>
      </c>
      <c r="AB50" s="101">
        <v>27047900</v>
      </c>
      <c r="AC50" s="100">
        <v>31.52</v>
      </c>
      <c r="AD50" s="2">
        <f t="shared" si="0"/>
        <v>0.33999999999999986</v>
      </c>
      <c r="AE50" s="138">
        <f t="shared" si="1"/>
        <v>2.2257551669315756E-3</v>
      </c>
    </row>
    <row r="51" spans="1:31" x14ac:dyDescent="0.25">
      <c r="A51" s="262"/>
      <c r="B51" s="267">
        <v>42293</v>
      </c>
      <c r="C51" s="262">
        <v>150</v>
      </c>
      <c r="D51" s="263">
        <v>31.05</v>
      </c>
      <c r="E51" s="263">
        <v>0</v>
      </c>
      <c r="F51" s="263">
        <f t="shared" si="5"/>
        <v>4657.5</v>
      </c>
      <c r="G51" s="263"/>
      <c r="H51" s="268"/>
      <c r="I51" s="262"/>
      <c r="J51" s="262"/>
      <c r="K51" s="263"/>
      <c r="L51" s="262"/>
      <c r="M51" s="262"/>
      <c r="O51" s="83">
        <v>1</v>
      </c>
      <c r="P51" s="83">
        <f t="shared" si="4"/>
        <v>35.15</v>
      </c>
      <c r="Q51" s="2"/>
      <c r="T51" s="87" t="s">
        <v>105</v>
      </c>
      <c r="U51" s="88" t="s">
        <v>439</v>
      </c>
      <c r="V51" s="417"/>
      <c r="W51" s="99">
        <v>42537</v>
      </c>
      <c r="X51" s="103">
        <v>31.44</v>
      </c>
      <c r="Y51" s="103">
        <v>31.77</v>
      </c>
      <c r="Z51" s="103">
        <v>31.22</v>
      </c>
      <c r="AA51" s="103">
        <v>31.69</v>
      </c>
      <c r="AB51" s="101">
        <v>18547900</v>
      </c>
      <c r="AC51" s="100">
        <v>31.45</v>
      </c>
      <c r="AD51" s="2">
        <f t="shared" si="0"/>
        <v>0.55000000000000071</v>
      </c>
      <c r="AE51" s="138">
        <f t="shared" si="1"/>
        <v>2.5502072043352975E-3</v>
      </c>
    </row>
    <row r="52" spans="1:31" x14ac:dyDescent="0.25">
      <c r="A52" s="262"/>
      <c r="B52" s="262"/>
      <c r="C52" s="262"/>
      <c r="D52" s="262"/>
      <c r="E52" s="263"/>
      <c r="F52" s="262"/>
      <c r="G52" s="263"/>
      <c r="H52" s="268"/>
      <c r="I52" s="263"/>
      <c r="J52" s="262"/>
      <c r="K52" s="263"/>
      <c r="L52" s="262"/>
      <c r="M52" s="262"/>
      <c r="O52" s="83">
        <v>0.99</v>
      </c>
      <c r="P52" s="83">
        <f t="shared" si="4"/>
        <v>34.798499999999997</v>
      </c>
      <c r="Q52" s="2"/>
      <c r="T52" s="87" t="s">
        <v>106</v>
      </c>
      <c r="U52" s="88" t="s">
        <v>440</v>
      </c>
      <c r="V52" s="417"/>
      <c r="W52" s="99">
        <v>42536</v>
      </c>
      <c r="X52" s="103">
        <v>32.25</v>
      </c>
      <c r="Y52" s="103">
        <v>32.26</v>
      </c>
      <c r="Z52" s="103">
        <v>31.59</v>
      </c>
      <c r="AA52" s="103">
        <v>31.61</v>
      </c>
      <c r="AB52" s="101">
        <v>23783300</v>
      </c>
      <c r="AC52" s="100">
        <v>31.37</v>
      </c>
      <c r="AD52" s="2">
        <f t="shared" si="0"/>
        <v>0.66999999999999815</v>
      </c>
      <c r="AE52" s="138">
        <f t="shared" si="1"/>
        <v>-1.6614420062695867E-2</v>
      </c>
    </row>
    <row r="53" spans="1:31" x14ac:dyDescent="0.25">
      <c r="A53" s="262"/>
      <c r="B53" s="262"/>
      <c r="C53" s="262"/>
      <c r="D53" s="262"/>
      <c r="E53" s="262"/>
      <c r="F53" s="262"/>
      <c r="G53" s="262"/>
      <c r="H53" s="268"/>
      <c r="I53" s="262"/>
      <c r="J53" s="262"/>
      <c r="K53" s="262"/>
      <c r="L53" s="262"/>
      <c r="M53" s="262"/>
      <c r="O53" s="83">
        <v>0.98</v>
      </c>
      <c r="P53" s="83">
        <f t="shared" si="4"/>
        <v>34.446999999999996</v>
      </c>
      <c r="Q53" s="2"/>
      <c r="T53" s="87" t="s">
        <v>107</v>
      </c>
      <c r="U53" s="90">
        <v>16343525</v>
      </c>
      <c r="V53" s="419"/>
      <c r="W53" s="99">
        <v>42535</v>
      </c>
      <c r="X53" s="103">
        <v>32.01</v>
      </c>
      <c r="Y53" s="103">
        <v>32.24</v>
      </c>
      <c r="Z53" s="103">
        <v>31.79</v>
      </c>
      <c r="AA53" s="103">
        <v>32.14</v>
      </c>
      <c r="AB53" s="101">
        <v>18754300</v>
      </c>
      <c r="AC53" s="100">
        <v>31.9</v>
      </c>
      <c r="AD53" s="2">
        <f t="shared" si="0"/>
        <v>0.45000000000000284</v>
      </c>
      <c r="AE53" s="138">
        <f t="shared" si="1"/>
        <v>-9.3955527716882425E-4</v>
      </c>
    </row>
    <row r="54" spans="1:31" x14ac:dyDescent="0.25">
      <c r="A54" s="262"/>
      <c r="B54" s="262"/>
      <c r="C54" s="262"/>
      <c r="D54" s="262"/>
      <c r="E54" s="262"/>
      <c r="F54" s="262"/>
      <c r="G54" s="262"/>
      <c r="H54" s="268"/>
      <c r="I54" s="262"/>
      <c r="J54" s="262"/>
      <c r="K54" s="262"/>
      <c r="L54" s="262"/>
      <c r="M54" s="262"/>
      <c r="O54" s="83">
        <v>0.97</v>
      </c>
      <c r="P54" s="83">
        <f t="shared" si="4"/>
        <v>34.095499999999994</v>
      </c>
      <c r="T54" s="87" t="s">
        <v>110</v>
      </c>
      <c r="U54" s="90">
        <v>21809900</v>
      </c>
      <c r="V54" s="419"/>
      <c r="W54" s="99">
        <v>42534</v>
      </c>
      <c r="X54" s="103">
        <v>32.049999999999997</v>
      </c>
      <c r="Y54" s="103">
        <v>32.5</v>
      </c>
      <c r="Z54" s="103">
        <v>32.04</v>
      </c>
      <c r="AA54" s="103">
        <v>32.17</v>
      </c>
      <c r="AB54" s="101">
        <v>23004800</v>
      </c>
      <c r="AC54" s="100">
        <v>31.93</v>
      </c>
      <c r="AD54" s="2">
        <f t="shared" si="0"/>
        <v>0.46000000000000085</v>
      </c>
      <c r="AE54" s="138">
        <f t="shared" si="1"/>
        <v>4.0880503144653524E-3</v>
      </c>
    </row>
    <row r="55" spans="1:31" x14ac:dyDescent="0.25">
      <c r="A55" s="262"/>
      <c r="B55" s="262"/>
      <c r="C55" s="262"/>
      <c r="D55" s="262"/>
      <c r="E55" s="262"/>
      <c r="F55" s="262"/>
      <c r="G55" s="262"/>
      <c r="H55" s="268"/>
      <c r="I55" s="262"/>
      <c r="J55" s="262"/>
      <c r="K55" s="262"/>
      <c r="L55" s="262"/>
      <c r="M55" s="262"/>
      <c r="O55" s="83">
        <v>0.96</v>
      </c>
      <c r="P55" s="83">
        <f t="shared" si="4"/>
        <v>33.744</v>
      </c>
      <c r="T55" s="87" t="s">
        <v>108</v>
      </c>
      <c r="U55" s="88" t="s">
        <v>441</v>
      </c>
      <c r="V55" s="417"/>
      <c r="W55" s="99">
        <v>42531</v>
      </c>
      <c r="X55" s="103">
        <v>31.7</v>
      </c>
      <c r="Y55" s="103">
        <v>32.24</v>
      </c>
      <c r="Z55" s="103">
        <v>31.65</v>
      </c>
      <c r="AA55" s="103">
        <v>32.04</v>
      </c>
      <c r="AB55" s="101">
        <v>35749100</v>
      </c>
      <c r="AC55" s="100">
        <v>31.8</v>
      </c>
      <c r="AD55" s="2">
        <f t="shared" si="0"/>
        <v>0.59000000000000341</v>
      </c>
      <c r="AE55" s="138">
        <f t="shared" si="1"/>
        <v>3.154574132492094E-3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33.392499999999998</v>
      </c>
      <c r="T56" s="87" t="s">
        <v>111</v>
      </c>
      <c r="U56" s="88">
        <v>17.05</v>
      </c>
      <c r="V56" s="417"/>
      <c r="W56" s="99">
        <v>42530</v>
      </c>
      <c r="X56" s="103">
        <v>31.68</v>
      </c>
      <c r="Y56" s="103">
        <v>32</v>
      </c>
      <c r="Z56" s="103">
        <v>31.68</v>
      </c>
      <c r="AA56" s="103">
        <v>31.94</v>
      </c>
      <c r="AB56" s="101">
        <v>11276800</v>
      </c>
      <c r="AC56" s="100">
        <v>31.7</v>
      </c>
      <c r="AD56" s="2">
        <f t="shared" si="0"/>
        <v>0.32000000000000028</v>
      </c>
      <c r="AE56" s="138">
        <f t="shared" si="1"/>
        <v>1.5797788309637184E-3</v>
      </c>
    </row>
    <row r="57" spans="1:31" x14ac:dyDescent="0.25">
      <c r="O57" s="83">
        <v>0.94</v>
      </c>
      <c r="P57" s="83">
        <f t="shared" si="4"/>
        <v>33.040999999999997</v>
      </c>
      <c r="T57" s="87" t="s">
        <v>112</v>
      </c>
      <c r="U57" s="88">
        <v>2.06</v>
      </c>
      <c r="V57" s="417"/>
      <c r="W57" s="99">
        <v>42529</v>
      </c>
      <c r="X57" s="103">
        <v>31.8</v>
      </c>
      <c r="Y57" s="103">
        <v>32</v>
      </c>
      <c r="Z57" s="103">
        <v>31.79</v>
      </c>
      <c r="AA57" s="103">
        <v>31.89</v>
      </c>
      <c r="AB57" s="101">
        <v>12732100</v>
      </c>
      <c r="AC57" s="100">
        <v>31.65</v>
      </c>
      <c r="AD57" s="2">
        <f t="shared" si="0"/>
        <v>0.21000000000000085</v>
      </c>
      <c r="AE57" s="138">
        <f t="shared" si="1"/>
        <v>3.1605562579017921E-4</v>
      </c>
    </row>
    <row r="58" spans="1:31" x14ac:dyDescent="0.25">
      <c r="O58" s="83">
        <v>0.93</v>
      </c>
      <c r="P58" s="83">
        <f t="shared" si="4"/>
        <v>32.689500000000002</v>
      </c>
      <c r="T58" s="87" t="s">
        <v>109</v>
      </c>
      <c r="U58" s="88" t="s">
        <v>387</v>
      </c>
      <c r="V58" s="417"/>
      <c r="W58" s="99">
        <v>42528</v>
      </c>
      <c r="X58" s="103">
        <v>31.75</v>
      </c>
      <c r="Y58" s="103">
        <v>32.020000000000003</v>
      </c>
      <c r="Z58" s="103">
        <v>31.7</v>
      </c>
      <c r="AA58" s="103">
        <v>31.88</v>
      </c>
      <c r="AB58" s="101">
        <v>19339100</v>
      </c>
      <c r="AC58" s="100">
        <v>31.64</v>
      </c>
      <c r="AD58" s="2">
        <f t="shared" si="0"/>
        <v>0.32000000000000384</v>
      </c>
      <c r="AE58" s="138">
        <f t="shared" si="1"/>
        <v>6.3613231552162031E-3</v>
      </c>
    </row>
    <row r="59" spans="1:31" x14ac:dyDescent="0.25">
      <c r="O59" s="83">
        <v>0.92</v>
      </c>
      <c r="P59" s="83">
        <f t="shared" si="4"/>
        <v>32.338000000000001</v>
      </c>
      <c r="W59" s="99">
        <v>42527</v>
      </c>
      <c r="X59" s="103">
        <v>31.64</v>
      </c>
      <c r="Y59" s="103">
        <v>31.82</v>
      </c>
      <c r="Z59" s="103">
        <v>31.58</v>
      </c>
      <c r="AA59" s="103">
        <v>31.68</v>
      </c>
      <c r="AB59" s="101">
        <v>15139600</v>
      </c>
      <c r="AC59" s="100">
        <v>31.44</v>
      </c>
      <c r="AD59" s="2">
        <f t="shared" si="0"/>
        <v>0.24000000000000199</v>
      </c>
      <c r="AE59" s="138">
        <f t="shared" si="1"/>
        <v>1.9120458891013214E-3</v>
      </c>
    </row>
    <row r="60" spans="1:31" x14ac:dyDescent="0.25">
      <c r="O60" s="83">
        <v>0.91</v>
      </c>
      <c r="P60" s="83">
        <f t="shared" si="4"/>
        <v>31.986499999999999</v>
      </c>
      <c r="W60" s="99">
        <v>42524</v>
      </c>
      <c r="X60" s="103">
        <v>31.74</v>
      </c>
      <c r="Y60" s="103">
        <v>31.74</v>
      </c>
      <c r="Z60" s="103">
        <v>31.4</v>
      </c>
      <c r="AA60" s="103">
        <v>31.62</v>
      </c>
      <c r="AB60" s="101">
        <v>15777500</v>
      </c>
      <c r="AC60" s="100">
        <v>31.38</v>
      </c>
      <c r="AD60" s="2">
        <f t="shared" si="0"/>
        <v>0.33999999999999986</v>
      </c>
      <c r="AE60" s="138">
        <f t="shared" si="1"/>
        <v>-4.4416243654822329E-3</v>
      </c>
    </row>
    <row r="61" spans="1:31" x14ac:dyDescent="0.25">
      <c r="O61" s="83">
        <v>0.9</v>
      </c>
      <c r="P61" s="83">
        <f t="shared" si="4"/>
        <v>31.634999999999998</v>
      </c>
      <c r="W61" s="99">
        <v>42523</v>
      </c>
      <c r="X61" s="103">
        <v>31.56</v>
      </c>
      <c r="Y61" s="103">
        <v>31.76</v>
      </c>
      <c r="Z61" s="103">
        <v>31.45</v>
      </c>
      <c r="AA61" s="103">
        <v>31.76</v>
      </c>
      <c r="AB61" s="101">
        <v>14140100</v>
      </c>
      <c r="AC61" s="100">
        <v>31.52</v>
      </c>
      <c r="AD61" s="2">
        <f t="shared" si="0"/>
        <v>0.31000000000000227</v>
      </c>
      <c r="AE61" s="138">
        <f t="shared" si="1"/>
        <v>3.1826861871417922E-3</v>
      </c>
    </row>
    <row r="62" spans="1:31" x14ac:dyDescent="0.25">
      <c r="W62" s="99">
        <v>42522</v>
      </c>
      <c r="X62" s="103">
        <v>31.62</v>
      </c>
      <c r="Y62" s="103">
        <v>31.72</v>
      </c>
      <c r="Z62" s="103">
        <v>31.47</v>
      </c>
      <c r="AA62" s="103">
        <v>31.66</v>
      </c>
      <c r="AB62" s="101">
        <v>17753500</v>
      </c>
      <c r="AC62" s="100">
        <v>31.42</v>
      </c>
      <c r="AD62" s="2">
        <f t="shared" si="0"/>
        <v>0.25</v>
      </c>
      <c r="AE62" s="138">
        <f t="shared" si="1"/>
        <v>2.2328548644339197E-3</v>
      </c>
    </row>
    <row r="63" spans="1:31" x14ac:dyDescent="0.25">
      <c r="W63" s="99">
        <v>42521</v>
      </c>
      <c r="X63" s="103">
        <v>31.51</v>
      </c>
      <c r="Y63" s="103">
        <v>31.65</v>
      </c>
      <c r="Z63" s="103">
        <v>31.31</v>
      </c>
      <c r="AA63" s="103">
        <v>31.59</v>
      </c>
      <c r="AB63" s="101">
        <v>23040200</v>
      </c>
      <c r="AC63" s="100">
        <v>31.35</v>
      </c>
      <c r="AD63" s="2">
        <f t="shared" si="0"/>
        <v>0.33999999999999986</v>
      </c>
      <c r="AE63" s="138">
        <f t="shared" si="1"/>
        <v>6.3836578359399709E-4</v>
      </c>
    </row>
    <row r="64" spans="1:31" x14ac:dyDescent="0.25">
      <c r="W64" s="99">
        <v>42517</v>
      </c>
      <c r="X64" s="103">
        <v>31.6</v>
      </c>
      <c r="Y64" s="103">
        <v>31.65</v>
      </c>
      <c r="Z64" s="103">
        <v>31.45</v>
      </c>
      <c r="AA64" s="103">
        <v>31.57</v>
      </c>
      <c r="AB64" s="101">
        <v>13341300</v>
      </c>
      <c r="AC64" s="100">
        <v>31.33</v>
      </c>
      <c r="AD64" s="2">
        <f t="shared" si="0"/>
        <v>0.19999999999999929</v>
      </c>
      <c r="AE64" s="138">
        <f t="shared" si="1"/>
        <v>2.5599999999998957E-3</v>
      </c>
    </row>
    <row r="65" spans="23:31" x14ac:dyDescent="0.25">
      <c r="W65" s="99">
        <v>42516</v>
      </c>
      <c r="X65" s="103">
        <v>31.49</v>
      </c>
      <c r="Y65" s="103">
        <v>31.63</v>
      </c>
      <c r="Z65" s="103">
        <v>31.4</v>
      </c>
      <c r="AA65" s="103">
        <v>31.49</v>
      </c>
      <c r="AB65" s="101">
        <v>12692300</v>
      </c>
      <c r="AC65" s="100">
        <v>31.25</v>
      </c>
      <c r="AD65" s="2">
        <f t="shared" si="0"/>
        <v>0.23000000000000043</v>
      </c>
      <c r="AE65" s="138">
        <f t="shared" si="1"/>
        <v>3.2102728731941976E-3</v>
      </c>
    </row>
    <row r="66" spans="23:31" x14ac:dyDescent="0.25">
      <c r="W66" s="99">
        <v>42515</v>
      </c>
      <c r="X66" s="103">
        <v>31.2</v>
      </c>
      <c r="Y66" s="103">
        <v>31.57</v>
      </c>
      <c r="Z66" s="103">
        <v>31.15</v>
      </c>
      <c r="AA66" s="103">
        <v>31.39</v>
      </c>
      <c r="AB66" s="101">
        <v>18359600</v>
      </c>
      <c r="AC66" s="100">
        <v>31.15</v>
      </c>
      <c r="AD66" s="2">
        <f t="shared" si="0"/>
        <v>0.42000000000000171</v>
      </c>
      <c r="AE66" s="138">
        <f t="shared" si="1"/>
        <v>1.0379500486539017E-2</v>
      </c>
    </row>
    <row r="67" spans="23:31" x14ac:dyDescent="0.25">
      <c r="W67" s="99">
        <v>42514</v>
      </c>
      <c r="X67" s="103">
        <v>30.5</v>
      </c>
      <c r="Y67" s="103">
        <v>31.12</v>
      </c>
      <c r="Z67" s="103">
        <v>30.45</v>
      </c>
      <c r="AA67" s="103">
        <v>31.06</v>
      </c>
      <c r="AB67" s="101">
        <v>23699200</v>
      </c>
      <c r="AC67" s="100">
        <v>30.83</v>
      </c>
      <c r="AD67" s="2">
        <f>Y67-Z67</f>
        <v>0.67000000000000171</v>
      </c>
      <c r="AE67" s="138">
        <f>AC67/AC68-1</f>
        <v>2.7666666666666506E-2</v>
      </c>
    </row>
    <row r="68" spans="23:31" x14ac:dyDescent="0.25">
      <c r="W68" s="99">
        <v>42513</v>
      </c>
      <c r="X68" s="103">
        <v>30.23</v>
      </c>
      <c r="Y68" s="103">
        <v>30.48</v>
      </c>
      <c r="Z68" s="103">
        <v>30.13</v>
      </c>
      <c r="AA68" s="103">
        <v>30.23</v>
      </c>
      <c r="AB68" s="101">
        <v>20881900</v>
      </c>
      <c r="AC68" s="100">
        <v>30</v>
      </c>
      <c r="AD68" s="2">
        <f>Y68-Z68</f>
        <v>0.35000000000000142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7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42606</v>
      </c>
      <c r="X2" s="41">
        <v>56.08</v>
      </c>
      <c r="Y2" s="41">
        <v>56.93</v>
      </c>
      <c r="Z2" s="41">
        <v>55.84</v>
      </c>
      <c r="AA2" s="41">
        <v>56.35</v>
      </c>
      <c r="AB2" s="104">
        <v>3266500</v>
      </c>
      <c r="AC2" s="41">
        <v>56.35</v>
      </c>
      <c r="AD2" s="2">
        <f>Y2-Z2</f>
        <v>1.0899999999999963</v>
      </c>
      <c r="AE2" s="138">
        <f>AC2/AC3-1</f>
        <v>-1.2406947890818421E-3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7"/>
      <c r="I3" s="75"/>
      <c r="J3" s="75"/>
      <c r="K3" s="75"/>
      <c r="L3" s="74"/>
      <c r="M3" s="3"/>
      <c r="O3" s="11" t="s">
        <v>58</v>
      </c>
      <c r="Q3" s="80">
        <f>IF(Q2=0, Q4, (F18-K18-M18)/Q2)</f>
        <v>56.35</v>
      </c>
      <c r="W3" s="110">
        <v>42605</v>
      </c>
      <c r="X3" s="41">
        <v>55.94</v>
      </c>
      <c r="Y3" s="41">
        <v>56.84</v>
      </c>
      <c r="Z3" s="41">
        <v>55.94</v>
      </c>
      <c r="AA3" s="41">
        <v>56.42</v>
      </c>
      <c r="AB3" s="104">
        <v>2289200</v>
      </c>
      <c r="AC3" s="41">
        <v>56.42</v>
      </c>
      <c r="AD3" s="2">
        <f t="shared" ref="AD3:AD66" si="0">Y3-Z3</f>
        <v>0.90000000000000568</v>
      </c>
      <c r="AE3" s="138">
        <f t="shared" ref="AE3:AE66" si="1">AC3/AC4-1</f>
        <v>3.914590747331026E-3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56.35</v>
      </c>
      <c r="T4" s="124"/>
      <c r="U4" s="30"/>
      <c r="V4" s="35"/>
      <c r="W4" s="110">
        <v>42604</v>
      </c>
      <c r="X4" s="41">
        <v>56.25</v>
      </c>
      <c r="Y4" s="41">
        <v>56.73</v>
      </c>
      <c r="Z4" s="41">
        <v>55.28</v>
      </c>
      <c r="AA4" s="41">
        <v>56.2</v>
      </c>
      <c r="AB4" s="104">
        <v>4498500</v>
      </c>
      <c r="AC4" s="41">
        <v>56.2</v>
      </c>
      <c r="AD4" s="2">
        <f t="shared" si="0"/>
        <v>1.4499999999999957</v>
      </c>
      <c r="AE4" s="138">
        <f t="shared" si="1"/>
        <v>-1.7997553730560778E-2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42601</v>
      </c>
      <c r="X5" s="41">
        <v>57.28</v>
      </c>
      <c r="Y5" s="41">
        <v>57.56</v>
      </c>
      <c r="Z5" s="41">
        <v>56.52</v>
      </c>
      <c r="AA5" s="41">
        <v>57.23</v>
      </c>
      <c r="AB5" s="104">
        <v>2887400</v>
      </c>
      <c r="AC5" s="41">
        <v>57.23</v>
      </c>
      <c r="AD5" s="2">
        <f t="shared" si="0"/>
        <v>1.0399999999999991</v>
      </c>
      <c r="AE5" s="138">
        <f t="shared" si="1"/>
        <v>-6.7684831655675515E-3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42600</v>
      </c>
      <c r="X6" s="41">
        <v>56.94</v>
      </c>
      <c r="Y6" s="41">
        <v>57.88</v>
      </c>
      <c r="Z6" s="41">
        <v>56.87</v>
      </c>
      <c r="AA6" s="41">
        <v>57.62</v>
      </c>
      <c r="AB6" s="104">
        <v>3320100</v>
      </c>
      <c r="AC6" s="41">
        <v>57.62</v>
      </c>
      <c r="AD6" s="2">
        <f t="shared" si="0"/>
        <v>1.0100000000000051</v>
      </c>
      <c r="AE6" s="138">
        <f t="shared" si="1"/>
        <v>1.6225749559082736E-2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42599</v>
      </c>
      <c r="X7" s="41">
        <v>56.57</v>
      </c>
      <c r="Y7" s="41">
        <v>56.9</v>
      </c>
      <c r="Z7" s="41">
        <v>55.75</v>
      </c>
      <c r="AA7" s="41">
        <v>56.7</v>
      </c>
      <c r="AB7" s="104">
        <v>2609600</v>
      </c>
      <c r="AC7" s="41">
        <v>56.7</v>
      </c>
      <c r="AD7" s="2">
        <f t="shared" si="0"/>
        <v>1.1499999999999986</v>
      </c>
      <c r="AE7" s="138">
        <f t="shared" si="1"/>
        <v>5.2938062466911795E-4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42598</v>
      </c>
      <c r="X8" s="41">
        <v>56.46</v>
      </c>
      <c r="Y8" s="41">
        <v>56.94</v>
      </c>
      <c r="Z8" s="41">
        <v>55.55</v>
      </c>
      <c r="AA8" s="41">
        <v>56.67</v>
      </c>
      <c r="AB8" s="104">
        <v>3076300</v>
      </c>
      <c r="AC8" s="41">
        <v>56.67</v>
      </c>
      <c r="AD8" s="2">
        <f t="shared" si="0"/>
        <v>1.3900000000000006</v>
      </c>
      <c r="AE8" s="138">
        <f t="shared" si="1"/>
        <v>3.530450132391838E-4</v>
      </c>
    </row>
    <row r="9" spans="1:40" x14ac:dyDescent="0.25">
      <c r="O9" s="11" t="s">
        <v>225</v>
      </c>
      <c r="Q9" s="138">
        <f>IF(Q2=0, 0, Q8/Q6)</f>
        <v>0</v>
      </c>
      <c r="W9" s="110">
        <v>42597</v>
      </c>
      <c r="X9" s="41">
        <v>56.81</v>
      </c>
      <c r="Y9" s="41">
        <v>57.44</v>
      </c>
      <c r="Z9" s="41">
        <v>56.34</v>
      </c>
      <c r="AA9" s="41">
        <v>56.65</v>
      </c>
      <c r="AB9" s="104">
        <v>4474600</v>
      </c>
      <c r="AC9" s="41">
        <v>56.65</v>
      </c>
      <c r="AD9" s="2">
        <f t="shared" si="0"/>
        <v>1.0999999999999943</v>
      </c>
      <c r="AE9" s="138">
        <f t="shared" si="1"/>
        <v>6.5742714996446239E-3</v>
      </c>
    </row>
    <row r="10" spans="1:40" x14ac:dyDescent="0.25">
      <c r="O10" s="11" t="s">
        <v>224</v>
      </c>
      <c r="P10" s="34"/>
      <c r="Q10" s="2">
        <f>M75</f>
        <v>3178.8000000000466</v>
      </c>
      <c r="W10" s="110">
        <v>42594</v>
      </c>
      <c r="X10" s="41">
        <v>56.81</v>
      </c>
      <c r="Y10" s="41">
        <v>56.98</v>
      </c>
      <c r="Z10" s="41">
        <v>55.85</v>
      </c>
      <c r="AA10" s="41">
        <v>56.28</v>
      </c>
      <c r="AB10" s="104">
        <v>3270200</v>
      </c>
      <c r="AC10" s="41">
        <v>56.28</v>
      </c>
      <c r="AD10" s="2">
        <f t="shared" si="0"/>
        <v>1.1299999999999955</v>
      </c>
      <c r="AE10" s="138">
        <f t="shared" si="1"/>
        <v>-4.598514326140779E-3</v>
      </c>
    </row>
    <row r="11" spans="1:40" x14ac:dyDescent="0.25">
      <c r="O11" s="11" t="s">
        <v>184</v>
      </c>
      <c r="P11" s="34"/>
      <c r="Q11" s="138">
        <f>VALUE(TRIM(CLEAN(MID(U58, FIND("(", U58)+1, 5))))</f>
        <v>1.7500000000000002E-2</v>
      </c>
      <c r="T11" s="19"/>
      <c r="W11" s="110">
        <v>42593</v>
      </c>
      <c r="X11" s="41">
        <v>55.23</v>
      </c>
      <c r="Y11" s="41">
        <v>57.28</v>
      </c>
      <c r="Z11" s="41">
        <v>54.98</v>
      </c>
      <c r="AA11" s="41">
        <v>56.54</v>
      </c>
      <c r="AB11" s="104">
        <v>3961300</v>
      </c>
      <c r="AC11" s="41">
        <v>56.54</v>
      </c>
      <c r="AD11" s="2">
        <f t="shared" si="0"/>
        <v>2.3000000000000043</v>
      </c>
      <c r="AE11" s="138">
        <f t="shared" si="1"/>
        <v>3.3260233918128712E-2</v>
      </c>
    </row>
    <row r="12" spans="1:40" x14ac:dyDescent="0.25">
      <c r="T12" s="19"/>
      <c r="W12" s="110">
        <v>42592</v>
      </c>
      <c r="X12" s="41">
        <v>55.53</v>
      </c>
      <c r="Y12" s="41">
        <v>56.04</v>
      </c>
      <c r="Z12" s="41">
        <v>54.55</v>
      </c>
      <c r="AA12" s="41">
        <v>54.72</v>
      </c>
      <c r="AB12" s="104">
        <v>3443700</v>
      </c>
      <c r="AC12" s="41">
        <v>54.72</v>
      </c>
      <c r="AD12" s="2">
        <f t="shared" si="0"/>
        <v>1.490000000000002</v>
      </c>
      <c r="AE12" s="138">
        <f t="shared" si="1"/>
        <v>-1.2630819198845233E-2</v>
      </c>
    </row>
    <row r="13" spans="1:40" x14ac:dyDescent="0.25">
      <c r="W13" s="110">
        <v>42591</v>
      </c>
      <c r="X13" s="41">
        <v>56.09</v>
      </c>
      <c r="Y13" s="41">
        <v>56.17</v>
      </c>
      <c r="Z13" s="41">
        <v>54.83</v>
      </c>
      <c r="AA13" s="41">
        <v>55.42</v>
      </c>
      <c r="AB13" s="104">
        <v>2664400</v>
      </c>
      <c r="AC13" s="41">
        <v>55.42</v>
      </c>
      <c r="AD13" s="2">
        <f t="shared" si="0"/>
        <v>1.3400000000000034</v>
      </c>
      <c r="AE13" s="138">
        <f t="shared" si="1"/>
        <v>-8.9413447782547006E-3</v>
      </c>
    </row>
    <row r="14" spans="1:40" x14ac:dyDescent="0.25">
      <c r="W14" s="110">
        <v>42590</v>
      </c>
      <c r="X14" s="41">
        <v>55.44</v>
      </c>
      <c r="Y14" s="41">
        <v>56.46</v>
      </c>
      <c r="Z14" s="41">
        <v>55.28</v>
      </c>
      <c r="AA14" s="41">
        <v>55.92</v>
      </c>
      <c r="AB14" s="104">
        <v>3595200</v>
      </c>
      <c r="AC14" s="41">
        <v>55.92</v>
      </c>
      <c r="AD14" s="2">
        <f t="shared" si="0"/>
        <v>1.1799999999999997</v>
      </c>
      <c r="AE14" s="138">
        <f t="shared" si="1"/>
        <v>2.3426061493411421E-2</v>
      </c>
    </row>
    <row r="15" spans="1:40" x14ac:dyDescent="0.25">
      <c r="W15" s="110">
        <v>42587</v>
      </c>
      <c r="X15" s="41">
        <v>54</v>
      </c>
      <c r="Y15" s="41">
        <v>54.76</v>
      </c>
      <c r="Z15" s="41">
        <v>53.58</v>
      </c>
      <c r="AA15" s="41">
        <v>54.64</v>
      </c>
      <c r="AB15" s="104">
        <v>3479600</v>
      </c>
      <c r="AC15" s="41">
        <v>54.64</v>
      </c>
      <c r="AD15" s="2">
        <f t="shared" si="0"/>
        <v>1.1799999999999997</v>
      </c>
      <c r="AE15" s="138">
        <f t="shared" si="1"/>
        <v>1.4293669946166654E-2</v>
      </c>
    </row>
    <row r="16" spans="1:40" x14ac:dyDescent="0.25">
      <c r="W16" s="110">
        <v>42586</v>
      </c>
      <c r="X16" s="41">
        <v>53.28</v>
      </c>
      <c r="Y16" s="41">
        <v>55.14</v>
      </c>
      <c r="Z16" s="41">
        <v>53.11</v>
      </c>
      <c r="AA16" s="41">
        <v>53.87</v>
      </c>
      <c r="AB16" s="104">
        <v>5349900</v>
      </c>
      <c r="AC16" s="41">
        <v>53.87</v>
      </c>
      <c r="AD16" s="2">
        <f t="shared" si="0"/>
        <v>2.0300000000000011</v>
      </c>
      <c r="AE16" s="138">
        <f t="shared" si="1"/>
        <v>8.9904476493725127E-3</v>
      </c>
    </row>
    <row r="17" spans="1:31" x14ac:dyDescent="0.25">
      <c r="C17" s="4"/>
      <c r="D17" s="240"/>
      <c r="E17" s="3"/>
      <c r="F17" s="3"/>
      <c r="W17" s="110">
        <v>42585</v>
      </c>
      <c r="X17" s="41">
        <v>51.74</v>
      </c>
      <c r="Y17" s="41">
        <v>53.73</v>
      </c>
      <c r="Z17" s="41">
        <v>51.63</v>
      </c>
      <c r="AA17" s="41">
        <v>53.39</v>
      </c>
      <c r="AB17" s="104">
        <v>6177000</v>
      </c>
      <c r="AC17" s="41">
        <v>53.39</v>
      </c>
      <c r="AD17" s="2">
        <f t="shared" si="0"/>
        <v>2.0999999999999943</v>
      </c>
      <c r="AE17" s="138">
        <f t="shared" si="1"/>
        <v>3.1690821256038726E-2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42584</v>
      </c>
      <c r="X18" s="41">
        <v>51.48</v>
      </c>
      <c r="Y18" s="41">
        <v>51.96</v>
      </c>
      <c r="Z18" s="41">
        <v>50.31</v>
      </c>
      <c r="AA18" s="41">
        <v>51.75</v>
      </c>
      <c r="AB18" s="104">
        <v>4733200</v>
      </c>
      <c r="AC18" s="41">
        <v>51.75</v>
      </c>
      <c r="AD18" s="2">
        <f t="shared" si="0"/>
        <v>1.6499999999999986</v>
      </c>
      <c r="AE18" s="138">
        <f t="shared" si="1"/>
        <v>1.0150302557095481E-2</v>
      </c>
    </row>
    <row r="19" spans="1:31" x14ac:dyDescent="0.25">
      <c r="W19" s="110">
        <v>42583</v>
      </c>
      <c r="X19" s="41">
        <v>52.67</v>
      </c>
      <c r="Y19" s="41">
        <v>52.73</v>
      </c>
      <c r="Z19" s="41">
        <v>51.01</v>
      </c>
      <c r="AA19" s="41">
        <v>51.23</v>
      </c>
      <c r="AB19" s="104">
        <v>5623200</v>
      </c>
      <c r="AC19" s="41">
        <v>51.23</v>
      </c>
      <c r="AD19" s="2">
        <f t="shared" si="0"/>
        <v>1.7199999999999989</v>
      </c>
      <c r="AE19" s="138">
        <f t="shared" si="1"/>
        <v>-4.5107176141658933E-2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42580</v>
      </c>
      <c r="X20" s="41">
        <v>51.41</v>
      </c>
      <c r="Y20" s="41">
        <v>53.82</v>
      </c>
      <c r="Z20" s="41">
        <v>51.41</v>
      </c>
      <c r="AA20" s="41">
        <v>53.65</v>
      </c>
      <c r="AB20" s="104">
        <v>4098000</v>
      </c>
      <c r="AC20" s="41">
        <v>53.65</v>
      </c>
      <c r="AD20" s="2">
        <f t="shared" si="0"/>
        <v>2.4100000000000037</v>
      </c>
      <c r="AE20" s="138">
        <f t="shared" si="1"/>
        <v>2.8368794326241176E-2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42579</v>
      </c>
      <c r="X21" s="41">
        <v>51.5</v>
      </c>
      <c r="Y21" s="41">
        <v>53</v>
      </c>
      <c r="Z21" s="41">
        <v>51.28</v>
      </c>
      <c r="AA21" s="41">
        <v>52.17</v>
      </c>
      <c r="AB21" s="104">
        <v>5308100</v>
      </c>
      <c r="AC21" s="41">
        <v>52.17</v>
      </c>
      <c r="AD21" s="2">
        <f t="shared" si="0"/>
        <v>1.7199999999999989</v>
      </c>
      <c r="AE21" s="138">
        <f t="shared" si="1"/>
        <v>1.1046511627907041E-2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42578</v>
      </c>
      <c r="X22" s="41">
        <v>52</v>
      </c>
      <c r="Y22" s="41">
        <v>53.66</v>
      </c>
      <c r="Z22" s="41">
        <v>50.55</v>
      </c>
      <c r="AA22" s="41">
        <v>51.6</v>
      </c>
      <c r="AB22" s="104">
        <v>9367200</v>
      </c>
      <c r="AC22" s="41">
        <v>51.6</v>
      </c>
      <c r="AD22" s="2">
        <f t="shared" si="0"/>
        <v>3.1099999999999994</v>
      </c>
      <c r="AE22" s="138">
        <f t="shared" si="1"/>
        <v>-3.8748137108792768E-2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42577</v>
      </c>
      <c r="X23" s="41">
        <v>52.46</v>
      </c>
      <c r="Y23" s="41">
        <v>53.71</v>
      </c>
      <c r="Z23" s="41">
        <v>52.16</v>
      </c>
      <c r="AA23" s="41">
        <v>53.68</v>
      </c>
      <c r="AB23" s="104">
        <v>3789100</v>
      </c>
      <c r="AC23" s="41">
        <v>53.68</v>
      </c>
      <c r="AD23" s="2">
        <f t="shared" si="0"/>
        <v>1.5500000000000043</v>
      </c>
      <c r="AE23" s="138">
        <f t="shared" si="1"/>
        <v>1.6474152622609317E-2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42576</v>
      </c>
      <c r="X24" s="41">
        <v>53.5</v>
      </c>
      <c r="Y24" s="41">
        <v>53.78</v>
      </c>
      <c r="Z24" s="41">
        <v>52.36</v>
      </c>
      <c r="AA24" s="41">
        <v>52.81</v>
      </c>
      <c r="AB24" s="104">
        <v>4099400</v>
      </c>
      <c r="AC24" s="41">
        <v>52.81</v>
      </c>
      <c r="AD24" s="2">
        <f t="shared" si="0"/>
        <v>1.4200000000000017</v>
      </c>
      <c r="AE24" s="138">
        <f t="shared" si="1"/>
        <v>-2.4205469327420404E-2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42573</v>
      </c>
      <c r="X25" s="41">
        <v>55.26</v>
      </c>
      <c r="Y25" s="41">
        <v>55.43</v>
      </c>
      <c r="Z25" s="41">
        <v>53.66</v>
      </c>
      <c r="AA25" s="41">
        <v>54.12</v>
      </c>
      <c r="AB25" s="104">
        <v>2773400</v>
      </c>
      <c r="AC25" s="41">
        <v>54.12</v>
      </c>
      <c r="AD25" s="2">
        <f t="shared" si="0"/>
        <v>1.7700000000000031</v>
      </c>
      <c r="AE25" s="138">
        <f t="shared" si="1"/>
        <v>-1.4387179020214913E-2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42572</v>
      </c>
      <c r="X26" s="41">
        <v>56.28</v>
      </c>
      <c r="Y26" s="41">
        <v>56.93</v>
      </c>
      <c r="Z26" s="41">
        <v>54.72</v>
      </c>
      <c r="AA26" s="41">
        <v>54.91</v>
      </c>
      <c r="AB26" s="104">
        <v>1917600</v>
      </c>
      <c r="AC26" s="41">
        <v>54.91</v>
      </c>
      <c r="AD26" s="2">
        <f t="shared" si="0"/>
        <v>2.2100000000000009</v>
      </c>
      <c r="AE26" s="138">
        <f t="shared" si="1"/>
        <v>-2.5727466288147705E-2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42571</v>
      </c>
      <c r="X27" s="41">
        <v>55.81</v>
      </c>
      <c r="Y27" s="41">
        <v>56.68</v>
      </c>
      <c r="Z27" s="41">
        <v>54.72</v>
      </c>
      <c r="AA27" s="41">
        <v>56.36</v>
      </c>
      <c r="AB27" s="104">
        <v>3171000</v>
      </c>
      <c r="AC27" s="41">
        <v>56.36</v>
      </c>
      <c r="AD27" s="2">
        <f t="shared" si="0"/>
        <v>1.9600000000000009</v>
      </c>
      <c r="AE27" s="138">
        <f t="shared" si="1"/>
        <v>4.455533772945941E-3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42570</v>
      </c>
      <c r="X28" s="41">
        <v>57.1</v>
      </c>
      <c r="Y28" s="41">
        <v>57.48</v>
      </c>
      <c r="Z28" s="41">
        <v>55.84</v>
      </c>
      <c r="AA28" s="41">
        <v>56.11</v>
      </c>
      <c r="AB28" s="104">
        <v>2305200</v>
      </c>
      <c r="AC28" s="41">
        <v>56.11</v>
      </c>
      <c r="AD28" s="2">
        <f t="shared" si="0"/>
        <v>1.6399999999999935</v>
      </c>
      <c r="AE28" s="138">
        <f t="shared" si="1"/>
        <v>-2.5868055555555602E-2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42569</v>
      </c>
      <c r="X29" s="41">
        <v>56.72</v>
      </c>
      <c r="Y29" s="41">
        <v>57.65</v>
      </c>
      <c r="Z29" s="41">
        <v>56.25</v>
      </c>
      <c r="AA29" s="41">
        <v>57.6</v>
      </c>
      <c r="AB29" s="104">
        <v>2802700</v>
      </c>
      <c r="AC29" s="41">
        <v>57.6</v>
      </c>
      <c r="AD29" s="2">
        <f t="shared" si="0"/>
        <v>1.3999999999999986</v>
      </c>
      <c r="AE29" s="138">
        <f t="shared" si="1"/>
        <v>1.1768838924995695E-2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42566</v>
      </c>
      <c r="X30" s="41">
        <v>58.08</v>
      </c>
      <c r="Y30" s="41">
        <v>58.36</v>
      </c>
      <c r="Z30" s="41">
        <v>56.68</v>
      </c>
      <c r="AA30" s="41">
        <v>56.93</v>
      </c>
      <c r="AB30" s="104">
        <v>3409300</v>
      </c>
      <c r="AC30" s="41">
        <v>56.93</v>
      </c>
      <c r="AD30" s="2">
        <f t="shared" si="0"/>
        <v>1.6799999999999997</v>
      </c>
      <c r="AE30" s="138">
        <f t="shared" si="1"/>
        <v>-1.861747974487149E-2</v>
      </c>
    </row>
    <row r="31" spans="1:31" x14ac:dyDescent="0.25">
      <c r="B31" s="193">
        <v>42349</v>
      </c>
      <c r="C31" s="283">
        <v>400</v>
      </c>
      <c r="D31" s="284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42565</v>
      </c>
      <c r="X31" s="197">
        <v>59.09</v>
      </c>
      <c r="Y31" s="41">
        <v>59.43</v>
      </c>
      <c r="Z31" s="41">
        <v>57.98</v>
      </c>
      <c r="AA31" s="41">
        <v>58.01</v>
      </c>
      <c r="AB31" s="104">
        <v>2839500</v>
      </c>
      <c r="AC31" s="41">
        <v>58.01</v>
      </c>
      <c r="AD31" s="2">
        <f t="shared" si="0"/>
        <v>1.4500000000000028</v>
      </c>
      <c r="AE31" s="138">
        <f t="shared" si="1"/>
        <v>-1.7235436056539655E-4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42564</v>
      </c>
      <c r="X32" s="41">
        <v>59.99</v>
      </c>
      <c r="Y32" s="41">
        <v>60.12</v>
      </c>
      <c r="Z32" s="41">
        <v>57.46</v>
      </c>
      <c r="AA32" s="41">
        <v>58.02</v>
      </c>
      <c r="AB32" s="104">
        <v>4019900</v>
      </c>
      <c r="AC32" s="41">
        <v>58.02</v>
      </c>
      <c r="AD32" s="2">
        <f t="shared" si="0"/>
        <v>2.6599999999999966</v>
      </c>
      <c r="AE32" s="138">
        <f t="shared" si="1"/>
        <v>-3.5090636953267862E-2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42563</v>
      </c>
      <c r="X33" s="41">
        <v>57.24</v>
      </c>
      <c r="Y33" s="41">
        <v>60.17</v>
      </c>
      <c r="Z33" s="41">
        <v>57.08</v>
      </c>
      <c r="AA33" s="41">
        <v>60.13</v>
      </c>
      <c r="AB33" s="104">
        <v>4561700</v>
      </c>
      <c r="AC33" s="41">
        <v>60.13</v>
      </c>
      <c r="AD33" s="2">
        <f t="shared" si="0"/>
        <v>3.0900000000000034</v>
      </c>
      <c r="AE33" s="138">
        <f t="shared" si="1"/>
        <v>7.2409488139825173E-2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42562</v>
      </c>
      <c r="X34" s="41">
        <v>57.23</v>
      </c>
      <c r="Y34" s="41">
        <v>57.41</v>
      </c>
      <c r="Z34" s="41">
        <v>55.99</v>
      </c>
      <c r="AA34" s="41">
        <v>56.07</v>
      </c>
      <c r="AB34" s="104">
        <v>2337000</v>
      </c>
      <c r="AC34" s="41">
        <v>56.07</v>
      </c>
      <c r="AD34" s="2">
        <f t="shared" si="0"/>
        <v>1.4199999999999946</v>
      </c>
      <c r="AE34" s="138">
        <f t="shared" si="1"/>
        <v>-1.3025875726104585E-2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42559</v>
      </c>
      <c r="X35" s="41">
        <v>57.68</v>
      </c>
      <c r="Y35" s="41">
        <v>57.87</v>
      </c>
      <c r="Z35" s="41">
        <v>55.77</v>
      </c>
      <c r="AA35" s="41">
        <v>56.81</v>
      </c>
      <c r="AB35" s="104">
        <v>3259200</v>
      </c>
      <c r="AC35" s="41">
        <v>56.81</v>
      </c>
      <c r="AD35" s="2">
        <f t="shared" si="0"/>
        <v>2.0999999999999943</v>
      </c>
      <c r="AE35" s="138">
        <f t="shared" si="1"/>
        <v>5.8427762039661157E-3</v>
      </c>
    </row>
    <row r="36" spans="2:31" x14ac:dyDescent="0.25">
      <c r="B36" s="193">
        <v>42374</v>
      </c>
      <c r="C36" s="283">
        <v>600</v>
      </c>
      <c r="D36" s="284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42558</v>
      </c>
      <c r="X36" s="41">
        <v>57.73</v>
      </c>
      <c r="Y36" s="41">
        <v>58.68</v>
      </c>
      <c r="Z36" s="41">
        <v>55.85</v>
      </c>
      <c r="AA36" s="41">
        <v>56.48</v>
      </c>
      <c r="AB36" s="104">
        <v>4218100</v>
      </c>
      <c r="AC36" s="41">
        <v>56.48</v>
      </c>
      <c r="AD36" s="2">
        <f t="shared" si="0"/>
        <v>2.8299999999999983</v>
      </c>
      <c r="AE36" s="138">
        <f t="shared" si="1"/>
        <v>-7.0323488045007654E-3</v>
      </c>
    </row>
    <row r="37" spans="2:31" x14ac:dyDescent="0.25">
      <c r="B37" s="193">
        <v>42375</v>
      </c>
      <c r="C37" s="283">
        <v>750</v>
      </c>
      <c r="D37" s="284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42557</v>
      </c>
      <c r="X37" s="41">
        <v>56.54</v>
      </c>
      <c r="Y37" s="41">
        <v>56.96</v>
      </c>
      <c r="Z37" s="41">
        <v>55.86</v>
      </c>
      <c r="AA37" s="41">
        <v>56.88</v>
      </c>
      <c r="AB37" s="104">
        <v>3065100</v>
      </c>
      <c r="AC37" s="41">
        <v>56.88</v>
      </c>
      <c r="AD37" s="2">
        <f t="shared" si="0"/>
        <v>1.1000000000000014</v>
      </c>
      <c r="AE37" s="138">
        <f t="shared" si="1"/>
        <v>-1.4044943820223921E-3</v>
      </c>
    </row>
    <row r="38" spans="2:31" x14ac:dyDescent="0.25">
      <c r="B38" s="193">
        <v>42398</v>
      </c>
      <c r="C38" s="283">
        <v>600</v>
      </c>
      <c r="D38" s="284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42556</v>
      </c>
      <c r="X38" s="41">
        <v>58.65</v>
      </c>
      <c r="Y38" s="41">
        <v>59.28</v>
      </c>
      <c r="Z38" s="41">
        <v>56.19</v>
      </c>
      <c r="AA38" s="41">
        <v>56.96</v>
      </c>
      <c r="AB38" s="104">
        <v>4089100</v>
      </c>
      <c r="AC38" s="41">
        <v>56.96</v>
      </c>
      <c r="AD38" s="2">
        <f t="shared" si="0"/>
        <v>3.0900000000000034</v>
      </c>
      <c r="AE38" s="138">
        <f t="shared" si="1"/>
        <v>-5.3034081463009142E-2</v>
      </c>
    </row>
    <row r="39" spans="2:31" x14ac:dyDescent="0.25">
      <c r="B39" s="193">
        <v>42402</v>
      </c>
      <c r="C39" s="283">
        <v>750</v>
      </c>
      <c r="D39" s="284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42552</v>
      </c>
      <c r="X39" s="41">
        <v>60.01</v>
      </c>
      <c r="Y39" s="41">
        <v>61.54</v>
      </c>
      <c r="Z39" s="41">
        <v>59.69</v>
      </c>
      <c r="AA39" s="41">
        <v>60.15</v>
      </c>
      <c r="AB39" s="104">
        <v>3315600</v>
      </c>
      <c r="AC39" s="41">
        <v>60.15</v>
      </c>
      <c r="AD39" s="2">
        <f t="shared" si="0"/>
        <v>1.8500000000000014</v>
      </c>
      <c r="AE39" s="138">
        <f t="shared" si="1"/>
        <v>8.3194675540765317E-4</v>
      </c>
    </row>
    <row r="40" spans="2:31" x14ac:dyDescent="0.25">
      <c r="B40" s="193">
        <v>42405</v>
      </c>
      <c r="C40" s="283">
        <v>750</v>
      </c>
      <c r="D40" s="284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42551</v>
      </c>
      <c r="X40" s="41">
        <v>59.42</v>
      </c>
      <c r="Y40" s="41">
        <v>60.38</v>
      </c>
      <c r="Z40" s="41">
        <v>58.81</v>
      </c>
      <c r="AA40" s="41">
        <v>60.1</v>
      </c>
      <c r="AB40" s="104">
        <v>11904700</v>
      </c>
      <c r="AC40" s="41">
        <v>60.1</v>
      </c>
      <c r="AD40" s="2">
        <f t="shared" si="0"/>
        <v>1.5700000000000003</v>
      </c>
      <c r="AE40" s="138">
        <f t="shared" si="1"/>
        <v>4.0332352432058238E-2</v>
      </c>
    </row>
    <row r="41" spans="2:31" x14ac:dyDescent="0.25">
      <c r="B41" s="193">
        <v>42421</v>
      </c>
      <c r="C41" s="283">
        <v>750</v>
      </c>
      <c r="D41" s="284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42550</v>
      </c>
      <c r="X41" s="41">
        <v>55.87</v>
      </c>
      <c r="Y41" s="41">
        <v>57.98</v>
      </c>
      <c r="Z41" s="41">
        <v>55.43</v>
      </c>
      <c r="AA41" s="41">
        <v>57.77</v>
      </c>
      <c r="AB41" s="104">
        <v>3837600</v>
      </c>
      <c r="AC41" s="41">
        <v>57.77</v>
      </c>
      <c r="AD41" s="2">
        <f t="shared" si="0"/>
        <v>2.5499999999999972</v>
      </c>
      <c r="AE41" s="138">
        <f t="shared" si="1"/>
        <v>4.7696771853463993E-2</v>
      </c>
    </row>
    <row r="42" spans="2:31" ht="20.25" thickBot="1" x14ac:dyDescent="0.35">
      <c r="B42" s="193">
        <v>42422</v>
      </c>
      <c r="C42" s="283">
        <v>750</v>
      </c>
      <c r="D42" s="284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42549</v>
      </c>
      <c r="X42" s="41">
        <v>54.5</v>
      </c>
      <c r="Y42" s="41">
        <v>55.54</v>
      </c>
      <c r="Z42" s="41">
        <v>53.72</v>
      </c>
      <c r="AA42" s="41">
        <v>55.14</v>
      </c>
      <c r="AB42" s="104">
        <v>4226900</v>
      </c>
      <c r="AC42" s="41">
        <v>55.14</v>
      </c>
      <c r="AD42" s="2">
        <f t="shared" si="0"/>
        <v>1.8200000000000003</v>
      </c>
      <c r="AE42" s="138">
        <f t="shared" si="1"/>
        <v>4.7691430742922147E-2</v>
      </c>
    </row>
    <row r="43" spans="2:31" ht="15.75" thickTop="1" x14ac:dyDescent="0.25">
      <c r="B43" s="193">
        <v>42424</v>
      </c>
      <c r="C43" s="283">
        <v>750</v>
      </c>
      <c r="D43" s="284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56.42</v>
      </c>
      <c r="W43" s="110">
        <v>42548</v>
      </c>
      <c r="X43" s="41">
        <v>54.87</v>
      </c>
      <c r="Y43" s="41">
        <v>55.12</v>
      </c>
      <c r="Z43" s="41">
        <v>51.82</v>
      </c>
      <c r="AA43" s="41">
        <v>52.63</v>
      </c>
      <c r="AB43" s="104">
        <v>6076000</v>
      </c>
      <c r="AC43" s="41">
        <v>52.63</v>
      </c>
      <c r="AD43" s="2">
        <f t="shared" si="0"/>
        <v>3.2999999999999972</v>
      </c>
      <c r="AE43" s="138">
        <f t="shared" si="1"/>
        <v>-5.7316854737596179E-2</v>
      </c>
    </row>
    <row r="44" spans="2:31" ht="20.25" thickBot="1" x14ac:dyDescent="0.35">
      <c r="B44" s="193">
        <v>42426</v>
      </c>
      <c r="C44" s="283">
        <v>750</v>
      </c>
      <c r="D44" s="284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5" t="s">
        <v>78</v>
      </c>
      <c r="P44" s="535"/>
      <c r="T44" s="108" t="s">
        <v>99</v>
      </c>
      <c r="U44" s="106">
        <v>56.08</v>
      </c>
      <c r="W44" s="110">
        <v>42545</v>
      </c>
      <c r="X44" s="41">
        <v>57.04</v>
      </c>
      <c r="Y44" s="41">
        <v>58.07</v>
      </c>
      <c r="Z44" s="41">
        <v>55.51</v>
      </c>
      <c r="AA44" s="41">
        <v>55.83</v>
      </c>
      <c r="AB44" s="104">
        <v>4830300</v>
      </c>
      <c r="AC44" s="41">
        <v>55.83</v>
      </c>
      <c r="AD44" s="2">
        <f t="shared" si="0"/>
        <v>2.5600000000000023</v>
      </c>
      <c r="AE44" s="138">
        <f t="shared" si="1"/>
        <v>-6.5919357537226109E-2</v>
      </c>
    </row>
    <row r="45" spans="2:31" ht="15.75" thickTop="1" x14ac:dyDescent="0.25">
      <c r="B45" s="193">
        <v>42426</v>
      </c>
      <c r="C45" s="283">
        <v>600</v>
      </c>
      <c r="D45" s="284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61.985000000000007</v>
      </c>
      <c r="R45" s="34"/>
      <c r="T45" s="108" t="s">
        <v>100</v>
      </c>
      <c r="U45" s="106" t="s">
        <v>442</v>
      </c>
      <c r="W45" s="110">
        <v>42544</v>
      </c>
      <c r="X45" s="41">
        <v>58.73</v>
      </c>
      <c r="Y45" s="41">
        <v>59.79</v>
      </c>
      <c r="Z45" s="41">
        <v>58.33</v>
      </c>
      <c r="AA45" s="41">
        <v>59.77</v>
      </c>
      <c r="AB45" s="104">
        <v>2501400</v>
      </c>
      <c r="AC45" s="41">
        <v>59.77</v>
      </c>
      <c r="AD45" s="2">
        <f t="shared" si="0"/>
        <v>1.4600000000000009</v>
      </c>
      <c r="AE45" s="138">
        <f t="shared" si="1"/>
        <v>3.0162013098931295E-2</v>
      </c>
    </row>
    <row r="46" spans="2:31" x14ac:dyDescent="0.25">
      <c r="B46" s="193">
        <v>42426</v>
      </c>
      <c r="C46" s="283">
        <v>750</v>
      </c>
      <c r="D46" s="284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61.421500000000009</v>
      </c>
      <c r="Q46" s="2"/>
      <c r="R46" s="34"/>
      <c r="T46" s="108" t="s">
        <v>101</v>
      </c>
      <c r="U46" s="106" t="s">
        <v>443</v>
      </c>
      <c r="W46" s="110">
        <v>42543</v>
      </c>
      <c r="X46" s="41">
        <v>59.03</v>
      </c>
      <c r="Y46" s="41">
        <v>59.03</v>
      </c>
      <c r="Z46" s="41">
        <v>57.84</v>
      </c>
      <c r="AA46" s="41">
        <v>58.02</v>
      </c>
      <c r="AB46" s="104">
        <v>1880500</v>
      </c>
      <c r="AC46" s="41">
        <v>58.02</v>
      </c>
      <c r="AD46" s="2">
        <f t="shared" si="0"/>
        <v>1.1899999999999977</v>
      </c>
      <c r="AE46" s="138">
        <f t="shared" si="1"/>
        <v>-1.1584327086882396E-2</v>
      </c>
    </row>
    <row r="47" spans="2:31" x14ac:dyDescent="0.25">
      <c r="B47" s="193">
        <v>42430</v>
      </c>
      <c r="C47" s="283">
        <v>750</v>
      </c>
      <c r="D47" s="284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60.858000000000004</v>
      </c>
      <c r="Q47" s="2"/>
      <c r="R47" s="34"/>
      <c r="T47" s="108" t="s">
        <v>102</v>
      </c>
      <c r="U47" s="106">
        <v>65.45</v>
      </c>
      <c r="W47" s="110">
        <v>42542</v>
      </c>
      <c r="X47" s="41">
        <v>58.12</v>
      </c>
      <c r="Y47" s="41">
        <v>58.82</v>
      </c>
      <c r="Z47" s="41">
        <v>57.5</v>
      </c>
      <c r="AA47" s="41">
        <v>58.7</v>
      </c>
      <c r="AB47" s="104">
        <v>2241900</v>
      </c>
      <c r="AC47" s="41">
        <v>58.7</v>
      </c>
      <c r="AD47" s="2">
        <f t="shared" si="0"/>
        <v>1.3200000000000003</v>
      </c>
      <c r="AE47" s="138">
        <f t="shared" si="1"/>
        <v>6.5157750342936804E-3</v>
      </c>
    </row>
    <row r="48" spans="2:31" x14ac:dyDescent="0.25">
      <c r="B48" s="193">
        <v>42431</v>
      </c>
      <c r="C48" s="283">
        <v>450</v>
      </c>
      <c r="D48" s="284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60.294500000000006</v>
      </c>
      <c r="Q48" s="2"/>
      <c r="R48" s="34"/>
      <c r="T48" s="108" t="s">
        <v>103</v>
      </c>
      <c r="U48" s="106">
        <v>1.4319599999999999</v>
      </c>
      <c r="W48" s="110">
        <v>42541</v>
      </c>
      <c r="X48" s="41">
        <v>58.18</v>
      </c>
      <c r="Y48" s="41">
        <v>58.81</v>
      </c>
      <c r="Z48" s="41">
        <v>57.73</v>
      </c>
      <c r="AA48" s="41">
        <v>58.32</v>
      </c>
      <c r="AB48" s="104">
        <v>2825300</v>
      </c>
      <c r="AC48" s="41">
        <v>58.32</v>
      </c>
      <c r="AD48" s="2">
        <f t="shared" si="0"/>
        <v>1.0800000000000054</v>
      </c>
      <c r="AE48" s="138">
        <f t="shared" si="1"/>
        <v>2.3876404494381998E-2</v>
      </c>
    </row>
    <row r="49" spans="2:31" x14ac:dyDescent="0.25">
      <c r="B49" s="193">
        <v>42433</v>
      </c>
      <c r="C49" s="283">
        <v>400</v>
      </c>
      <c r="D49" s="284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59.731000000000002</v>
      </c>
      <c r="Q49" s="2"/>
      <c r="R49" s="34"/>
      <c r="T49" s="108" t="s">
        <v>123</v>
      </c>
      <c r="U49" s="106" t="s">
        <v>332</v>
      </c>
      <c r="W49" s="110">
        <v>42538</v>
      </c>
      <c r="X49" s="41">
        <v>57.02</v>
      </c>
      <c r="Y49" s="41">
        <v>57.61</v>
      </c>
      <c r="Z49" s="41">
        <v>56.73</v>
      </c>
      <c r="AA49" s="41">
        <v>56.96</v>
      </c>
      <c r="AB49" s="104">
        <v>2947300</v>
      </c>
      <c r="AC49" s="41">
        <v>56.96</v>
      </c>
      <c r="AD49" s="2">
        <f t="shared" si="0"/>
        <v>0.88000000000000256</v>
      </c>
      <c r="AE49" s="138">
        <f t="shared" si="1"/>
        <v>1.5329768270944788E-2</v>
      </c>
    </row>
    <row r="50" spans="2:31" x14ac:dyDescent="0.25">
      <c r="B50" s="193">
        <v>42433</v>
      </c>
      <c r="C50" s="283">
        <v>450</v>
      </c>
      <c r="D50" s="284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59.167500000000004</v>
      </c>
      <c r="Q50" s="2"/>
      <c r="R50" s="34"/>
      <c r="T50" s="108"/>
      <c r="U50" s="106"/>
      <c r="W50" s="110">
        <v>42537</v>
      </c>
      <c r="X50" s="41">
        <v>56.39</v>
      </c>
      <c r="Y50" s="41">
        <v>56.46</v>
      </c>
      <c r="Z50" s="41">
        <v>54.42</v>
      </c>
      <c r="AA50" s="41">
        <v>56.1</v>
      </c>
      <c r="AB50" s="104">
        <v>4120500</v>
      </c>
      <c r="AC50" s="41">
        <v>56.1</v>
      </c>
      <c r="AD50" s="2">
        <f t="shared" si="0"/>
        <v>2.0399999999999991</v>
      </c>
      <c r="AE50" s="138">
        <f t="shared" si="1"/>
        <v>-1.8372703412073421E-2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58.604000000000006</v>
      </c>
      <c r="Q51" s="2"/>
      <c r="R51" s="34"/>
      <c r="T51" s="108" t="s">
        <v>105</v>
      </c>
      <c r="U51" s="106" t="s">
        <v>444</v>
      </c>
      <c r="W51" s="110">
        <v>42536</v>
      </c>
      <c r="X51" s="41">
        <v>57.65</v>
      </c>
      <c r="Y51" s="41">
        <v>58.26</v>
      </c>
      <c r="Z51" s="41">
        <v>56.25</v>
      </c>
      <c r="AA51" s="41">
        <v>57.15</v>
      </c>
      <c r="AB51" s="104">
        <v>3637200</v>
      </c>
      <c r="AC51" s="41">
        <v>57.15</v>
      </c>
      <c r="AD51" s="2">
        <f t="shared" si="0"/>
        <v>2.009999999999998</v>
      </c>
      <c r="AE51" s="138">
        <f t="shared" si="1"/>
        <v>-1.1587685921826352E-2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58.040500000000002</v>
      </c>
      <c r="Q52" s="2"/>
      <c r="R52" s="34"/>
      <c r="T52" s="108" t="s">
        <v>106</v>
      </c>
      <c r="U52" s="106" t="s">
        <v>288</v>
      </c>
      <c r="W52" s="110">
        <v>42535</v>
      </c>
      <c r="X52" s="41">
        <v>57</v>
      </c>
      <c r="Y52" s="41">
        <v>58.18</v>
      </c>
      <c r="Z52" s="41">
        <v>56.81</v>
      </c>
      <c r="AA52" s="41">
        <v>57.82</v>
      </c>
      <c r="AB52" s="104">
        <v>2144800</v>
      </c>
      <c r="AC52" s="41">
        <v>57.82</v>
      </c>
      <c r="AD52" s="2">
        <f t="shared" si="0"/>
        <v>1.3699999999999974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57.477000000000004</v>
      </c>
      <c r="Q53" s="2"/>
      <c r="R53" s="34"/>
      <c r="T53" s="108" t="s">
        <v>107</v>
      </c>
      <c r="U53" s="107">
        <v>3289187</v>
      </c>
      <c r="W53" s="110">
        <v>42535</v>
      </c>
      <c r="X53" s="41" t="s">
        <v>126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56.913499999999999</v>
      </c>
      <c r="Q54" s="2"/>
      <c r="R54" s="34"/>
      <c r="T54" s="108" t="s">
        <v>110</v>
      </c>
      <c r="U54" s="107">
        <v>3675250</v>
      </c>
      <c r="W54" s="110">
        <v>42534</v>
      </c>
      <c r="X54" s="41">
        <v>57.28</v>
      </c>
      <c r="Y54" s="41">
        <v>58.57</v>
      </c>
      <c r="Z54" s="41">
        <v>56.93</v>
      </c>
      <c r="AA54" s="41">
        <v>57.49</v>
      </c>
      <c r="AB54" s="104">
        <v>2338500</v>
      </c>
      <c r="AC54" s="41">
        <v>57.24</v>
      </c>
      <c r="AD54" s="2">
        <f t="shared" si="0"/>
        <v>1.6400000000000006</v>
      </c>
      <c r="AE54" s="138">
        <f t="shared" si="1"/>
        <v>-3.6553524804178172E-3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56.35</v>
      </c>
      <c r="Q55" s="2"/>
      <c r="R55" s="34"/>
      <c r="T55" s="108" t="s">
        <v>108</v>
      </c>
      <c r="U55" s="106" t="s">
        <v>445</v>
      </c>
      <c r="W55" s="110">
        <v>42531</v>
      </c>
      <c r="X55" s="41">
        <v>59.51</v>
      </c>
      <c r="Y55" s="41">
        <v>59.91</v>
      </c>
      <c r="Z55" s="41">
        <v>57.18</v>
      </c>
      <c r="AA55" s="41">
        <v>57.7</v>
      </c>
      <c r="AB55" s="104">
        <v>3635900</v>
      </c>
      <c r="AC55" s="41">
        <v>57.45</v>
      </c>
      <c r="AD55" s="2">
        <f t="shared" si="0"/>
        <v>2.7299999999999969</v>
      </c>
      <c r="AE55" s="138">
        <f t="shared" si="1"/>
        <v>-4.4411177644710476E-2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55.786500000000004</v>
      </c>
      <c r="Q56" s="2"/>
      <c r="R56" s="34"/>
      <c r="T56" s="108" t="s">
        <v>111</v>
      </c>
      <c r="U56" s="106" t="s">
        <v>130</v>
      </c>
      <c r="W56" s="110">
        <v>42530</v>
      </c>
      <c r="X56" s="41">
        <v>60.72</v>
      </c>
      <c r="Y56" s="41">
        <v>61.73</v>
      </c>
      <c r="Z56" s="41">
        <v>60.35</v>
      </c>
      <c r="AA56" s="41">
        <v>60.38</v>
      </c>
      <c r="AB56" s="104">
        <v>2304400</v>
      </c>
      <c r="AC56" s="41">
        <v>60.12</v>
      </c>
      <c r="AD56" s="2">
        <f t="shared" si="0"/>
        <v>1.3799999999999955</v>
      </c>
      <c r="AE56" s="138">
        <f t="shared" si="1"/>
        <v>-2.3867510959571403E-2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55.222999999999999</v>
      </c>
      <c r="Q57" s="2"/>
      <c r="R57" s="34"/>
      <c r="T57" s="108" t="s">
        <v>112</v>
      </c>
      <c r="U57" s="106">
        <v>-10.25</v>
      </c>
      <c r="W57" s="110">
        <v>42529</v>
      </c>
      <c r="X57" s="41">
        <v>62.23</v>
      </c>
      <c r="Y57" s="41">
        <v>63</v>
      </c>
      <c r="Z57" s="41">
        <v>61.22</v>
      </c>
      <c r="AA57" s="41">
        <v>61.86</v>
      </c>
      <c r="AB57" s="104">
        <v>2690800</v>
      </c>
      <c r="AC57" s="41">
        <v>61.59</v>
      </c>
      <c r="AD57" s="2">
        <f t="shared" si="0"/>
        <v>1.7800000000000011</v>
      </c>
      <c r="AE57" s="138">
        <f t="shared" si="1"/>
        <v>4.7308319738990079E-3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54.659500000000001</v>
      </c>
      <c r="Q58" s="2"/>
      <c r="R58" s="34"/>
      <c r="T58" s="108" t="s">
        <v>109</v>
      </c>
      <c r="U58" s="106" t="s">
        <v>388</v>
      </c>
      <c r="W58" s="110">
        <v>42528</v>
      </c>
      <c r="X58" s="41">
        <v>60.91</v>
      </c>
      <c r="Y58" s="41">
        <v>61.76</v>
      </c>
      <c r="Z58" s="41">
        <v>60.2</v>
      </c>
      <c r="AA58" s="41">
        <v>61.57</v>
      </c>
      <c r="AB58" s="104">
        <v>3359600</v>
      </c>
      <c r="AC58" s="41">
        <v>61.3</v>
      </c>
      <c r="AD58" s="2">
        <f t="shared" si="0"/>
        <v>1.5599999999999952</v>
      </c>
      <c r="AE58" s="138">
        <f t="shared" si="1"/>
        <v>2.0815986677768628E-2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54.095999999999997</v>
      </c>
      <c r="W59" s="110">
        <v>42527</v>
      </c>
      <c r="X59" s="41">
        <v>58.95</v>
      </c>
      <c r="Y59" s="41">
        <v>60.37</v>
      </c>
      <c r="Z59" s="41">
        <v>58.59</v>
      </c>
      <c r="AA59" s="41">
        <v>60.31</v>
      </c>
      <c r="AB59" s="104">
        <v>2925300</v>
      </c>
      <c r="AC59" s="41">
        <v>60.05</v>
      </c>
      <c r="AD59" s="2">
        <f t="shared" si="0"/>
        <v>1.779999999999994</v>
      </c>
      <c r="AE59" s="138">
        <f t="shared" si="1"/>
        <v>3.3384959559456195E-2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53.532499999999999</v>
      </c>
      <c r="W60" s="110">
        <v>42524</v>
      </c>
      <c r="X60" s="41">
        <v>59.33</v>
      </c>
      <c r="Y60" s="41">
        <v>59.74</v>
      </c>
      <c r="Z60" s="41">
        <v>58.13</v>
      </c>
      <c r="AA60" s="41">
        <v>58.36</v>
      </c>
      <c r="AB60" s="104">
        <v>2079300</v>
      </c>
      <c r="AC60" s="41">
        <v>58.11</v>
      </c>
      <c r="AD60" s="2">
        <f t="shared" si="0"/>
        <v>1.6099999999999994</v>
      </c>
      <c r="AE60" s="138">
        <f t="shared" si="1"/>
        <v>-1.4583686620315395E-2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52.969000000000001</v>
      </c>
      <c r="W61" s="110">
        <v>42523</v>
      </c>
      <c r="X61" s="41">
        <v>58.24</v>
      </c>
      <c r="Y61" s="41">
        <v>59.23</v>
      </c>
      <c r="Z61" s="41">
        <v>57.8</v>
      </c>
      <c r="AA61" s="41">
        <v>59.23</v>
      </c>
      <c r="AB61" s="104">
        <v>2451200</v>
      </c>
      <c r="AC61" s="41">
        <v>58.97</v>
      </c>
      <c r="AD61" s="2">
        <f t="shared" si="0"/>
        <v>1.4299999999999997</v>
      </c>
      <c r="AE61" s="138">
        <f t="shared" si="1"/>
        <v>5.2846914422093327E-3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52.405500000000004</v>
      </c>
      <c r="W62" s="110">
        <v>42522</v>
      </c>
      <c r="X62" s="41">
        <v>59.93</v>
      </c>
      <c r="Y62" s="41">
        <v>59.93</v>
      </c>
      <c r="Z62" s="41">
        <v>57.67</v>
      </c>
      <c r="AA62" s="41">
        <v>58.92</v>
      </c>
      <c r="AB62" s="104">
        <v>3284200</v>
      </c>
      <c r="AC62" s="41">
        <v>58.66</v>
      </c>
      <c r="AD62" s="2">
        <f t="shared" si="0"/>
        <v>2.259999999999998</v>
      </c>
      <c r="AE62" s="138">
        <f t="shared" si="1"/>
        <v>-1.6926428691134698E-2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51.842000000000006</v>
      </c>
      <c r="W63" s="110">
        <v>42521</v>
      </c>
      <c r="X63" s="41">
        <v>60.44</v>
      </c>
      <c r="Y63" s="41">
        <v>61.12</v>
      </c>
      <c r="Z63" s="41">
        <v>59.56</v>
      </c>
      <c r="AA63" s="41">
        <v>59.93</v>
      </c>
      <c r="AB63" s="104">
        <v>2650500</v>
      </c>
      <c r="AC63" s="41">
        <v>59.67</v>
      </c>
      <c r="AD63" s="2">
        <f t="shared" si="0"/>
        <v>1.5599999999999952</v>
      </c>
      <c r="AE63" s="138">
        <f t="shared" si="1"/>
        <v>-5.0025012506252908E-3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51.278500000000001</v>
      </c>
      <c r="W64" s="110">
        <v>42517</v>
      </c>
      <c r="X64" s="41">
        <v>59.94</v>
      </c>
      <c r="Y64" s="41">
        <v>61.17</v>
      </c>
      <c r="Z64" s="41">
        <v>59.46</v>
      </c>
      <c r="AA64" s="41">
        <v>60.23</v>
      </c>
      <c r="AB64" s="104">
        <v>3747200</v>
      </c>
      <c r="AC64" s="41">
        <v>59.97</v>
      </c>
      <c r="AD64" s="2">
        <f t="shared" si="0"/>
        <v>1.7100000000000009</v>
      </c>
      <c r="AE64" s="138">
        <f t="shared" si="1"/>
        <v>-3.4895314057826754E-3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50.715000000000003</v>
      </c>
      <c r="W65" s="110">
        <v>42516</v>
      </c>
      <c r="X65" s="41">
        <v>61.51</v>
      </c>
      <c r="Y65" s="41">
        <v>62</v>
      </c>
      <c r="Z65" s="41">
        <v>60.4</v>
      </c>
      <c r="AA65" s="41">
        <v>60.44</v>
      </c>
      <c r="AB65" s="104">
        <v>3399600</v>
      </c>
      <c r="AC65" s="41">
        <v>60.18</v>
      </c>
      <c r="AD65" s="2">
        <f t="shared" si="0"/>
        <v>1.6000000000000014</v>
      </c>
      <c r="AE65" s="138">
        <f t="shared" si="1"/>
        <v>-3.3123550844651461E-3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42515</v>
      </c>
      <c r="X66" s="41">
        <v>58.78</v>
      </c>
      <c r="Y66" s="41">
        <v>60.93</v>
      </c>
      <c r="Z66" s="41">
        <v>58.78</v>
      </c>
      <c r="AA66" s="41">
        <v>60.64</v>
      </c>
      <c r="AB66" s="104">
        <v>3708700</v>
      </c>
      <c r="AC66" s="41">
        <v>60.38</v>
      </c>
      <c r="AD66" s="2">
        <f t="shared" si="0"/>
        <v>2.1499999999999986</v>
      </c>
      <c r="AE66" s="138">
        <f t="shared" si="1"/>
        <v>4.193270060396892E-2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42514</v>
      </c>
      <c r="X67" s="41">
        <v>58.93</v>
      </c>
      <c r="Y67" s="41">
        <v>58.99</v>
      </c>
      <c r="Z67" s="41">
        <v>57.8</v>
      </c>
      <c r="AA67" s="41">
        <v>58.2</v>
      </c>
      <c r="AB67" s="104">
        <v>2311700</v>
      </c>
      <c r="AC67" s="41">
        <v>57.95</v>
      </c>
      <c r="AD67" s="2">
        <f>Y67-Z67</f>
        <v>1.1900000000000048</v>
      </c>
      <c r="AE67" s="138">
        <f>AC67/AC68-1</f>
        <v>-6.6849502913952641E-3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42513</v>
      </c>
      <c r="X68" s="41">
        <v>56.96</v>
      </c>
      <c r="Y68" s="41">
        <v>59.09</v>
      </c>
      <c r="Z68" s="41">
        <v>56.62</v>
      </c>
      <c r="AA68" s="41">
        <v>58.59</v>
      </c>
      <c r="AB68" s="104">
        <v>2558600</v>
      </c>
      <c r="AC68" s="41">
        <v>58.34</v>
      </c>
      <c r="AD68" s="2">
        <f>Y68-Z68</f>
        <v>2.470000000000006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224</v>
      </c>
      <c r="M75" s="2">
        <f>M128+K128-F128</f>
        <v>3178.8000000000466</v>
      </c>
    </row>
    <row r="76" spans="1:31" x14ac:dyDescent="0.25">
      <c r="A76" s="398" t="s">
        <v>1</v>
      </c>
      <c r="B76" s="399" t="s">
        <v>2</v>
      </c>
      <c r="C76" s="398" t="s">
        <v>4</v>
      </c>
      <c r="D76" s="400" t="s">
        <v>5</v>
      </c>
      <c r="E76" s="401" t="s">
        <v>90</v>
      </c>
      <c r="F76" s="401" t="s">
        <v>60</v>
      </c>
      <c r="G76" s="398" t="s">
        <v>3</v>
      </c>
      <c r="H76" s="402" t="s">
        <v>6</v>
      </c>
      <c r="I76" s="401" t="s">
        <v>7</v>
      </c>
      <c r="J76" s="401" t="s">
        <v>89</v>
      </c>
      <c r="K76" s="401" t="s">
        <v>61</v>
      </c>
      <c r="L76" s="398" t="s">
        <v>43</v>
      </c>
      <c r="M76" s="398" t="s">
        <v>38</v>
      </c>
    </row>
    <row r="77" spans="1:31" x14ac:dyDescent="0.25">
      <c r="A77" s="394" t="s">
        <v>22</v>
      </c>
      <c r="B77" s="403">
        <v>42153</v>
      </c>
      <c r="C77" s="385">
        <v>20</v>
      </c>
      <c r="D77" s="390">
        <v>67.3</v>
      </c>
      <c r="E77" s="386">
        <v>0</v>
      </c>
      <c r="F77" s="386">
        <f t="shared" ref="F77:F126" si="6">D77*C77+E77</f>
        <v>1346</v>
      </c>
      <c r="G77" s="384">
        <v>42219</v>
      </c>
      <c r="H77" s="404">
        <v>25</v>
      </c>
      <c r="I77" s="405">
        <v>60.05</v>
      </c>
      <c r="J77" s="405">
        <v>0.03</v>
      </c>
      <c r="K77" s="405">
        <f t="shared" ref="K77:K112" si="7">H77*I77-J77</f>
        <v>1501.22</v>
      </c>
      <c r="L77" s="384">
        <v>42185</v>
      </c>
      <c r="M77" s="386">
        <v>5</v>
      </c>
    </row>
    <row r="78" spans="1:31" x14ac:dyDescent="0.25">
      <c r="A78" s="395" t="s">
        <v>71</v>
      </c>
      <c r="B78" s="403">
        <v>42205</v>
      </c>
      <c r="C78" s="385">
        <v>20</v>
      </c>
      <c r="D78" s="390">
        <v>63.4</v>
      </c>
      <c r="E78" s="386">
        <v>0</v>
      </c>
      <c r="F78" s="386">
        <f t="shared" si="6"/>
        <v>1268</v>
      </c>
      <c r="G78" s="384">
        <v>42219</v>
      </c>
      <c r="H78" s="404">
        <v>55</v>
      </c>
      <c r="I78" s="405">
        <v>59.75</v>
      </c>
      <c r="J78" s="405">
        <v>0.06</v>
      </c>
      <c r="K78" s="405">
        <f t="shared" si="7"/>
        <v>3286.19</v>
      </c>
      <c r="L78" s="384">
        <v>42277</v>
      </c>
      <c r="M78" s="386">
        <v>37.5</v>
      </c>
    </row>
    <row r="79" spans="1:31" x14ac:dyDescent="0.25">
      <c r="A79" s="385"/>
      <c r="B79" s="403">
        <v>42205</v>
      </c>
      <c r="C79" s="385">
        <v>20</v>
      </c>
      <c r="D79" s="390">
        <v>63.15</v>
      </c>
      <c r="E79" s="386">
        <v>0</v>
      </c>
      <c r="F79" s="386">
        <f t="shared" si="6"/>
        <v>1263</v>
      </c>
      <c r="G79" s="384">
        <v>42250</v>
      </c>
      <c r="H79" s="389">
        <v>100</v>
      </c>
      <c r="I79" s="386">
        <v>59.4</v>
      </c>
      <c r="J79" s="386">
        <v>0.11</v>
      </c>
      <c r="K79" s="405">
        <f t="shared" si="7"/>
        <v>5939.89</v>
      </c>
      <c r="L79" s="384">
        <v>42734</v>
      </c>
      <c r="M79" s="386">
        <v>100</v>
      </c>
    </row>
    <row r="80" spans="1:31" x14ac:dyDescent="0.25">
      <c r="A80" s="385"/>
      <c r="B80" s="403">
        <v>42207</v>
      </c>
      <c r="C80" s="385">
        <v>10</v>
      </c>
      <c r="D80" s="390">
        <v>62</v>
      </c>
      <c r="E80" s="386">
        <v>0</v>
      </c>
      <c r="F80" s="386">
        <f t="shared" si="6"/>
        <v>620</v>
      </c>
      <c r="G80" s="384">
        <v>42258</v>
      </c>
      <c r="H80" s="389">
        <v>80</v>
      </c>
      <c r="I80" s="386">
        <v>56.47</v>
      </c>
      <c r="J80" s="386">
        <v>0.08</v>
      </c>
      <c r="K80" s="405">
        <f t="shared" si="7"/>
        <v>4517.5200000000004</v>
      </c>
      <c r="L80" s="384">
        <v>42459</v>
      </c>
      <c r="M80" s="386">
        <v>25</v>
      </c>
    </row>
    <row r="81" spans="1:13" x14ac:dyDescent="0.25">
      <c r="A81" s="385"/>
      <c r="B81" s="403">
        <v>42207</v>
      </c>
      <c r="C81" s="385">
        <v>5</v>
      </c>
      <c r="D81" s="390">
        <v>61.6</v>
      </c>
      <c r="E81" s="386">
        <v>0</v>
      </c>
      <c r="F81" s="386">
        <f t="shared" si="6"/>
        <v>308</v>
      </c>
      <c r="G81" s="384">
        <v>42263</v>
      </c>
      <c r="H81" s="389">
        <v>80</v>
      </c>
      <c r="I81" s="386">
        <v>52.55</v>
      </c>
      <c r="J81" s="386">
        <v>0.08</v>
      </c>
      <c r="K81" s="405">
        <f t="shared" si="7"/>
        <v>4203.92</v>
      </c>
      <c r="L81" s="385"/>
      <c r="M81" s="386"/>
    </row>
    <row r="82" spans="1:13" x14ac:dyDescent="0.25">
      <c r="A82" s="385"/>
      <c r="B82" s="403">
        <v>42207</v>
      </c>
      <c r="C82" s="385">
        <v>20</v>
      </c>
      <c r="D82" s="390">
        <v>59.85</v>
      </c>
      <c r="E82" s="386">
        <v>0</v>
      </c>
      <c r="F82" s="386">
        <f t="shared" si="6"/>
        <v>1197</v>
      </c>
      <c r="G82" s="384">
        <v>42284</v>
      </c>
      <c r="H82" s="389">
        <v>50</v>
      </c>
      <c r="I82" s="386">
        <v>52.85</v>
      </c>
      <c r="J82" s="386">
        <v>0.05</v>
      </c>
      <c r="K82" s="405">
        <f t="shared" si="7"/>
        <v>2642.45</v>
      </c>
      <c r="L82" s="385"/>
      <c r="M82" s="386"/>
    </row>
    <row r="83" spans="1:13" x14ac:dyDescent="0.25">
      <c r="A83" s="385"/>
      <c r="B83" s="403">
        <v>42208</v>
      </c>
      <c r="C83" s="385">
        <v>5</v>
      </c>
      <c r="D83" s="390">
        <v>61.3</v>
      </c>
      <c r="E83" s="386">
        <v>0</v>
      </c>
      <c r="F83" s="386">
        <f t="shared" si="6"/>
        <v>306.5</v>
      </c>
      <c r="G83" s="384">
        <v>42284</v>
      </c>
      <c r="H83" s="389">
        <v>30</v>
      </c>
      <c r="I83" s="386">
        <v>53.05</v>
      </c>
      <c r="J83" s="386">
        <v>0.03</v>
      </c>
      <c r="K83" s="405">
        <f t="shared" si="7"/>
        <v>1591.47</v>
      </c>
      <c r="L83" s="385"/>
      <c r="M83" s="386"/>
    </row>
    <row r="84" spans="1:13" x14ac:dyDescent="0.25">
      <c r="A84" s="385"/>
      <c r="B84" s="403">
        <v>42219</v>
      </c>
      <c r="C84" s="406">
        <v>25</v>
      </c>
      <c r="D84" s="390">
        <v>59.4</v>
      </c>
      <c r="E84" s="386">
        <v>0</v>
      </c>
      <c r="F84" s="386">
        <f t="shared" si="6"/>
        <v>1485</v>
      </c>
      <c r="G84" s="384">
        <v>42291</v>
      </c>
      <c r="H84" s="389">
        <v>80</v>
      </c>
      <c r="I84" s="386">
        <v>61.6</v>
      </c>
      <c r="J84" s="386">
        <v>0.09</v>
      </c>
      <c r="K84" s="405">
        <f t="shared" si="7"/>
        <v>4927.91</v>
      </c>
      <c r="L84" s="385"/>
      <c r="M84" s="386"/>
    </row>
    <row r="85" spans="1:13" x14ac:dyDescent="0.25">
      <c r="A85" s="385"/>
      <c r="B85" s="403">
        <v>42219</v>
      </c>
      <c r="C85" s="406">
        <v>50</v>
      </c>
      <c r="D85" s="390">
        <v>59.2</v>
      </c>
      <c r="E85" s="386">
        <v>0</v>
      </c>
      <c r="F85" s="386">
        <f t="shared" si="6"/>
        <v>2960</v>
      </c>
      <c r="G85" s="384">
        <v>42297</v>
      </c>
      <c r="H85" s="389">
        <v>115</v>
      </c>
      <c r="I85" s="386">
        <v>61.23</v>
      </c>
      <c r="J85" s="386">
        <v>0.13</v>
      </c>
      <c r="K85" s="405">
        <f t="shared" si="7"/>
        <v>7041.32</v>
      </c>
      <c r="L85" s="385"/>
      <c r="M85" s="386"/>
    </row>
    <row r="86" spans="1:13" x14ac:dyDescent="0.25">
      <c r="A86" s="385"/>
      <c r="B86" s="403">
        <v>42226</v>
      </c>
      <c r="C86" s="406">
        <v>5</v>
      </c>
      <c r="D86" s="390">
        <v>56.2</v>
      </c>
      <c r="E86" s="386">
        <v>0</v>
      </c>
      <c r="F86" s="386">
        <f t="shared" si="6"/>
        <v>281</v>
      </c>
      <c r="G86" s="384">
        <v>42304</v>
      </c>
      <c r="H86" s="389">
        <v>80</v>
      </c>
      <c r="I86" s="386">
        <v>59.76</v>
      </c>
      <c r="J86" s="386">
        <v>0.09</v>
      </c>
      <c r="K86" s="405">
        <f t="shared" si="7"/>
        <v>4780.71</v>
      </c>
      <c r="L86" s="385"/>
      <c r="M86" s="386"/>
    </row>
    <row r="87" spans="1:13" x14ac:dyDescent="0.25">
      <c r="A87" s="385"/>
      <c r="B87" s="403">
        <v>42226</v>
      </c>
      <c r="C87" s="385">
        <v>15</v>
      </c>
      <c r="D87" s="390">
        <v>56.5</v>
      </c>
      <c r="E87" s="386">
        <v>0</v>
      </c>
      <c r="F87" s="386">
        <f t="shared" si="6"/>
        <v>847.5</v>
      </c>
      <c r="G87" s="384">
        <v>42314</v>
      </c>
      <c r="H87" s="389">
        <v>10</v>
      </c>
      <c r="I87" s="386">
        <v>59.65</v>
      </c>
      <c r="J87" s="386">
        <v>0.01</v>
      </c>
      <c r="K87" s="405">
        <f t="shared" si="7"/>
        <v>596.49</v>
      </c>
      <c r="L87" s="385"/>
      <c r="M87" s="386"/>
    </row>
    <row r="88" spans="1:13" x14ac:dyDescent="0.25">
      <c r="A88" s="385"/>
      <c r="B88" s="403">
        <v>42240</v>
      </c>
      <c r="C88" s="406">
        <v>15</v>
      </c>
      <c r="D88" s="390">
        <v>57.19</v>
      </c>
      <c r="E88" s="386">
        <v>0</v>
      </c>
      <c r="F88" s="386">
        <f t="shared" si="6"/>
        <v>857.84999999999991</v>
      </c>
      <c r="G88" s="384">
        <v>42338</v>
      </c>
      <c r="H88" s="389">
        <v>75</v>
      </c>
      <c r="I88" s="386">
        <v>61.49</v>
      </c>
      <c r="J88" s="386">
        <v>0.08</v>
      </c>
      <c r="K88" s="386">
        <f t="shared" si="7"/>
        <v>4611.67</v>
      </c>
      <c r="L88" s="385"/>
      <c r="M88" s="386"/>
    </row>
    <row r="89" spans="1:13" x14ac:dyDescent="0.25">
      <c r="A89" s="385"/>
      <c r="B89" s="403">
        <v>42240</v>
      </c>
      <c r="C89" s="385">
        <v>20</v>
      </c>
      <c r="D89" s="390">
        <v>56.6</v>
      </c>
      <c r="E89" s="386">
        <v>0</v>
      </c>
      <c r="F89" s="386">
        <f t="shared" si="6"/>
        <v>1132</v>
      </c>
      <c r="G89" s="384">
        <v>42354</v>
      </c>
      <c r="H89" s="389">
        <v>100</v>
      </c>
      <c r="I89" s="386">
        <v>50.1</v>
      </c>
      <c r="J89" s="386">
        <v>0.09</v>
      </c>
      <c r="K89" s="386">
        <f t="shared" si="7"/>
        <v>5009.91</v>
      </c>
      <c r="L89" s="385"/>
      <c r="M89" s="386"/>
    </row>
    <row r="90" spans="1:13" x14ac:dyDescent="0.25">
      <c r="A90" s="385"/>
      <c r="B90" s="403">
        <v>42240</v>
      </c>
      <c r="C90" s="385">
        <v>30</v>
      </c>
      <c r="D90" s="390">
        <v>56.5</v>
      </c>
      <c r="E90" s="386">
        <v>0</v>
      </c>
      <c r="F90" s="386">
        <f t="shared" si="6"/>
        <v>1695</v>
      </c>
      <c r="G90" s="384">
        <v>42354</v>
      </c>
      <c r="H90" s="389">
        <v>200</v>
      </c>
      <c r="I90" s="386">
        <v>50.15</v>
      </c>
      <c r="J90" s="386">
        <v>0.18</v>
      </c>
      <c r="K90" s="386">
        <f t="shared" si="7"/>
        <v>10029.82</v>
      </c>
      <c r="L90" s="385"/>
      <c r="M90" s="386"/>
    </row>
    <row r="91" spans="1:13" ht="15" customHeight="1" x14ac:dyDescent="0.25">
      <c r="A91" s="385"/>
      <c r="B91" s="410">
        <v>42258</v>
      </c>
      <c r="C91" s="385">
        <v>80</v>
      </c>
      <c r="D91" s="390">
        <v>55.45</v>
      </c>
      <c r="E91" s="386">
        <v>0</v>
      </c>
      <c r="F91" s="386">
        <f t="shared" si="6"/>
        <v>4436</v>
      </c>
      <c r="G91" s="384">
        <v>42354</v>
      </c>
      <c r="H91" s="389">
        <v>100</v>
      </c>
      <c r="I91" s="386">
        <v>50.15</v>
      </c>
      <c r="J91" s="386">
        <v>0.09</v>
      </c>
      <c r="K91" s="386">
        <f t="shared" si="7"/>
        <v>5014.91</v>
      </c>
      <c r="L91" s="385"/>
      <c r="M91" s="386"/>
    </row>
    <row r="92" spans="1:13" x14ac:dyDescent="0.25">
      <c r="A92" s="385"/>
      <c r="B92" s="410"/>
      <c r="C92" s="385">
        <v>20</v>
      </c>
      <c r="D92" s="390">
        <v>55.45</v>
      </c>
      <c r="E92" s="386">
        <v>0</v>
      </c>
      <c r="F92" s="386">
        <f t="shared" si="6"/>
        <v>1109</v>
      </c>
      <c r="G92" s="384">
        <v>42367</v>
      </c>
      <c r="H92" s="389">
        <v>400</v>
      </c>
      <c r="I92" s="386">
        <v>49.86</v>
      </c>
      <c r="J92" s="386">
        <v>0.37</v>
      </c>
      <c r="K92" s="386">
        <f t="shared" si="7"/>
        <v>19943.63</v>
      </c>
      <c r="L92" s="385"/>
      <c r="M92" s="386"/>
    </row>
    <row r="93" spans="1:13" x14ac:dyDescent="0.25">
      <c r="A93" s="385"/>
      <c r="B93" s="411">
        <v>42263</v>
      </c>
      <c r="C93" s="385">
        <v>50</v>
      </c>
      <c r="D93" s="390">
        <v>52.7</v>
      </c>
      <c r="E93" s="386">
        <v>0</v>
      </c>
      <c r="F93" s="386">
        <f t="shared" si="6"/>
        <v>2635</v>
      </c>
      <c r="G93" s="384">
        <v>42375</v>
      </c>
      <c r="H93" s="389">
        <v>100</v>
      </c>
      <c r="I93" s="386">
        <v>47.56</v>
      </c>
      <c r="J93" s="386">
        <v>0.09</v>
      </c>
      <c r="K93" s="386">
        <f t="shared" si="7"/>
        <v>4755.91</v>
      </c>
      <c r="L93" s="385"/>
      <c r="M93" s="385"/>
    </row>
    <row r="94" spans="1:13" x14ac:dyDescent="0.25">
      <c r="A94" s="385"/>
      <c r="B94" s="411"/>
      <c r="C94" s="385">
        <v>30</v>
      </c>
      <c r="D94" s="390">
        <v>52.7</v>
      </c>
      <c r="E94" s="386">
        <v>0</v>
      </c>
      <c r="F94" s="386">
        <f t="shared" si="6"/>
        <v>1581</v>
      </c>
      <c r="G94" s="384">
        <v>42398</v>
      </c>
      <c r="H94" s="389">
        <v>150</v>
      </c>
      <c r="I94" s="386">
        <v>40.880000000000003</v>
      </c>
      <c r="J94" s="386">
        <v>0.11</v>
      </c>
      <c r="K94" s="386">
        <f t="shared" si="7"/>
        <v>6131.89</v>
      </c>
      <c r="L94" s="385"/>
      <c r="M94" s="385"/>
    </row>
    <row r="95" spans="1:13" x14ac:dyDescent="0.25">
      <c r="A95" s="385"/>
      <c r="B95" s="403">
        <v>42263</v>
      </c>
      <c r="C95" s="385">
        <v>50</v>
      </c>
      <c r="D95" s="390">
        <v>52.05</v>
      </c>
      <c r="E95" s="386">
        <v>0</v>
      </c>
      <c r="F95" s="386">
        <f t="shared" si="6"/>
        <v>2602.5</v>
      </c>
      <c r="G95" s="384">
        <v>42405</v>
      </c>
      <c r="H95" s="389">
        <v>100</v>
      </c>
      <c r="I95" s="386">
        <v>38.445</v>
      </c>
      <c r="J95" s="386">
        <v>7.0000000000000007E-2</v>
      </c>
      <c r="K95" s="386">
        <f t="shared" si="7"/>
        <v>3844.43</v>
      </c>
      <c r="L95" s="385"/>
      <c r="M95" s="385"/>
    </row>
    <row r="96" spans="1:13" x14ac:dyDescent="0.25">
      <c r="A96" s="385"/>
      <c r="B96" s="411">
        <v>42270</v>
      </c>
      <c r="C96" s="385">
        <v>30</v>
      </c>
      <c r="D96" s="390">
        <v>52.5</v>
      </c>
      <c r="E96" s="386">
        <v>0</v>
      </c>
      <c r="F96" s="386">
        <f t="shared" si="6"/>
        <v>1575</v>
      </c>
      <c r="G96" s="384">
        <v>42426</v>
      </c>
      <c r="H96" s="389">
        <v>150</v>
      </c>
      <c r="I96" s="386">
        <v>43.25</v>
      </c>
      <c r="J96" s="386">
        <v>0.14000000000000001</v>
      </c>
      <c r="K96" s="386">
        <f t="shared" si="7"/>
        <v>6487.36</v>
      </c>
      <c r="L96" s="385"/>
      <c r="M96" s="385"/>
    </row>
    <row r="97" spans="1:13" x14ac:dyDescent="0.25">
      <c r="A97" s="385"/>
      <c r="B97" s="411"/>
      <c r="C97" s="385">
        <v>20</v>
      </c>
      <c r="D97" s="390">
        <v>52.5</v>
      </c>
      <c r="E97" s="386">
        <v>0</v>
      </c>
      <c r="F97" s="386">
        <f t="shared" si="6"/>
        <v>1050</v>
      </c>
      <c r="G97" s="384">
        <v>42426</v>
      </c>
      <c r="H97" s="389">
        <v>150</v>
      </c>
      <c r="I97" s="386">
        <v>43.4</v>
      </c>
      <c r="J97" s="386">
        <v>0.14000000000000001</v>
      </c>
      <c r="K97" s="386">
        <f t="shared" si="7"/>
        <v>6509.86</v>
      </c>
      <c r="L97" s="385"/>
      <c r="M97" s="385"/>
    </row>
    <row r="98" spans="1:13" x14ac:dyDescent="0.25">
      <c r="A98" s="385"/>
      <c r="B98" s="403">
        <v>42292</v>
      </c>
      <c r="C98" s="385">
        <v>80</v>
      </c>
      <c r="D98" s="390">
        <v>61.25</v>
      </c>
      <c r="E98" s="386">
        <v>0</v>
      </c>
      <c r="F98" s="386">
        <f t="shared" si="6"/>
        <v>4900</v>
      </c>
      <c r="G98" s="384">
        <v>42431</v>
      </c>
      <c r="H98" s="389">
        <v>150</v>
      </c>
      <c r="I98" s="386">
        <v>45.95</v>
      </c>
      <c r="J98" s="386">
        <v>0.15</v>
      </c>
      <c r="K98" s="386">
        <f t="shared" si="7"/>
        <v>6892.35</v>
      </c>
      <c r="L98" s="385"/>
      <c r="M98" s="385"/>
    </row>
    <row r="99" spans="1:13" x14ac:dyDescent="0.25">
      <c r="A99" s="385"/>
      <c r="B99" s="403">
        <v>42292</v>
      </c>
      <c r="C99" s="385">
        <v>80</v>
      </c>
      <c r="D99" s="390">
        <v>59.75</v>
      </c>
      <c r="E99" s="386">
        <v>0</v>
      </c>
      <c r="F99" s="386">
        <f t="shared" si="6"/>
        <v>4780</v>
      </c>
      <c r="G99" s="384">
        <v>42431</v>
      </c>
      <c r="H99" s="389">
        <v>150</v>
      </c>
      <c r="I99" s="386">
        <v>45.5</v>
      </c>
      <c r="J99" s="386">
        <v>0.15</v>
      </c>
      <c r="K99" s="386">
        <f t="shared" si="7"/>
        <v>6824.85</v>
      </c>
      <c r="L99" s="385"/>
      <c r="M99" s="385"/>
    </row>
    <row r="100" spans="1:13" x14ac:dyDescent="0.25">
      <c r="A100" s="385"/>
      <c r="B100" s="403">
        <v>42310</v>
      </c>
      <c r="C100" s="385">
        <v>80</v>
      </c>
      <c r="D100" s="390">
        <v>55.225000000000001</v>
      </c>
      <c r="E100" s="386">
        <v>6.95</v>
      </c>
      <c r="F100" s="386">
        <f t="shared" si="6"/>
        <v>4424.95</v>
      </c>
      <c r="G100" s="384">
        <v>42431</v>
      </c>
      <c r="H100" s="389">
        <v>150</v>
      </c>
      <c r="I100" s="386">
        <v>46.4</v>
      </c>
      <c r="J100" s="386">
        <v>0.15</v>
      </c>
      <c r="K100" s="386">
        <f t="shared" si="7"/>
        <v>6959.85</v>
      </c>
      <c r="L100" s="385"/>
      <c r="M100" s="385"/>
    </row>
    <row r="101" spans="1:13" x14ac:dyDescent="0.25">
      <c r="A101" s="385"/>
      <c r="B101" s="403">
        <v>42310</v>
      </c>
      <c r="C101" s="385">
        <v>40</v>
      </c>
      <c r="D101" s="390">
        <v>53.01</v>
      </c>
      <c r="E101" s="386">
        <v>6.95</v>
      </c>
      <c r="F101" s="386">
        <f t="shared" si="6"/>
        <v>2127.35</v>
      </c>
      <c r="G101" s="384">
        <v>42431</v>
      </c>
      <c r="H101" s="389">
        <v>150</v>
      </c>
      <c r="I101" s="386">
        <v>46.72</v>
      </c>
      <c r="J101" s="386">
        <v>0.15</v>
      </c>
      <c r="K101" s="386">
        <f t="shared" si="7"/>
        <v>7007.85</v>
      </c>
      <c r="L101" s="385"/>
      <c r="M101" s="385"/>
    </row>
    <row r="102" spans="1:13" x14ac:dyDescent="0.25">
      <c r="A102" s="385"/>
      <c r="B102" s="403">
        <v>42340</v>
      </c>
      <c r="C102" s="385">
        <v>40</v>
      </c>
      <c r="D102" s="390">
        <v>58.6</v>
      </c>
      <c r="E102" s="386">
        <v>0</v>
      </c>
      <c r="F102" s="386">
        <f t="shared" si="6"/>
        <v>2344</v>
      </c>
      <c r="G102" s="384">
        <v>42433</v>
      </c>
      <c r="H102" s="389">
        <v>50</v>
      </c>
      <c r="I102" s="386">
        <v>50.35</v>
      </c>
      <c r="J102" s="386">
        <v>0.05</v>
      </c>
      <c r="K102" s="386">
        <f t="shared" si="7"/>
        <v>2517.4499999999998</v>
      </c>
      <c r="L102" s="385"/>
      <c r="M102" s="385"/>
    </row>
    <row r="103" spans="1:13" ht="45" x14ac:dyDescent="0.25">
      <c r="A103" s="385"/>
      <c r="B103" s="412" t="s">
        <v>176</v>
      </c>
      <c r="C103" s="385">
        <v>45</v>
      </c>
      <c r="D103" s="390">
        <v>50.45</v>
      </c>
      <c r="E103" s="386">
        <v>0</v>
      </c>
      <c r="F103" s="386">
        <f t="shared" si="6"/>
        <v>2270.25</v>
      </c>
      <c r="G103" s="384">
        <v>42440</v>
      </c>
      <c r="H103" s="389">
        <v>250</v>
      </c>
      <c r="I103" s="386">
        <v>50.24</v>
      </c>
      <c r="J103" s="386">
        <v>0.27</v>
      </c>
      <c r="K103" s="386">
        <f t="shared" si="7"/>
        <v>12559.73</v>
      </c>
      <c r="L103" s="385"/>
      <c r="M103" s="385"/>
    </row>
    <row r="104" spans="1:13" x14ac:dyDescent="0.25">
      <c r="A104" s="385"/>
      <c r="B104" s="412"/>
      <c r="C104" s="385">
        <v>75</v>
      </c>
      <c r="D104" s="390">
        <v>50.42</v>
      </c>
      <c r="E104" s="386">
        <v>0</v>
      </c>
      <c r="F104" s="386">
        <f t="shared" si="6"/>
        <v>3781.5</v>
      </c>
      <c r="G104" s="384">
        <v>42440</v>
      </c>
      <c r="H104" s="389">
        <v>50</v>
      </c>
      <c r="I104" s="386">
        <v>50.73</v>
      </c>
      <c r="J104" s="386">
        <v>0.05</v>
      </c>
      <c r="K104" s="386">
        <f t="shared" si="7"/>
        <v>2536.4499999999998</v>
      </c>
      <c r="L104" s="385"/>
      <c r="M104" s="385"/>
    </row>
    <row r="105" spans="1:13" x14ac:dyDescent="0.25">
      <c r="A105" s="385"/>
      <c r="B105" s="412"/>
      <c r="C105" s="385">
        <v>100</v>
      </c>
      <c r="D105" s="390">
        <v>50.33</v>
      </c>
      <c r="E105" s="386">
        <v>0</v>
      </c>
      <c r="F105" s="386">
        <f t="shared" si="6"/>
        <v>5033</v>
      </c>
      <c r="G105" s="384">
        <v>42440</v>
      </c>
      <c r="H105" s="389">
        <v>50</v>
      </c>
      <c r="I105" s="386">
        <v>51.08</v>
      </c>
      <c r="J105" s="386">
        <v>0.06</v>
      </c>
      <c r="K105" s="386">
        <f t="shared" si="7"/>
        <v>2553.94</v>
      </c>
      <c r="L105" s="385"/>
      <c r="M105" s="385"/>
    </row>
    <row r="106" spans="1:13" x14ac:dyDescent="0.25">
      <c r="A106" s="385"/>
      <c r="B106" s="412"/>
      <c r="C106" s="385">
        <v>100</v>
      </c>
      <c r="D106" s="390">
        <v>50.25</v>
      </c>
      <c r="E106" s="386">
        <v>0</v>
      </c>
      <c r="F106" s="386">
        <f t="shared" si="6"/>
        <v>5025</v>
      </c>
      <c r="G106" s="384">
        <v>42445</v>
      </c>
      <c r="H106" s="389">
        <v>20</v>
      </c>
      <c r="I106" s="386">
        <v>51.59</v>
      </c>
      <c r="J106" s="386">
        <v>0.02</v>
      </c>
      <c r="K106" s="386">
        <f t="shared" si="7"/>
        <v>1031.7800000000002</v>
      </c>
      <c r="L106" s="385"/>
      <c r="M106" s="385"/>
    </row>
    <row r="107" spans="1:13" x14ac:dyDescent="0.25">
      <c r="A107" s="385"/>
      <c r="B107" s="412"/>
      <c r="C107" s="385">
        <v>100</v>
      </c>
      <c r="D107" s="390">
        <v>50.05</v>
      </c>
      <c r="E107" s="386">
        <v>0</v>
      </c>
      <c r="F107" s="386">
        <f t="shared" si="6"/>
        <v>5005</v>
      </c>
      <c r="G107" s="384">
        <v>42446</v>
      </c>
      <c r="H107" s="389">
        <v>80</v>
      </c>
      <c r="I107" s="386">
        <v>53.45</v>
      </c>
      <c r="J107" s="386">
        <v>0.09</v>
      </c>
      <c r="K107" s="386">
        <f t="shared" si="7"/>
        <v>4275.91</v>
      </c>
      <c r="L107" s="385"/>
      <c r="M107" s="385"/>
    </row>
    <row r="108" spans="1:13" x14ac:dyDescent="0.25">
      <c r="A108" s="385"/>
      <c r="B108" s="412"/>
      <c r="C108" s="385">
        <v>100</v>
      </c>
      <c r="D108" s="390">
        <v>49.99</v>
      </c>
      <c r="E108" s="386">
        <v>0</v>
      </c>
      <c r="F108" s="386">
        <f t="shared" si="6"/>
        <v>4999</v>
      </c>
      <c r="G108" s="384">
        <v>42460</v>
      </c>
      <c r="H108" s="389">
        <v>50</v>
      </c>
      <c r="I108" s="386">
        <v>52.74</v>
      </c>
      <c r="J108" s="386">
        <v>0.06</v>
      </c>
      <c r="K108" s="386">
        <f t="shared" si="7"/>
        <v>2636.94</v>
      </c>
      <c r="L108" s="385"/>
      <c r="M108" s="385"/>
    </row>
    <row r="109" spans="1:13" x14ac:dyDescent="0.25">
      <c r="A109" s="385"/>
      <c r="B109" s="412"/>
      <c r="C109" s="385">
        <v>200</v>
      </c>
      <c r="D109" s="390">
        <v>49.69</v>
      </c>
      <c r="E109" s="386">
        <v>0</v>
      </c>
      <c r="F109" s="386">
        <f t="shared" si="6"/>
        <v>9938</v>
      </c>
      <c r="G109" s="384">
        <v>42466</v>
      </c>
      <c r="H109" s="389">
        <v>50</v>
      </c>
      <c r="I109" s="386">
        <v>53.25</v>
      </c>
      <c r="J109" s="386">
        <v>0.06</v>
      </c>
      <c r="K109" s="386">
        <f t="shared" si="7"/>
        <v>2662.44</v>
      </c>
      <c r="L109" s="385"/>
      <c r="M109" s="385"/>
    </row>
    <row r="110" spans="1:13" x14ac:dyDescent="0.25">
      <c r="A110" s="385"/>
      <c r="B110" s="403">
        <v>42362</v>
      </c>
      <c r="C110" s="385">
        <v>300</v>
      </c>
      <c r="D110" s="390">
        <v>48.18</v>
      </c>
      <c r="E110" s="386">
        <v>0</v>
      </c>
      <c r="F110" s="386">
        <f t="shared" si="6"/>
        <v>14454</v>
      </c>
      <c r="G110" s="384">
        <v>42472</v>
      </c>
      <c r="H110" s="389">
        <v>20</v>
      </c>
      <c r="I110" s="386">
        <v>57.11</v>
      </c>
      <c r="J110" s="386">
        <v>-0.03</v>
      </c>
      <c r="K110" s="386">
        <f t="shared" si="7"/>
        <v>1142.23</v>
      </c>
      <c r="L110" s="385"/>
      <c r="M110" s="385"/>
    </row>
    <row r="111" spans="1:13" x14ac:dyDescent="0.25">
      <c r="A111" s="385"/>
      <c r="B111" s="403">
        <v>42362</v>
      </c>
      <c r="C111" s="385">
        <v>300</v>
      </c>
      <c r="D111" s="390">
        <v>47.73</v>
      </c>
      <c r="E111" s="386">
        <v>-0.03</v>
      </c>
      <c r="F111" s="386">
        <f t="shared" si="6"/>
        <v>14318.969999999998</v>
      </c>
      <c r="G111" s="384">
        <v>42478</v>
      </c>
      <c r="H111" s="389">
        <v>20</v>
      </c>
      <c r="I111" s="386">
        <v>58.75</v>
      </c>
      <c r="J111" s="386">
        <v>0.03</v>
      </c>
      <c r="K111" s="386">
        <f t="shared" si="7"/>
        <v>1174.97</v>
      </c>
      <c r="L111" s="385"/>
      <c r="M111" s="385"/>
    </row>
    <row r="112" spans="1:13" x14ac:dyDescent="0.25">
      <c r="A112" s="385"/>
      <c r="B112" s="403">
        <v>42374</v>
      </c>
      <c r="C112" s="385">
        <v>100</v>
      </c>
      <c r="D112" s="390">
        <v>47.13</v>
      </c>
      <c r="E112" s="386">
        <v>0</v>
      </c>
      <c r="F112" s="386">
        <f t="shared" si="6"/>
        <v>4713</v>
      </c>
      <c r="G112" s="384">
        <v>42501</v>
      </c>
      <c r="H112" s="389">
        <v>30</v>
      </c>
      <c r="I112" s="386">
        <v>58.45</v>
      </c>
      <c r="J112" s="386">
        <v>0.04</v>
      </c>
      <c r="K112" s="386">
        <f t="shared" si="7"/>
        <v>1753.46</v>
      </c>
      <c r="L112" s="385"/>
      <c r="M112" s="385"/>
    </row>
    <row r="113" spans="1:13" x14ac:dyDescent="0.25">
      <c r="A113" s="385"/>
      <c r="B113" s="403">
        <v>42375</v>
      </c>
      <c r="C113" s="385">
        <v>100</v>
      </c>
      <c r="D113" s="390">
        <v>46.02</v>
      </c>
      <c r="E113" s="386">
        <v>0</v>
      </c>
      <c r="F113" s="386">
        <f t="shared" si="6"/>
        <v>4602</v>
      </c>
      <c r="G113" s="385"/>
      <c r="H113" s="389"/>
      <c r="I113" s="386"/>
      <c r="J113" s="386"/>
      <c r="K113" s="386"/>
      <c r="L113" s="385"/>
      <c r="M113" s="385"/>
    </row>
    <row r="114" spans="1:13" x14ac:dyDescent="0.25">
      <c r="A114" s="385"/>
      <c r="B114" s="411">
        <v>42375</v>
      </c>
      <c r="C114" s="385">
        <v>30</v>
      </c>
      <c r="D114" s="390">
        <v>45.1</v>
      </c>
      <c r="E114" s="386">
        <v>0</v>
      </c>
      <c r="F114" s="386">
        <f t="shared" si="6"/>
        <v>1353</v>
      </c>
      <c r="G114" s="385"/>
      <c r="H114" s="389"/>
      <c r="I114" s="386"/>
      <c r="J114" s="386"/>
      <c r="K114" s="386"/>
      <c r="L114" s="385"/>
      <c r="M114" s="385"/>
    </row>
    <row r="115" spans="1:13" x14ac:dyDescent="0.25">
      <c r="A115" s="385"/>
      <c r="B115" s="411"/>
      <c r="C115" s="385">
        <v>20</v>
      </c>
      <c r="D115" s="390">
        <v>45.1</v>
      </c>
      <c r="E115" s="386">
        <v>0</v>
      </c>
      <c r="F115" s="386">
        <f t="shared" si="6"/>
        <v>902</v>
      </c>
      <c r="G115" s="385"/>
      <c r="H115" s="389"/>
      <c r="I115" s="386"/>
      <c r="J115" s="386"/>
      <c r="K115" s="386"/>
      <c r="L115" s="385"/>
      <c r="M115" s="385"/>
    </row>
    <row r="116" spans="1:13" x14ac:dyDescent="0.25">
      <c r="A116" s="385"/>
      <c r="B116" s="403">
        <v>42402</v>
      </c>
      <c r="C116" s="385">
        <v>150</v>
      </c>
      <c r="D116" s="390">
        <v>39.450000000000003</v>
      </c>
      <c r="E116" s="386">
        <v>0</v>
      </c>
      <c r="F116" s="386">
        <f t="shared" si="6"/>
        <v>5917.5</v>
      </c>
      <c r="G116" s="385"/>
      <c r="H116" s="389"/>
      <c r="I116" s="386"/>
      <c r="J116" s="386"/>
      <c r="K116" s="386"/>
      <c r="L116" s="385"/>
      <c r="M116" s="385"/>
    </row>
    <row r="117" spans="1:13" x14ac:dyDescent="0.25">
      <c r="A117" s="385"/>
      <c r="B117" s="403">
        <v>42405</v>
      </c>
      <c r="C117" s="385">
        <v>100</v>
      </c>
      <c r="D117" s="390">
        <v>38.385100000000001</v>
      </c>
      <c r="E117" s="386">
        <v>0</v>
      </c>
      <c r="F117" s="386">
        <f t="shared" si="6"/>
        <v>3838.51</v>
      </c>
      <c r="G117" s="385"/>
      <c r="H117" s="389"/>
      <c r="I117" s="386"/>
      <c r="J117" s="386"/>
      <c r="K117" s="386"/>
      <c r="L117" s="385"/>
      <c r="M117" s="385"/>
    </row>
    <row r="118" spans="1:13" x14ac:dyDescent="0.25">
      <c r="A118" s="385"/>
      <c r="B118" s="403">
        <v>42426</v>
      </c>
      <c r="C118" s="385">
        <v>150</v>
      </c>
      <c r="D118" s="390">
        <v>43.09</v>
      </c>
      <c r="E118" s="386">
        <v>0</v>
      </c>
      <c r="F118" s="386">
        <f t="shared" si="6"/>
        <v>6463.5000000000009</v>
      </c>
      <c r="G118" s="385"/>
      <c r="H118" s="389"/>
      <c r="I118" s="386"/>
      <c r="J118" s="386"/>
      <c r="K118" s="386"/>
      <c r="L118" s="385"/>
      <c r="M118" s="385"/>
    </row>
    <row r="119" spans="1:13" x14ac:dyDescent="0.25">
      <c r="A119" s="385"/>
      <c r="B119" s="403">
        <v>42426</v>
      </c>
      <c r="C119" s="385">
        <v>150</v>
      </c>
      <c r="D119" s="390">
        <v>42.89</v>
      </c>
      <c r="E119" s="386">
        <v>0</v>
      </c>
      <c r="F119" s="386">
        <f t="shared" si="6"/>
        <v>6433.5</v>
      </c>
      <c r="G119" s="385"/>
      <c r="H119" s="389"/>
      <c r="I119" s="386"/>
      <c r="J119" s="386"/>
      <c r="K119" s="386"/>
      <c r="L119" s="385"/>
      <c r="M119" s="385"/>
    </row>
    <row r="120" spans="1:13" x14ac:dyDescent="0.25">
      <c r="A120" s="385"/>
      <c r="B120" s="403">
        <v>42431</v>
      </c>
      <c r="C120" s="385">
        <v>150</v>
      </c>
      <c r="D120" s="390">
        <v>45.49</v>
      </c>
      <c r="E120" s="386">
        <v>0</v>
      </c>
      <c r="F120" s="386">
        <f t="shared" si="6"/>
        <v>6823.5</v>
      </c>
      <c r="G120" s="385"/>
      <c r="H120" s="389"/>
      <c r="I120" s="386"/>
      <c r="J120" s="386"/>
      <c r="K120" s="386"/>
      <c r="L120" s="385"/>
      <c r="M120" s="385"/>
    </row>
    <row r="121" spans="1:13" x14ac:dyDescent="0.25">
      <c r="A121" s="385"/>
      <c r="B121" s="403">
        <v>42431</v>
      </c>
      <c r="C121" s="385">
        <v>150</v>
      </c>
      <c r="D121" s="390">
        <v>45.07</v>
      </c>
      <c r="E121" s="386">
        <v>0</v>
      </c>
      <c r="F121" s="386">
        <f t="shared" si="6"/>
        <v>6760.5</v>
      </c>
      <c r="G121" s="385"/>
      <c r="H121" s="389"/>
      <c r="I121" s="386"/>
      <c r="J121" s="386"/>
      <c r="K121" s="386"/>
      <c r="L121" s="385"/>
      <c r="M121" s="385"/>
    </row>
    <row r="122" spans="1:13" x14ac:dyDescent="0.25">
      <c r="A122" s="385"/>
      <c r="B122" s="403">
        <v>42433</v>
      </c>
      <c r="C122" s="385">
        <v>50</v>
      </c>
      <c r="D122" s="390">
        <v>49.45</v>
      </c>
      <c r="E122" s="386">
        <v>0</v>
      </c>
      <c r="F122" s="386">
        <f t="shared" si="6"/>
        <v>2472.5</v>
      </c>
      <c r="G122" s="385"/>
      <c r="H122" s="389"/>
      <c r="I122" s="386"/>
      <c r="J122" s="386"/>
      <c r="K122" s="386"/>
      <c r="L122" s="385"/>
      <c r="M122" s="385"/>
    </row>
    <row r="123" spans="1:13" x14ac:dyDescent="0.25">
      <c r="A123" s="385"/>
      <c r="B123" s="403">
        <v>42444</v>
      </c>
      <c r="C123" s="385">
        <v>50</v>
      </c>
      <c r="D123" s="390">
        <v>48.21</v>
      </c>
      <c r="E123" s="386">
        <v>0</v>
      </c>
      <c r="F123" s="386">
        <f t="shared" si="6"/>
        <v>2410.5</v>
      </c>
      <c r="G123" s="385"/>
      <c r="H123" s="389"/>
      <c r="I123" s="386"/>
      <c r="J123" s="386"/>
      <c r="K123" s="386"/>
      <c r="L123" s="385"/>
      <c r="M123" s="385"/>
    </row>
    <row r="124" spans="1:13" x14ac:dyDescent="0.25">
      <c r="A124" s="385"/>
      <c r="B124" s="403">
        <v>42452</v>
      </c>
      <c r="C124" s="385">
        <v>50</v>
      </c>
      <c r="D124" s="390">
        <v>51.6</v>
      </c>
      <c r="E124" s="386">
        <v>0</v>
      </c>
      <c r="F124" s="386">
        <f t="shared" si="6"/>
        <v>2580</v>
      </c>
      <c r="G124" s="385"/>
      <c r="H124" s="389"/>
      <c r="I124" s="386"/>
      <c r="J124" s="386"/>
      <c r="K124" s="386"/>
      <c r="L124" s="385"/>
      <c r="M124" s="385"/>
    </row>
    <row r="125" spans="1:13" x14ac:dyDescent="0.25">
      <c r="A125" s="385"/>
      <c r="B125" s="403">
        <v>42464</v>
      </c>
      <c r="C125" s="385">
        <v>50</v>
      </c>
      <c r="D125" s="390">
        <v>50.62</v>
      </c>
      <c r="E125" s="386">
        <v>0</v>
      </c>
      <c r="F125" s="386">
        <f t="shared" si="6"/>
        <v>2531</v>
      </c>
      <c r="G125" s="385"/>
      <c r="H125" s="389"/>
      <c r="I125" s="386"/>
      <c r="J125" s="386"/>
      <c r="K125" s="386"/>
      <c r="L125" s="385"/>
      <c r="M125" s="385"/>
    </row>
    <row r="126" spans="1:13" x14ac:dyDescent="0.25">
      <c r="A126" s="385"/>
      <c r="B126" s="403">
        <v>42493</v>
      </c>
      <c r="C126" s="385">
        <v>20</v>
      </c>
      <c r="D126" s="390">
        <v>56.5</v>
      </c>
      <c r="E126" s="386">
        <v>0</v>
      </c>
      <c r="F126" s="386">
        <f t="shared" si="6"/>
        <v>1130</v>
      </c>
      <c r="G126" s="385"/>
      <c r="H126" s="389"/>
      <c r="I126" s="386"/>
      <c r="J126" s="386"/>
      <c r="K126" s="386"/>
      <c r="L126" s="385"/>
      <c r="M126" s="385"/>
    </row>
    <row r="127" spans="1:13" x14ac:dyDescent="0.25">
      <c r="A127" s="385"/>
      <c r="B127" s="407"/>
      <c r="C127" s="385"/>
      <c r="D127" s="390"/>
      <c r="E127" s="386"/>
      <c r="F127" s="386"/>
      <c r="G127" s="385"/>
      <c r="H127" s="389"/>
      <c r="I127" s="386"/>
      <c r="J127" s="386"/>
      <c r="K127" s="386"/>
      <c r="L127" s="385"/>
      <c r="M127" s="385"/>
    </row>
    <row r="128" spans="1:13" x14ac:dyDescent="0.25">
      <c r="A128" s="22" t="s">
        <v>81</v>
      </c>
      <c r="B128" s="408"/>
      <c r="C128" s="12">
        <f>SUM(C77:C127)</f>
        <v>3500</v>
      </c>
      <c r="D128" s="409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5"/>
      <c r="B129" s="407"/>
      <c r="C129" s="385"/>
      <c r="D129" s="390"/>
      <c r="E129" s="386"/>
      <c r="F129" s="386"/>
      <c r="G129" s="385"/>
      <c r="H129" s="389"/>
      <c r="I129" s="386"/>
      <c r="J129" s="386"/>
      <c r="K129" s="386"/>
      <c r="L129" s="385"/>
      <c r="M129" s="38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42606</v>
      </c>
      <c r="X2" s="10">
        <v>96.01</v>
      </c>
      <c r="Y2" s="10">
        <v>96.06</v>
      </c>
      <c r="Z2" s="10">
        <v>95.27</v>
      </c>
      <c r="AA2" s="10">
        <v>95.48</v>
      </c>
      <c r="AB2" s="95">
        <v>2501900</v>
      </c>
      <c r="AC2" s="10">
        <v>95.48</v>
      </c>
      <c r="AD2" s="2">
        <f>Y2-Z2</f>
        <v>0.79000000000000625</v>
      </c>
      <c r="AE2" s="138">
        <f>AC2/AC3-1</f>
        <v>-5.5202583064264399E-3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95.48</v>
      </c>
      <c r="W3" s="133">
        <v>42605</v>
      </c>
      <c r="X3" s="10">
        <v>95.91</v>
      </c>
      <c r="Y3" s="10">
        <v>96.23</v>
      </c>
      <c r="Z3" s="10">
        <v>95.58</v>
      </c>
      <c r="AA3" s="10">
        <v>96.01</v>
      </c>
      <c r="AB3" s="95">
        <v>2300600</v>
      </c>
      <c r="AC3" s="10">
        <v>96.01</v>
      </c>
      <c r="AD3" s="2">
        <f t="shared" ref="AD3:AD66" si="0">Y3-Z3</f>
        <v>0.65000000000000568</v>
      </c>
      <c r="AE3" s="138">
        <f t="shared" ref="AE3:AE66" si="1">AC3/AC4-1</f>
        <v>7.1331165425365661E-3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95.48</v>
      </c>
      <c r="W4" s="133">
        <v>42604</v>
      </c>
      <c r="X4" s="10">
        <v>95.3</v>
      </c>
      <c r="Y4" s="10">
        <v>95.8</v>
      </c>
      <c r="Z4" s="10">
        <v>95.06</v>
      </c>
      <c r="AA4" s="10">
        <v>95.33</v>
      </c>
      <c r="AB4" s="95">
        <v>1947900</v>
      </c>
      <c r="AC4" s="10">
        <v>95.33</v>
      </c>
      <c r="AD4" s="2">
        <f t="shared" si="0"/>
        <v>0.73999999999999488</v>
      </c>
      <c r="AE4" s="138">
        <f t="shared" si="1"/>
        <v>-3.6580267558529167E-3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42601</v>
      </c>
      <c r="X5" s="10">
        <v>95.69</v>
      </c>
      <c r="Y5" s="10">
        <v>95.85</v>
      </c>
      <c r="Z5" s="10">
        <v>95.27</v>
      </c>
      <c r="AA5" s="10">
        <v>95.68</v>
      </c>
      <c r="AB5" s="95">
        <v>3027100</v>
      </c>
      <c r="AC5" s="10">
        <v>95.68</v>
      </c>
      <c r="AD5" s="2">
        <f t="shared" si="0"/>
        <v>0.57999999999999829</v>
      </c>
      <c r="AE5" s="138">
        <f t="shared" si="1"/>
        <v>-1.5652718355420037E-3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42600</v>
      </c>
      <c r="X6" s="10">
        <v>94.17</v>
      </c>
      <c r="Y6" s="10">
        <v>96.05</v>
      </c>
      <c r="Z6" s="10">
        <v>93.63</v>
      </c>
      <c r="AA6" s="10">
        <v>95.83</v>
      </c>
      <c r="AB6" s="95">
        <v>5063400</v>
      </c>
      <c r="AC6" s="10">
        <v>95.83</v>
      </c>
      <c r="AD6" s="2">
        <f t="shared" si="0"/>
        <v>2.4200000000000017</v>
      </c>
      <c r="AE6" s="138">
        <f t="shared" si="1"/>
        <v>1.3323464100666316E-2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42599</v>
      </c>
      <c r="X7" s="10">
        <v>92.77</v>
      </c>
      <c r="Y7" s="10">
        <v>94.64</v>
      </c>
      <c r="Z7" s="10">
        <v>92.65</v>
      </c>
      <c r="AA7" s="10">
        <v>94.57</v>
      </c>
      <c r="AB7" s="95">
        <v>4718400</v>
      </c>
      <c r="AC7" s="10">
        <v>94.57</v>
      </c>
      <c r="AD7" s="2">
        <f t="shared" si="0"/>
        <v>1.9899999999999949</v>
      </c>
      <c r="AE7" s="138">
        <f t="shared" si="1"/>
        <v>1.8085908063300682E-2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92.21</v>
      </c>
      <c r="Y8" s="10">
        <v>93</v>
      </c>
      <c r="Z8" s="10">
        <v>91.88</v>
      </c>
      <c r="AA8" s="10">
        <v>92.89</v>
      </c>
      <c r="AB8" s="95">
        <v>3787500</v>
      </c>
      <c r="AC8" s="10">
        <v>92.89</v>
      </c>
      <c r="AD8" s="2">
        <f t="shared" si="0"/>
        <v>1.1200000000000045</v>
      </c>
      <c r="AE8" s="138">
        <f t="shared" si="1"/>
        <v>4.216216216216262E-3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92.46</v>
      </c>
      <c r="Y9" s="10">
        <v>93.27</v>
      </c>
      <c r="Z9" s="10">
        <v>92.28</v>
      </c>
      <c r="AA9" s="10">
        <v>92.5</v>
      </c>
      <c r="AB9" s="95">
        <v>2733900</v>
      </c>
      <c r="AC9" s="10">
        <v>92.5</v>
      </c>
      <c r="AD9" s="2">
        <f t="shared" si="0"/>
        <v>0.98999999999999488</v>
      </c>
      <c r="AE9" s="138">
        <f t="shared" si="1"/>
        <v>6.5288356909682932E-3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M34</f>
        <v>128.08999999999833</v>
      </c>
      <c r="W10" s="133">
        <v>42594</v>
      </c>
      <c r="X10" s="10">
        <v>92.67</v>
      </c>
      <c r="Y10" s="10">
        <v>92.67</v>
      </c>
      <c r="Z10" s="10">
        <v>91.74</v>
      </c>
      <c r="AA10" s="10">
        <v>91.9</v>
      </c>
      <c r="AB10" s="95">
        <v>2898400</v>
      </c>
      <c r="AC10" s="10">
        <v>91.9</v>
      </c>
      <c r="AD10" s="2">
        <f t="shared" si="0"/>
        <v>0.93000000000000682</v>
      </c>
      <c r="AE10" s="138">
        <f t="shared" si="1"/>
        <v>-1.1402753872633231E-2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T11" s="43"/>
      <c r="U11" s="33"/>
      <c r="V11" s="11"/>
      <c r="W11" s="99">
        <v>42593</v>
      </c>
      <c r="X11" s="10">
        <v>92.72</v>
      </c>
      <c r="Y11" s="10">
        <v>93.45</v>
      </c>
      <c r="Z11" s="10">
        <v>92.61</v>
      </c>
      <c r="AA11" s="10">
        <v>92.96</v>
      </c>
      <c r="AB11" s="95">
        <v>2525100</v>
      </c>
      <c r="AC11" s="10">
        <v>92.96</v>
      </c>
      <c r="AD11" s="2">
        <f t="shared" si="0"/>
        <v>0.84000000000000341</v>
      </c>
      <c r="AE11" s="138">
        <f t="shared" si="1"/>
        <v>5.6252704456944969E-3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42592</v>
      </c>
      <c r="X12" s="10">
        <v>93.41</v>
      </c>
      <c r="Y12" s="10">
        <v>93.45</v>
      </c>
      <c r="Z12" s="10">
        <v>92.22</v>
      </c>
      <c r="AA12" s="10">
        <v>92.44</v>
      </c>
      <c r="AB12" s="95">
        <v>2568200</v>
      </c>
      <c r="AC12" s="10">
        <v>92.44</v>
      </c>
      <c r="AD12" s="2">
        <f t="shared" si="0"/>
        <v>1.230000000000004</v>
      </c>
      <c r="AE12" s="138">
        <f t="shared" si="1"/>
        <v>-6.7690985279896809E-3</v>
      </c>
    </row>
    <row r="13" spans="1:31" x14ac:dyDescent="0.25">
      <c r="T13" s="67"/>
      <c r="W13" s="133">
        <v>42591</v>
      </c>
      <c r="X13" s="10">
        <v>93.75</v>
      </c>
      <c r="Y13" s="10">
        <v>94.18</v>
      </c>
      <c r="Z13" s="10">
        <v>93</v>
      </c>
      <c r="AA13" s="10">
        <v>93.07</v>
      </c>
      <c r="AB13" s="95">
        <v>2416200</v>
      </c>
      <c r="AC13" s="10">
        <v>93.07</v>
      </c>
      <c r="AD13" s="2">
        <f t="shared" si="0"/>
        <v>1.1800000000000068</v>
      </c>
      <c r="AE13" s="138">
        <f t="shared" si="1"/>
        <v>-8.4167909652674844E-3</v>
      </c>
    </row>
    <row r="14" spans="1:31" x14ac:dyDescent="0.25">
      <c r="W14" s="133">
        <v>42590</v>
      </c>
      <c r="X14" s="10">
        <v>93.88</v>
      </c>
      <c r="Y14" s="10">
        <v>94.95</v>
      </c>
      <c r="Z14" s="10">
        <v>93.67</v>
      </c>
      <c r="AA14" s="10">
        <v>93.86</v>
      </c>
      <c r="AB14" s="95">
        <v>2491900</v>
      </c>
      <c r="AC14" s="10">
        <v>93.86</v>
      </c>
      <c r="AD14" s="2">
        <f t="shared" si="0"/>
        <v>1.2800000000000011</v>
      </c>
      <c r="AE14" s="138">
        <f t="shared" si="1"/>
        <v>1.0655301012252316E-4</v>
      </c>
    </row>
    <row r="15" spans="1:31" x14ac:dyDescent="0.25">
      <c r="W15" s="133">
        <v>42587</v>
      </c>
      <c r="X15" s="10">
        <v>93.17</v>
      </c>
      <c r="Y15" s="10">
        <v>94.65</v>
      </c>
      <c r="Z15" s="10">
        <v>92.62</v>
      </c>
      <c r="AA15" s="10">
        <v>93.85</v>
      </c>
      <c r="AB15" s="95">
        <v>3146700</v>
      </c>
      <c r="AC15" s="10">
        <v>93.85</v>
      </c>
      <c r="AD15" s="2">
        <f t="shared" si="0"/>
        <v>2.0300000000000011</v>
      </c>
      <c r="AE15" s="138">
        <f t="shared" si="1"/>
        <v>1.2733354915290818E-2</v>
      </c>
    </row>
    <row r="16" spans="1:31" x14ac:dyDescent="0.25">
      <c r="W16" s="133">
        <v>42586</v>
      </c>
      <c r="X16" s="10">
        <v>92.37</v>
      </c>
      <c r="Y16" s="10">
        <v>93.09</v>
      </c>
      <c r="Z16" s="10">
        <v>91.94</v>
      </c>
      <c r="AA16" s="10">
        <v>92.67</v>
      </c>
      <c r="AB16" s="95">
        <v>2245900</v>
      </c>
      <c r="AC16" s="10">
        <v>92.67</v>
      </c>
      <c r="AD16" s="2">
        <f t="shared" si="0"/>
        <v>1.1500000000000057</v>
      </c>
      <c r="AE16" s="138">
        <f t="shared" si="1"/>
        <v>-2.1535479702811111E-3</v>
      </c>
    </row>
    <row r="17" spans="1:31" x14ac:dyDescent="0.25">
      <c r="W17" s="133">
        <v>42585</v>
      </c>
      <c r="X17" s="10">
        <v>91.54</v>
      </c>
      <c r="Y17" s="10">
        <v>93.19</v>
      </c>
      <c r="Z17" s="10">
        <v>91.4</v>
      </c>
      <c r="AA17" s="10">
        <v>92.87</v>
      </c>
      <c r="AB17" s="95">
        <v>3907400</v>
      </c>
      <c r="AC17" s="10">
        <v>92.87</v>
      </c>
      <c r="AD17" s="2">
        <f t="shared" si="0"/>
        <v>1.789999999999992</v>
      </c>
      <c r="AE17" s="138">
        <f t="shared" si="1"/>
        <v>1.7196056955093075E-2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42584</v>
      </c>
      <c r="X18" s="10">
        <v>92.39</v>
      </c>
      <c r="Y18" s="10">
        <v>92.59</v>
      </c>
      <c r="Z18" s="10">
        <v>90.68</v>
      </c>
      <c r="AA18" s="10">
        <v>91.3</v>
      </c>
      <c r="AB18" s="95">
        <v>3787000</v>
      </c>
      <c r="AC18" s="10">
        <v>91.3</v>
      </c>
      <c r="AD18" s="2">
        <f t="shared" si="0"/>
        <v>1.9099999999999966</v>
      </c>
      <c r="AE18" s="138">
        <f t="shared" si="1"/>
        <v>-1.891252955082745E-2</v>
      </c>
    </row>
    <row r="19" spans="1:31" x14ac:dyDescent="0.25">
      <c r="W19" s="133">
        <v>42583</v>
      </c>
      <c r="X19" s="10">
        <v>92.92</v>
      </c>
      <c r="Y19" s="10">
        <v>93.65</v>
      </c>
      <c r="Z19" s="10">
        <v>92.41</v>
      </c>
      <c r="AA19" s="10">
        <v>93.06</v>
      </c>
      <c r="AB19" s="95">
        <v>2797400</v>
      </c>
      <c r="AC19" s="10">
        <v>93.06</v>
      </c>
      <c r="AD19" s="2">
        <f t="shared" si="0"/>
        <v>1.2400000000000091</v>
      </c>
      <c r="AE19" s="138">
        <f t="shared" si="1"/>
        <v>1.0746910263303988E-4</v>
      </c>
    </row>
    <row r="20" spans="1:31" x14ac:dyDescent="0.25">
      <c r="W20" s="133">
        <v>42580</v>
      </c>
      <c r="X20" s="10">
        <v>92.55</v>
      </c>
      <c r="Y20" s="10">
        <v>93.31</v>
      </c>
      <c r="Z20" s="10">
        <v>92.26</v>
      </c>
      <c r="AA20" s="10">
        <v>93.05</v>
      </c>
      <c r="AB20" s="95">
        <v>2801100</v>
      </c>
      <c r="AC20" s="10">
        <v>93.05</v>
      </c>
      <c r="AD20" s="2">
        <f t="shared" si="0"/>
        <v>1.0499999999999972</v>
      </c>
      <c r="AE20" s="138">
        <f t="shared" si="1"/>
        <v>-3.223033949291132E-4</v>
      </c>
    </row>
    <row r="21" spans="1:31" x14ac:dyDescent="0.25">
      <c r="W21" s="40">
        <v>42579</v>
      </c>
      <c r="X21" s="10">
        <v>91.44</v>
      </c>
      <c r="Y21" s="10">
        <v>93.41</v>
      </c>
      <c r="Z21" s="10">
        <v>91.07</v>
      </c>
      <c r="AA21" s="10">
        <v>93.08</v>
      </c>
      <c r="AB21" s="95">
        <v>3104100</v>
      </c>
      <c r="AC21" s="10">
        <v>93.08</v>
      </c>
      <c r="AD21" s="2">
        <f t="shared" si="0"/>
        <v>2.3400000000000034</v>
      </c>
      <c r="AE21" s="138">
        <f t="shared" si="1"/>
        <v>1.582451162283105E-2</v>
      </c>
    </row>
    <row r="22" spans="1:31" x14ac:dyDescent="0.25">
      <c r="W22" s="133">
        <v>42578</v>
      </c>
      <c r="X22" s="10">
        <v>92.73</v>
      </c>
      <c r="Y22" s="10">
        <v>92.95</v>
      </c>
      <c r="Z22" s="10">
        <v>90.94</v>
      </c>
      <c r="AA22" s="10">
        <v>91.63</v>
      </c>
      <c r="AB22" s="95">
        <v>3523100</v>
      </c>
      <c r="AC22" s="10">
        <v>91.63</v>
      </c>
      <c r="AD22" s="2">
        <f t="shared" si="0"/>
        <v>2.0100000000000051</v>
      </c>
      <c r="AE22" s="138">
        <f t="shared" si="1"/>
        <v>-1.4837114288786202E-2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42577</v>
      </c>
      <c r="X23" s="10">
        <v>92.38</v>
      </c>
      <c r="Y23" s="10">
        <v>93.01</v>
      </c>
      <c r="Z23" s="10">
        <v>91.83</v>
      </c>
      <c r="AA23" s="10">
        <v>93.01</v>
      </c>
      <c r="AB23" s="95">
        <v>2890100</v>
      </c>
      <c r="AC23" s="10">
        <v>93.01</v>
      </c>
      <c r="AD23" s="2">
        <f t="shared" si="0"/>
        <v>1.1800000000000068</v>
      </c>
      <c r="AE23" s="138">
        <f t="shared" si="1"/>
        <v>7.9107065452970193E-3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42576</v>
      </c>
      <c r="X24" s="10">
        <v>92.71</v>
      </c>
      <c r="Y24" s="10">
        <v>92.76</v>
      </c>
      <c r="Z24" s="10">
        <v>91.86</v>
      </c>
      <c r="AA24" s="10">
        <v>92.28</v>
      </c>
      <c r="AB24" s="95">
        <v>2744500</v>
      </c>
      <c r="AC24" s="10">
        <v>92.28</v>
      </c>
      <c r="AD24" s="2">
        <f t="shared" si="0"/>
        <v>0.90000000000000568</v>
      </c>
      <c r="AE24" s="138">
        <f t="shared" si="1"/>
        <v>-6.1389337641356567E-3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42573</v>
      </c>
      <c r="X25" s="10">
        <v>90.87</v>
      </c>
      <c r="Y25" s="10">
        <v>93.02</v>
      </c>
      <c r="Z25" s="10">
        <v>90.29</v>
      </c>
      <c r="AA25" s="10">
        <v>92.85</v>
      </c>
      <c r="AB25" s="95">
        <v>4208500</v>
      </c>
      <c r="AC25" s="10">
        <v>92.85</v>
      </c>
      <c r="AD25" s="2">
        <f t="shared" si="0"/>
        <v>2.7299999999999898</v>
      </c>
      <c r="AE25" s="138">
        <f t="shared" si="1"/>
        <v>2.1115143516990953E-2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42572</v>
      </c>
      <c r="X26" s="10">
        <v>91</v>
      </c>
      <c r="Y26" s="10">
        <v>92.3</v>
      </c>
      <c r="Z26" s="10">
        <v>90.72</v>
      </c>
      <c r="AA26" s="10">
        <v>90.93</v>
      </c>
      <c r="AB26" s="95">
        <v>6622300</v>
      </c>
      <c r="AC26" s="10">
        <v>90.93</v>
      </c>
      <c r="AD26" s="2">
        <f t="shared" si="0"/>
        <v>1.5799999999999983</v>
      </c>
      <c r="AE26" s="138">
        <f t="shared" si="1"/>
        <v>-3.3892902677433057E-2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42571</v>
      </c>
      <c r="X27" s="10">
        <v>92.73</v>
      </c>
      <c r="Y27" s="10">
        <v>94.32</v>
      </c>
      <c r="Z27" s="10">
        <v>92.49</v>
      </c>
      <c r="AA27" s="10">
        <v>94.12</v>
      </c>
      <c r="AB27" s="95">
        <v>4244500</v>
      </c>
      <c r="AC27" s="10">
        <v>94.12</v>
      </c>
      <c r="AD27" s="2">
        <f t="shared" si="0"/>
        <v>1.8299999999999983</v>
      </c>
      <c r="AE27" s="138">
        <f t="shared" si="1"/>
        <v>1.8094731240021478E-3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42570</v>
      </c>
      <c r="X28" s="10">
        <v>93.46</v>
      </c>
      <c r="Y28" s="10">
        <v>94.05</v>
      </c>
      <c r="Z28" s="10">
        <v>92.88</v>
      </c>
      <c r="AA28" s="10">
        <v>93.95</v>
      </c>
      <c r="AB28" s="95">
        <v>3351300</v>
      </c>
      <c r="AC28" s="10">
        <v>93.95</v>
      </c>
      <c r="AD28" s="2">
        <f t="shared" si="0"/>
        <v>1.1700000000000017</v>
      </c>
      <c r="AE28" s="138">
        <f t="shared" si="1"/>
        <v>-1.8062048448789225E-3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42569</v>
      </c>
      <c r="X29" s="10">
        <v>93.98</v>
      </c>
      <c r="Y29" s="10">
        <v>94.36</v>
      </c>
      <c r="Z29" s="10">
        <v>93.08</v>
      </c>
      <c r="AA29" s="10">
        <v>94.12</v>
      </c>
      <c r="AB29" s="95">
        <v>2721200</v>
      </c>
      <c r="AC29" s="10">
        <v>94.12</v>
      </c>
      <c r="AD29" s="2">
        <f t="shared" si="0"/>
        <v>1.2800000000000011</v>
      </c>
      <c r="AE29" s="138">
        <f t="shared" si="1"/>
        <v>1.4896786550329111E-3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42566</v>
      </c>
      <c r="X30" s="10">
        <v>94.97</v>
      </c>
      <c r="Y30" s="10">
        <v>95.34</v>
      </c>
      <c r="Z30" s="10">
        <v>93.71</v>
      </c>
      <c r="AA30" s="10">
        <v>93.98</v>
      </c>
      <c r="AB30" s="95">
        <v>4030900</v>
      </c>
      <c r="AC30" s="10">
        <v>93.98</v>
      </c>
      <c r="AD30" s="2">
        <f t="shared" si="0"/>
        <v>1.6300000000000097</v>
      </c>
      <c r="AE30" s="138">
        <f t="shared" si="1"/>
        <v>-7.6029567053854663E-3</v>
      </c>
    </row>
    <row r="31" spans="1:31" x14ac:dyDescent="0.25">
      <c r="W31" s="133">
        <v>42565</v>
      </c>
      <c r="X31" s="10">
        <v>94.92</v>
      </c>
      <c r="Y31" s="10">
        <v>96</v>
      </c>
      <c r="Z31" s="10">
        <v>94.43</v>
      </c>
      <c r="AA31" s="10">
        <v>94.7</v>
      </c>
      <c r="AB31" s="95">
        <v>5331900</v>
      </c>
      <c r="AC31" s="10">
        <v>94.7</v>
      </c>
      <c r="AD31" s="2">
        <f t="shared" si="0"/>
        <v>1.5699999999999932</v>
      </c>
      <c r="AE31" s="138">
        <f t="shared" si="1"/>
        <v>5.9485872105375925E-3</v>
      </c>
    </row>
    <row r="32" spans="1:31" x14ac:dyDescent="0.25">
      <c r="W32" s="133">
        <v>42564</v>
      </c>
      <c r="X32" s="10">
        <v>92.55</v>
      </c>
      <c r="Y32" s="10">
        <v>94.79</v>
      </c>
      <c r="Z32" s="10">
        <v>92.04</v>
      </c>
      <c r="AA32" s="10">
        <v>94.14</v>
      </c>
      <c r="AB32" s="95">
        <v>5898900</v>
      </c>
      <c r="AC32" s="10">
        <v>94.14</v>
      </c>
      <c r="AD32" s="2">
        <f t="shared" si="0"/>
        <v>2.75</v>
      </c>
      <c r="AE32" s="138">
        <f t="shared" si="1"/>
        <v>2.2593960460569162E-2</v>
      </c>
    </row>
    <row r="33" spans="1:31" x14ac:dyDescent="0.25">
      <c r="W33" s="133">
        <v>42563</v>
      </c>
      <c r="X33" s="10">
        <v>91.78</v>
      </c>
      <c r="Y33" s="10">
        <v>92.72</v>
      </c>
      <c r="Z33" s="10">
        <v>91.43</v>
      </c>
      <c r="AA33" s="10">
        <v>92.06</v>
      </c>
      <c r="AB33" s="95">
        <v>4120800</v>
      </c>
      <c r="AC33" s="10">
        <v>92.06</v>
      </c>
      <c r="AD33" s="2">
        <f t="shared" si="0"/>
        <v>1.289999999999992</v>
      </c>
      <c r="AE33" s="138">
        <f t="shared" si="1"/>
        <v>7.3312178575337672E-3</v>
      </c>
    </row>
    <row r="34" spans="1:31" x14ac:dyDescent="0.25">
      <c r="L34" t="s">
        <v>224</v>
      </c>
      <c r="M34" s="2">
        <f>M49+K49-F49</f>
        <v>128.08999999999833</v>
      </c>
      <c r="W34" s="133">
        <v>42562</v>
      </c>
      <c r="X34" s="10">
        <v>90.71</v>
      </c>
      <c r="Y34" s="10">
        <v>91.63</v>
      </c>
      <c r="Z34" s="10">
        <v>90.69</v>
      </c>
      <c r="AA34" s="10">
        <v>91.39</v>
      </c>
      <c r="AB34" s="95">
        <v>5423200</v>
      </c>
      <c r="AC34" s="10">
        <v>91.39</v>
      </c>
      <c r="AD34" s="2">
        <f t="shared" si="0"/>
        <v>0.93999999999999773</v>
      </c>
      <c r="AE34" s="138">
        <f t="shared" si="1"/>
        <v>7.7186018304113979E-3</v>
      </c>
    </row>
    <row r="35" spans="1:31" x14ac:dyDescent="0.25">
      <c r="A35" s="264" t="s">
        <v>1</v>
      </c>
      <c r="B35" s="264" t="s">
        <v>2</v>
      </c>
      <c r="C35" s="264" t="s">
        <v>4</v>
      </c>
      <c r="D35" s="265" t="s">
        <v>5</v>
      </c>
      <c r="E35" s="265" t="s">
        <v>94</v>
      </c>
      <c r="F35" s="265" t="s">
        <v>60</v>
      </c>
      <c r="G35" s="264" t="s">
        <v>3</v>
      </c>
      <c r="H35" s="264" t="s">
        <v>6</v>
      </c>
      <c r="I35" s="265" t="s">
        <v>7</v>
      </c>
      <c r="J35" s="265" t="s">
        <v>95</v>
      </c>
      <c r="K35" s="265" t="s">
        <v>61</v>
      </c>
      <c r="L35" s="264" t="s">
        <v>37</v>
      </c>
      <c r="M35" s="264" t="s">
        <v>38</v>
      </c>
      <c r="W35" s="133">
        <v>42559</v>
      </c>
      <c r="X35" s="10">
        <v>88.94</v>
      </c>
      <c r="Y35" s="10">
        <v>91.29</v>
      </c>
      <c r="Z35" s="10">
        <v>88.47</v>
      </c>
      <c r="AA35" s="10">
        <v>90.69</v>
      </c>
      <c r="AB35" s="95">
        <v>6448500</v>
      </c>
      <c r="AC35" s="10">
        <v>90.69</v>
      </c>
      <c r="AD35" s="2">
        <f t="shared" si="0"/>
        <v>2.8200000000000074</v>
      </c>
      <c r="AE35" s="138">
        <f t="shared" si="1"/>
        <v>3.0216971486993094E-2</v>
      </c>
    </row>
    <row r="36" spans="1:31" x14ac:dyDescent="0.25">
      <c r="A36" s="266" t="s">
        <v>42</v>
      </c>
      <c r="B36" s="267">
        <v>42184</v>
      </c>
      <c r="C36" s="262">
        <v>10</v>
      </c>
      <c r="D36" s="263">
        <v>99.05</v>
      </c>
      <c r="E36" s="263">
        <v>0</v>
      </c>
      <c r="F36" s="263">
        <f>C36*D36</f>
        <v>990.5</v>
      </c>
      <c r="G36" s="267">
        <v>42216</v>
      </c>
      <c r="H36" s="262">
        <v>40</v>
      </c>
      <c r="I36" s="263">
        <v>95.1</v>
      </c>
      <c r="J36" s="263">
        <v>7.0000000000000007E-2</v>
      </c>
      <c r="K36" s="263">
        <f>H36*I36-J36</f>
        <v>3803.93</v>
      </c>
      <c r="L36" s="267">
        <v>42277</v>
      </c>
      <c r="M36" s="263">
        <v>33</v>
      </c>
      <c r="W36" s="133">
        <v>42558</v>
      </c>
      <c r="X36" s="10">
        <v>87.99</v>
      </c>
      <c r="Y36" s="10">
        <v>88.47</v>
      </c>
      <c r="Z36" s="10">
        <v>87.58</v>
      </c>
      <c r="AA36" s="10">
        <v>88.03</v>
      </c>
      <c r="AB36" s="95">
        <v>4798700</v>
      </c>
      <c r="AC36" s="10">
        <v>88.03</v>
      </c>
      <c r="AD36" s="2">
        <f t="shared" si="0"/>
        <v>0.89000000000000057</v>
      </c>
      <c r="AE36" s="138">
        <f t="shared" si="1"/>
        <v>6.7474839890211413E-3</v>
      </c>
    </row>
    <row r="37" spans="1:31" x14ac:dyDescent="0.25">
      <c r="A37" s="269" t="s">
        <v>71</v>
      </c>
      <c r="B37" s="267">
        <v>42184</v>
      </c>
      <c r="C37" s="262">
        <v>20</v>
      </c>
      <c r="D37" s="263">
        <v>99.5</v>
      </c>
      <c r="E37" s="263">
        <v>0</v>
      </c>
      <c r="F37" s="263">
        <f t="shared" ref="F37:F43" si="2">C37*D37</f>
        <v>1990</v>
      </c>
      <c r="G37" s="267">
        <v>42216</v>
      </c>
      <c r="H37" s="262">
        <v>20</v>
      </c>
      <c r="I37" s="263">
        <v>95.6</v>
      </c>
      <c r="J37" s="263">
        <v>0.04</v>
      </c>
      <c r="K37" s="263">
        <f>H37*I37-J37</f>
        <v>1911.96</v>
      </c>
      <c r="L37" s="262"/>
      <c r="M37" s="262"/>
      <c r="W37" s="133">
        <v>42557</v>
      </c>
      <c r="X37" s="10">
        <v>86.59</v>
      </c>
      <c r="Y37" s="10">
        <v>87.52</v>
      </c>
      <c r="Z37" s="10">
        <v>86.01</v>
      </c>
      <c r="AA37" s="10">
        <v>87.44</v>
      </c>
      <c r="AB37" s="95">
        <v>3740500</v>
      </c>
      <c r="AC37" s="10">
        <v>87.44</v>
      </c>
      <c r="AD37" s="2">
        <f t="shared" si="0"/>
        <v>1.5099999999999909</v>
      </c>
      <c r="AE37" s="138">
        <f t="shared" si="1"/>
        <v>3.2124827902708653E-3</v>
      </c>
    </row>
    <row r="38" spans="1:31" x14ac:dyDescent="0.25">
      <c r="A38" s="262"/>
      <c r="B38" s="267">
        <v>42184</v>
      </c>
      <c r="C38" s="262">
        <v>10</v>
      </c>
      <c r="D38" s="263">
        <v>98.35</v>
      </c>
      <c r="E38" s="263">
        <v>0</v>
      </c>
      <c r="F38" s="263">
        <f t="shared" si="2"/>
        <v>983.5</v>
      </c>
      <c r="G38" s="267">
        <v>42304</v>
      </c>
      <c r="H38" s="262">
        <v>60</v>
      </c>
      <c r="I38" s="263">
        <v>97.2</v>
      </c>
      <c r="J38" s="263">
        <v>0.11</v>
      </c>
      <c r="K38" s="263">
        <f>H38*I38-J38</f>
        <v>5831.89</v>
      </c>
      <c r="L38" s="262"/>
      <c r="M38" s="262"/>
      <c r="W38" s="133">
        <v>42556</v>
      </c>
      <c r="X38" s="10">
        <v>86.85</v>
      </c>
      <c r="Y38" s="10">
        <v>87.49</v>
      </c>
      <c r="Z38" s="10">
        <v>86.77</v>
      </c>
      <c r="AA38" s="10">
        <v>87.16</v>
      </c>
      <c r="AB38" s="95">
        <v>4305700</v>
      </c>
      <c r="AC38" s="10">
        <v>87.16</v>
      </c>
      <c r="AD38" s="2">
        <f t="shared" si="0"/>
        <v>0.71999999999999886</v>
      </c>
      <c r="AE38" s="138">
        <f t="shared" si="1"/>
        <v>-2.0609113808106594E-3</v>
      </c>
    </row>
    <row r="39" spans="1:31" x14ac:dyDescent="0.25">
      <c r="A39" s="262"/>
      <c r="B39" s="267">
        <v>42184</v>
      </c>
      <c r="C39" s="262">
        <v>20</v>
      </c>
      <c r="D39" s="263">
        <v>98.1</v>
      </c>
      <c r="E39" s="263">
        <v>0</v>
      </c>
      <c r="F39" s="263">
        <f t="shared" si="2"/>
        <v>1962</v>
      </c>
      <c r="G39" s="267">
        <v>42409</v>
      </c>
      <c r="H39" s="262">
        <v>30</v>
      </c>
      <c r="I39" s="263">
        <v>76.650000000000006</v>
      </c>
      <c r="J39" s="263">
        <v>0.04</v>
      </c>
      <c r="K39" s="263">
        <f>H39*I39-J39</f>
        <v>2299.46</v>
      </c>
      <c r="L39" s="262"/>
      <c r="M39" s="262"/>
      <c r="W39" s="133">
        <v>42552</v>
      </c>
      <c r="X39" s="10">
        <v>87.25</v>
      </c>
      <c r="Y39" s="10">
        <v>88.19</v>
      </c>
      <c r="Z39" s="10">
        <v>87.12</v>
      </c>
      <c r="AA39" s="10">
        <v>87.34</v>
      </c>
      <c r="AB39" s="95">
        <v>3772700</v>
      </c>
      <c r="AC39" s="10">
        <v>87.34</v>
      </c>
      <c r="AD39" s="2">
        <f t="shared" si="0"/>
        <v>1.0699999999999932</v>
      </c>
      <c r="AE39" s="138">
        <f t="shared" si="1"/>
        <v>1.0315186246419028E-3</v>
      </c>
    </row>
    <row r="40" spans="1:31" x14ac:dyDescent="0.25">
      <c r="A40" s="262"/>
      <c r="B40" s="267">
        <v>42213</v>
      </c>
      <c r="C40" s="262">
        <v>10</v>
      </c>
      <c r="D40" s="263">
        <v>92.5</v>
      </c>
      <c r="E40" s="263">
        <v>0</v>
      </c>
      <c r="F40" s="263">
        <f t="shared" si="2"/>
        <v>925</v>
      </c>
      <c r="G40" s="262"/>
      <c r="H40" s="262"/>
      <c r="I40" s="263"/>
      <c r="J40" s="263"/>
      <c r="K40" s="263"/>
      <c r="L40" s="262"/>
      <c r="M40" s="262"/>
      <c r="W40" s="133">
        <v>42551</v>
      </c>
      <c r="X40" s="10">
        <v>86.74</v>
      </c>
      <c r="Y40" s="10">
        <v>87.39</v>
      </c>
      <c r="Z40" s="10">
        <v>84.8</v>
      </c>
      <c r="AA40" s="10">
        <v>87.25</v>
      </c>
      <c r="AB40" s="95">
        <v>5839500</v>
      </c>
      <c r="AC40" s="10">
        <v>87.25</v>
      </c>
      <c r="AD40" s="2">
        <f t="shared" si="0"/>
        <v>2.5900000000000034</v>
      </c>
      <c r="AE40" s="138">
        <f t="shared" si="1"/>
        <v>1.1242466388502459E-2</v>
      </c>
    </row>
    <row r="41" spans="1:31" x14ac:dyDescent="0.25">
      <c r="A41" s="262"/>
      <c r="B41" s="267">
        <v>42213</v>
      </c>
      <c r="C41" s="262">
        <v>10</v>
      </c>
      <c r="D41" s="263">
        <v>91.65</v>
      </c>
      <c r="E41" s="263">
        <v>0</v>
      </c>
      <c r="F41" s="263">
        <f t="shared" si="2"/>
        <v>916.5</v>
      </c>
      <c r="G41" s="262"/>
      <c r="H41" s="262"/>
      <c r="I41" s="263"/>
      <c r="J41" s="263"/>
      <c r="K41" s="263"/>
      <c r="L41" s="262"/>
      <c r="M41" s="262"/>
      <c r="W41" s="133">
        <v>42550</v>
      </c>
      <c r="X41" s="10">
        <v>85.75</v>
      </c>
      <c r="Y41" s="10">
        <v>86.76</v>
      </c>
      <c r="Z41" s="10">
        <v>85.63</v>
      </c>
      <c r="AA41" s="10">
        <v>86.28</v>
      </c>
      <c r="AB41" s="95">
        <v>3763800</v>
      </c>
      <c r="AC41" s="10">
        <v>86.28</v>
      </c>
      <c r="AD41" s="2">
        <f t="shared" si="0"/>
        <v>1.1300000000000097</v>
      </c>
      <c r="AE41" s="138">
        <f t="shared" si="1"/>
        <v>1.745283018867938E-2</v>
      </c>
    </row>
    <row r="42" spans="1:31" ht="20.25" thickBot="1" x14ac:dyDescent="0.35">
      <c r="A42" s="262"/>
      <c r="B42" s="267">
        <v>42213</v>
      </c>
      <c r="C42" s="262">
        <v>15</v>
      </c>
      <c r="D42" s="263">
        <v>94</v>
      </c>
      <c r="E42" s="263">
        <v>0</v>
      </c>
      <c r="F42" s="263">
        <f t="shared" si="2"/>
        <v>1410</v>
      </c>
      <c r="G42" s="262"/>
      <c r="H42" s="262"/>
      <c r="I42" s="263"/>
      <c r="J42" s="263"/>
      <c r="K42" s="263"/>
      <c r="L42" s="262"/>
      <c r="M42" s="262"/>
      <c r="T42" s="91" t="s">
        <v>113</v>
      </c>
      <c r="W42" s="133">
        <v>42549</v>
      </c>
      <c r="X42" s="10">
        <v>83.27</v>
      </c>
      <c r="Y42" s="10">
        <v>84.86</v>
      </c>
      <c r="Z42" s="10">
        <v>83</v>
      </c>
      <c r="AA42" s="10">
        <v>84.8</v>
      </c>
      <c r="AB42" s="95">
        <v>5954400</v>
      </c>
      <c r="AC42" s="10">
        <v>84.8</v>
      </c>
      <c r="AD42" s="2">
        <f t="shared" si="0"/>
        <v>1.8599999999999994</v>
      </c>
      <c r="AE42" s="138">
        <f t="shared" si="1"/>
        <v>2.8003394350830435E-2</v>
      </c>
    </row>
    <row r="43" spans="1:31" ht="15.75" thickTop="1" x14ac:dyDescent="0.25">
      <c r="A43" s="262"/>
      <c r="B43" s="267">
        <v>42213</v>
      </c>
      <c r="C43" s="262">
        <v>15</v>
      </c>
      <c r="D43" s="263">
        <v>92.75</v>
      </c>
      <c r="E43" s="263">
        <v>0</v>
      </c>
      <c r="F43" s="263">
        <f t="shared" si="2"/>
        <v>1391.25</v>
      </c>
      <c r="G43" s="262"/>
      <c r="H43" s="262"/>
      <c r="I43" s="263"/>
      <c r="J43" s="263"/>
      <c r="K43" s="263"/>
      <c r="L43" s="262"/>
      <c r="M43" s="262"/>
      <c r="T43" s="97" t="s">
        <v>98</v>
      </c>
      <c r="U43" s="129">
        <v>92.03</v>
      </c>
      <c r="W43" s="133">
        <v>42548</v>
      </c>
      <c r="X43" s="10">
        <v>84.42</v>
      </c>
      <c r="Y43" s="10">
        <v>84.46</v>
      </c>
      <c r="Z43" s="10">
        <v>81.96</v>
      </c>
      <c r="AA43" s="10">
        <v>82.49</v>
      </c>
      <c r="AB43" s="95">
        <v>5885200</v>
      </c>
      <c r="AC43" s="10">
        <v>82.49</v>
      </c>
      <c r="AD43" s="2">
        <f t="shared" si="0"/>
        <v>2.5</v>
      </c>
      <c r="AE43" s="138">
        <f t="shared" si="1"/>
        <v>-3.2375366568915043E-2</v>
      </c>
    </row>
    <row r="44" spans="1:31" x14ac:dyDescent="0.25">
      <c r="A44" s="262"/>
      <c r="B44" s="267">
        <v>42226</v>
      </c>
      <c r="C44" s="262">
        <v>10</v>
      </c>
      <c r="D44" s="263">
        <v>94.99</v>
      </c>
      <c r="E44" s="263">
        <v>0</v>
      </c>
      <c r="F44" s="263">
        <f>C44*D44</f>
        <v>949.9</v>
      </c>
      <c r="G44" s="262"/>
      <c r="H44" s="262"/>
      <c r="I44" s="263"/>
      <c r="J44" s="263"/>
      <c r="K44" s="263"/>
      <c r="L44" s="262"/>
      <c r="M44" s="262"/>
      <c r="T44" s="87" t="s">
        <v>99</v>
      </c>
      <c r="U44" s="130">
        <v>91.98</v>
      </c>
      <c r="W44" s="133">
        <v>42545</v>
      </c>
      <c r="X44" s="10">
        <v>85.45</v>
      </c>
      <c r="Y44" s="10">
        <v>86.37</v>
      </c>
      <c r="Z44" s="10">
        <v>84.14</v>
      </c>
      <c r="AA44" s="10">
        <v>85.25</v>
      </c>
      <c r="AB44" s="95">
        <v>14194000</v>
      </c>
      <c r="AC44" s="10">
        <v>85.25</v>
      </c>
      <c r="AD44" s="2">
        <f t="shared" si="0"/>
        <v>2.230000000000004</v>
      </c>
      <c r="AE44" s="138">
        <f t="shared" si="1"/>
        <v>-3.7158346510052009E-2</v>
      </c>
    </row>
    <row r="45" spans="1:31" x14ac:dyDescent="0.25">
      <c r="A45" s="262"/>
      <c r="B45" s="267">
        <v>42375</v>
      </c>
      <c r="C45" s="262">
        <v>30</v>
      </c>
      <c r="D45" s="263">
        <v>74.45</v>
      </c>
      <c r="E45" s="263">
        <v>0</v>
      </c>
      <c r="F45" s="263">
        <f>C45*D45</f>
        <v>2233.5</v>
      </c>
      <c r="G45" s="262"/>
      <c r="H45" s="262"/>
      <c r="I45" s="263"/>
      <c r="J45" s="263"/>
      <c r="K45" s="263"/>
      <c r="L45" s="262"/>
      <c r="M45" s="262"/>
      <c r="T45" s="87" t="s">
        <v>100</v>
      </c>
      <c r="U45" s="130" t="s">
        <v>446</v>
      </c>
      <c r="W45" s="133">
        <v>42544</v>
      </c>
      <c r="X45" s="10">
        <v>88.79</v>
      </c>
      <c r="Y45" s="10">
        <v>89</v>
      </c>
      <c r="Z45" s="10">
        <v>87.93</v>
      </c>
      <c r="AA45" s="10">
        <v>88.54</v>
      </c>
      <c r="AB45" s="95">
        <v>2691400</v>
      </c>
      <c r="AC45" s="10">
        <v>88.54</v>
      </c>
      <c r="AD45" s="2">
        <f t="shared" si="0"/>
        <v>1.0699999999999932</v>
      </c>
      <c r="AE45" s="138">
        <f t="shared" si="1"/>
        <v>1.2001371585324216E-2</v>
      </c>
    </row>
    <row r="46" spans="1:31" ht="20.25" thickBot="1" x14ac:dyDescent="0.35">
      <c r="A46" s="262"/>
      <c r="B46" s="262"/>
      <c r="C46" s="262"/>
      <c r="D46" s="263"/>
      <c r="E46" s="263"/>
      <c r="F46" s="263"/>
      <c r="G46" s="262"/>
      <c r="H46" s="262"/>
      <c r="I46" s="263"/>
      <c r="J46" s="263"/>
      <c r="K46" s="263"/>
      <c r="L46" s="262"/>
      <c r="M46" s="262"/>
      <c r="O46" s="535" t="s">
        <v>78</v>
      </c>
      <c r="P46" s="535"/>
      <c r="Q46" s="34"/>
      <c r="R46"/>
      <c r="T46" s="87" t="s">
        <v>101</v>
      </c>
      <c r="U46" s="130" t="s">
        <v>447</v>
      </c>
      <c r="W46" s="133">
        <v>42543</v>
      </c>
      <c r="X46" s="10">
        <v>87.76</v>
      </c>
      <c r="Y46" s="10">
        <v>88.04</v>
      </c>
      <c r="Z46" s="10">
        <v>87.32</v>
      </c>
      <c r="AA46" s="10">
        <v>87.49</v>
      </c>
      <c r="AB46" s="95">
        <v>3400000</v>
      </c>
      <c r="AC46" s="10">
        <v>87.49</v>
      </c>
      <c r="AD46" s="2">
        <f t="shared" si="0"/>
        <v>0.72000000000001307</v>
      </c>
      <c r="AE46" s="138">
        <f t="shared" si="1"/>
        <v>-1.8254420992585008E-3</v>
      </c>
    </row>
    <row r="47" spans="1:31" ht="15.75" thickTop="1" x14ac:dyDescent="0.25">
      <c r="A47" s="262"/>
      <c r="B47" s="262"/>
      <c r="C47" s="262"/>
      <c r="D47" s="263"/>
      <c r="E47" s="263"/>
      <c r="F47" s="263"/>
      <c r="G47" s="262"/>
      <c r="H47" s="262"/>
      <c r="I47" s="263"/>
      <c r="J47" s="263"/>
      <c r="K47" s="263"/>
      <c r="L47" s="262"/>
      <c r="M47" s="262"/>
      <c r="O47" s="83">
        <v>1.1000000000000001</v>
      </c>
      <c r="P47" s="83">
        <f>O47*$Q$4</f>
        <v>105.02800000000001</v>
      </c>
      <c r="Q47" s="34"/>
      <c r="R47"/>
      <c r="T47" s="87" t="s">
        <v>102</v>
      </c>
      <c r="U47" s="130">
        <v>91.62</v>
      </c>
      <c r="W47" s="133">
        <v>42542</v>
      </c>
      <c r="X47" s="10">
        <v>86.79</v>
      </c>
      <c r="Y47" s="10">
        <v>88.09</v>
      </c>
      <c r="Z47" s="10">
        <v>86</v>
      </c>
      <c r="AA47" s="10">
        <v>87.65</v>
      </c>
      <c r="AB47" s="95">
        <v>4146000</v>
      </c>
      <c r="AC47" s="10">
        <v>87.65</v>
      </c>
      <c r="AD47" s="2">
        <f t="shared" si="0"/>
        <v>2.0900000000000034</v>
      </c>
      <c r="AE47" s="138">
        <f t="shared" si="1"/>
        <v>-4.9948915881484757E-3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/>
      <c r="M48" s="262"/>
      <c r="O48" s="83">
        <v>1.0900000000000001</v>
      </c>
      <c r="P48" s="83">
        <f t="shared" ref="P48:P67" si="3">O48*$Q$4</f>
        <v>104.07320000000001</v>
      </c>
      <c r="Q48" s="34"/>
      <c r="R48"/>
      <c r="T48" s="87" t="s">
        <v>103</v>
      </c>
      <c r="U48" s="130">
        <v>1.3119099999999999</v>
      </c>
      <c r="W48" s="133">
        <v>42541</v>
      </c>
      <c r="X48" s="10">
        <v>88.36</v>
      </c>
      <c r="Y48" s="10">
        <v>89.25</v>
      </c>
      <c r="Z48" s="10">
        <v>87.98</v>
      </c>
      <c r="AA48" s="10">
        <v>88.09</v>
      </c>
      <c r="AB48" s="95">
        <v>4312100</v>
      </c>
      <c r="AC48" s="10">
        <v>88.09</v>
      </c>
      <c r="AD48" s="2">
        <f t="shared" si="0"/>
        <v>1.269999999999996</v>
      </c>
      <c r="AE48" s="138">
        <f t="shared" si="1"/>
        <v>5.8232473167389998E-3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103.11840000000001</v>
      </c>
      <c r="Q49" s="34"/>
      <c r="R49"/>
      <c r="T49" s="87" t="s">
        <v>123</v>
      </c>
      <c r="U49" s="94" t="s">
        <v>332</v>
      </c>
      <c r="W49" s="133">
        <v>42538</v>
      </c>
      <c r="X49" s="10">
        <v>87</v>
      </c>
      <c r="Y49" s="10">
        <v>87.8</v>
      </c>
      <c r="Z49" s="10">
        <v>86.87</v>
      </c>
      <c r="AA49" s="10">
        <v>87.58</v>
      </c>
      <c r="AB49" s="95">
        <v>4141900</v>
      </c>
      <c r="AC49" s="10">
        <v>87.58</v>
      </c>
      <c r="AD49" s="2">
        <f t="shared" si="0"/>
        <v>0.92999999999999261</v>
      </c>
      <c r="AE49" s="138">
        <f t="shared" si="1"/>
        <v>5.6263635319784289E-3</v>
      </c>
    </row>
    <row r="50" spans="1:31" x14ac:dyDescent="0.25">
      <c r="A50" s="262"/>
      <c r="B50" s="262"/>
      <c r="C50" s="262"/>
      <c r="D50" s="263"/>
      <c r="E50" s="263"/>
      <c r="F50" s="263"/>
      <c r="G50" s="262"/>
      <c r="H50" s="262"/>
      <c r="I50" s="263"/>
      <c r="J50" s="263"/>
      <c r="K50" s="263"/>
      <c r="L50" s="262"/>
      <c r="M50" s="262"/>
      <c r="O50" s="83">
        <v>1.07</v>
      </c>
      <c r="P50" s="83">
        <f t="shared" si="3"/>
        <v>102.16360000000002</v>
      </c>
      <c r="Q50" s="83"/>
      <c r="R50"/>
      <c r="T50" s="87"/>
      <c r="U50" s="130"/>
      <c r="W50" s="133">
        <v>42537</v>
      </c>
      <c r="X50" s="10">
        <v>86.84</v>
      </c>
      <c r="Y50" s="10">
        <v>87.31</v>
      </c>
      <c r="Z50" s="10">
        <v>85.5</v>
      </c>
      <c r="AA50" s="10">
        <v>87.09</v>
      </c>
      <c r="AB50" s="95">
        <v>3530300</v>
      </c>
      <c r="AC50" s="10">
        <v>87.09</v>
      </c>
      <c r="AD50" s="2">
        <f t="shared" si="0"/>
        <v>1.8100000000000023</v>
      </c>
      <c r="AE50" s="138">
        <f t="shared" si="1"/>
        <v>-5.140507196710109E-3</v>
      </c>
    </row>
    <row r="51" spans="1:31" x14ac:dyDescent="0.25">
      <c r="O51" s="83">
        <v>1.06</v>
      </c>
      <c r="P51" s="83">
        <f t="shared" si="3"/>
        <v>101.20880000000001</v>
      </c>
      <c r="Q51" s="83"/>
      <c r="R51"/>
      <c r="T51" s="87" t="s">
        <v>105</v>
      </c>
      <c r="U51" s="130" t="s">
        <v>448</v>
      </c>
      <c r="W51" s="133">
        <v>42536</v>
      </c>
      <c r="X51" s="10">
        <v>88.36</v>
      </c>
      <c r="Y51" s="10">
        <v>88.67</v>
      </c>
      <c r="Z51" s="10">
        <v>87.45</v>
      </c>
      <c r="AA51" s="10">
        <v>87.54</v>
      </c>
      <c r="AB51" s="95">
        <v>3963500</v>
      </c>
      <c r="AC51" s="10">
        <v>87.54</v>
      </c>
      <c r="AD51" s="2">
        <f t="shared" si="0"/>
        <v>1.2199999999999989</v>
      </c>
      <c r="AE51" s="138">
        <f t="shared" si="1"/>
        <v>-5.0011366219595565E-3</v>
      </c>
    </row>
    <row r="52" spans="1:31" x14ac:dyDescent="0.25">
      <c r="O52" s="83">
        <v>1.05</v>
      </c>
      <c r="P52" s="83">
        <f t="shared" si="3"/>
        <v>100.254</v>
      </c>
      <c r="Q52" s="83"/>
      <c r="R52"/>
      <c r="T52" s="87" t="s">
        <v>106</v>
      </c>
      <c r="U52" s="130" t="s">
        <v>227</v>
      </c>
      <c r="W52" s="133">
        <v>42535</v>
      </c>
      <c r="X52" s="10">
        <v>88.51</v>
      </c>
      <c r="Y52" s="10">
        <v>89.26</v>
      </c>
      <c r="Z52" s="10">
        <v>87.57</v>
      </c>
      <c r="AA52" s="10">
        <v>87.98</v>
      </c>
      <c r="AB52" s="95">
        <v>3993400</v>
      </c>
      <c r="AC52" s="10">
        <v>87.98</v>
      </c>
      <c r="AD52" s="2">
        <f t="shared" si="0"/>
        <v>1.6900000000000119</v>
      </c>
      <c r="AE52" s="138">
        <f t="shared" si="1"/>
        <v>-8.2290609852326835E-3</v>
      </c>
    </row>
    <row r="53" spans="1:31" x14ac:dyDescent="0.25">
      <c r="O53" s="83">
        <v>1.04</v>
      </c>
      <c r="P53" s="83">
        <f t="shared" si="3"/>
        <v>99.299200000000013</v>
      </c>
      <c r="Q53" s="83"/>
      <c r="R53"/>
      <c r="T53" s="87" t="s">
        <v>107</v>
      </c>
      <c r="U53" s="131">
        <v>793665</v>
      </c>
      <c r="W53" s="133">
        <v>42534</v>
      </c>
      <c r="X53" s="10">
        <v>88.49</v>
      </c>
      <c r="Y53" s="10">
        <v>89.61</v>
      </c>
      <c r="Z53" s="10">
        <v>88.22</v>
      </c>
      <c r="AA53" s="10">
        <v>88.71</v>
      </c>
      <c r="AB53" s="95">
        <v>4377100</v>
      </c>
      <c r="AC53" s="10">
        <v>88.71</v>
      </c>
      <c r="AD53" s="2">
        <f t="shared" si="0"/>
        <v>1.3900000000000006</v>
      </c>
      <c r="AE53" s="138">
        <f t="shared" si="1"/>
        <v>-7.8846587069170138E-4</v>
      </c>
    </row>
    <row r="54" spans="1:31" x14ac:dyDescent="0.25">
      <c r="O54" s="83">
        <v>1.03</v>
      </c>
      <c r="P54" s="83">
        <f t="shared" si="3"/>
        <v>98.344400000000007</v>
      </c>
      <c r="Q54" s="83"/>
      <c r="R54"/>
      <c r="T54" s="87" t="s">
        <v>110</v>
      </c>
      <c r="U54" s="131">
        <v>1485260</v>
      </c>
      <c r="W54" s="133">
        <v>42531</v>
      </c>
      <c r="X54" s="10">
        <v>88.2</v>
      </c>
      <c r="Y54" s="10">
        <v>88.9</v>
      </c>
      <c r="Z54" s="10">
        <v>88.1</v>
      </c>
      <c r="AA54" s="10">
        <v>88.78</v>
      </c>
      <c r="AB54" s="95">
        <v>4315800</v>
      </c>
      <c r="AC54" s="10">
        <v>88.78</v>
      </c>
      <c r="AD54" s="2">
        <f t="shared" si="0"/>
        <v>0.80000000000001137</v>
      </c>
      <c r="AE54" s="138">
        <f t="shared" si="1"/>
        <v>-6.8240295335048051E-3</v>
      </c>
    </row>
    <row r="55" spans="1:31" x14ac:dyDescent="0.25">
      <c r="O55" s="83">
        <v>1.02</v>
      </c>
      <c r="P55" s="83">
        <f t="shared" si="3"/>
        <v>97.389600000000002</v>
      </c>
      <c r="Q55" s="83"/>
      <c r="R55"/>
      <c r="T55" s="87" t="s">
        <v>108</v>
      </c>
      <c r="U55" s="130" t="s">
        <v>449</v>
      </c>
      <c r="W55" s="133">
        <v>42530</v>
      </c>
      <c r="X55" s="10">
        <v>88.53</v>
      </c>
      <c r="Y55" s="10">
        <v>89.53</v>
      </c>
      <c r="Z55" s="10">
        <v>88.04</v>
      </c>
      <c r="AA55" s="10">
        <v>89.39</v>
      </c>
      <c r="AB55" s="95">
        <v>3844800</v>
      </c>
      <c r="AC55" s="10">
        <v>89.39</v>
      </c>
      <c r="AD55" s="2">
        <f t="shared" si="0"/>
        <v>1.4899999999999949</v>
      </c>
      <c r="AE55" s="138">
        <f t="shared" si="1"/>
        <v>3.9308176100627534E-3</v>
      </c>
    </row>
    <row r="56" spans="1:31" x14ac:dyDescent="0.25">
      <c r="O56" s="83">
        <v>1.01</v>
      </c>
      <c r="P56" s="83">
        <f t="shared" si="3"/>
        <v>96.43480000000001</v>
      </c>
      <c r="Q56" s="83"/>
      <c r="R56"/>
      <c r="T56" s="87" t="s">
        <v>111</v>
      </c>
      <c r="U56" s="130">
        <v>17.25</v>
      </c>
      <c r="W56" s="133">
        <v>42529</v>
      </c>
      <c r="X56" s="10">
        <v>87.83</v>
      </c>
      <c r="Y56" s="10">
        <v>90.14</v>
      </c>
      <c r="Z56" s="10">
        <v>87.8</v>
      </c>
      <c r="AA56" s="10">
        <v>89.04</v>
      </c>
      <c r="AB56" s="95">
        <v>6135400</v>
      </c>
      <c r="AC56" s="10">
        <v>89.04</v>
      </c>
      <c r="AD56" s="2">
        <f t="shared" si="0"/>
        <v>2.3400000000000034</v>
      </c>
      <c r="AE56" s="138">
        <f t="shared" si="1"/>
        <v>1.6786570743405393E-2</v>
      </c>
    </row>
    <row r="57" spans="1:31" x14ac:dyDescent="0.25">
      <c r="O57" s="83">
        <v>1</v>
      </c>
      <c r="P57" s="83">
        <f t="shared" si="3"/>
        <v>95.48</v>
      </c>
      <c r="Q57" s="83"/>
      <c r="R57"/>
      <c r="T57" s="87" t="s">
        <v>112</v>
      </c>
      <c r="U57" s="130">
        <v>5.34</v>
      </c>
      <c r="W57" s="133">
        <v>42528</v>
      </c>
      <c r="X57" s="10">
        <v>86.68</v>
      </c>
      <c r="Y57" s="10">
        <v>88.08</v>
      </c>
      <c r="Z57" s="10">
        <v>86.68</v>
      </c>
      <c r="AA57" s="10">
        <v>87.57</v>
      </c>
      <c r="AB57" s="95">
        <v>3824500</v>
      </c>
      <c r="AC57" s="10">
        <v>87.57</v>
      </c>
      <c r="AD57" s="2">
        <f t="shared" si="0"/>
        <v>1.3999999999999915</v>
      </c>
      <c r="AE57" s="138">
        <f t="shared" si="1"/>
        <v>8.2901554404144484E-3</v>
      </c>
    </row>
    <row r="58" spans="1:31" x14ac:dyDescent="0.25">
      <c r="O58" s="83">
        <v>0.99</v>
      </c>
      <c r="P58" s="83">
        <f t="shared" si="3"/>
        <v>94.525199999999998</v>
      </c>
      <c r="Q58" s="83"/>
      <c r="R58"/>
      <c r="T58" s="87" t="s">
        <v>109</v>
      </c>
      <c r="U58" s="130" t="s">
        <v>389</v>
      </c>
      <c r="W58" s="133">
        <v>42527</v>
      </c>
      <c r="X58" s="10">
        <v>86.42</v>
      </c>
      <c r="Y58" s="10">
        <v>87.14</v>
      </c>
      <c r="Z58" s="10">
        <v>85.93</v>
      </c>
      <c r="AA58" s="10">
        <v>86.85</v>
      </c>
      <c r="AB58" s="95">
        <v>4361500</v>
      </c>
      <c r="AC58" s="10">
        <v>86.85</v>
      </c>
      <c r="AD58" s="2">
        <f t="shared" si="0"/>
        <v>1.2099999999999937</v>
      </c>
      <c r="AE58" s="138">
        <f t="shared" si="1"/>
        <v>5.4410743227599756E-3</v>
      </c>
    </row>
    <row r="59" spans="1:31" x14ac:dyDescent="0.25">
      <c r="O59" s="83">
        <v>0.98</v>
      </c>
      <c r="P59" s="83">
        <f t="shared" si="3"/>
        <v>93.570400000000006</v>
      </c>
      <c r="Q59" s="83"/>
      <c r="R59"/>
      <c r="W59" s="133">
        <v>42524</v>
      </c>
      <c r="X59" s="10">
        <v>85.55</v>
      </c>
      <c r="Y59" s="10">
        <v>86.65</v>
      </c>
      <c r="Z59" s="10">
        <v>84.61</v>
      </c>
      <c r="AA59" s="10">
        <v>86.38</v>
      </c>
      <c r="AB59" s="95">
        <v>4946700</v>
      </c>
      <c r="AC59" s="10">
        <v>86.38</v>
      </c>
      <c r="AD59" s="2">
        <f t="shared" si="0"/>
        <v>2.0400000000000063</v>
      </c>
      <c r="AE59" s="138">
        <f t="shared" si="1"/>
        <v>2.0919513059922012E-2</v>
      </c>
    </row>
    <row r="60" spans="1:31" x14ac:dyDescent="0.25">
      <c r="O60" s="83">
        <v>0.97</v>
      </c>
      <c r="P60" s="83">
        <f t="shared" si="3"/>
        <v>92.615600000000001</v>
      </c>
      <c r="Q60" s="83"/>
      <c r="R60"/>
      <c r="W60" s="133">
        <v>42523</v>
      </c>
      <c r="X60" s="10">
        <v>83.68</v>
      </c>
      <c r="Y60" s="10">
        <v>84.63</v>
      </c>
      <c r="Z60" s="10">
        <v>83.61</v>
      </c>
      <c r="AA60" s="10">
        <v>84.61</v>
      </c>
      <c r="AB60" s="95">
        <v>3507000</v>
      </c>
      <c r="AC60" s="10">
        <v>84.61</v>
      </c>
      <c r="AD60" s="2">
        <f t="shared" si="0"/>
        <v>1.019999999999996</v>
      </c>
      <c r="AE60" s="138">
        <f t="shared" si="1"/>
        <v>5.9445963619069175E-3</v>
      </c>
    </row>
    <row r="61" spans="1:31" x14ac:dyDescent="0.25">
      <c r="O61" s="83">
        <v>0.96</v>
      </c>
      <c r="P61" s="83">
        <f t="shared" si="3"/>
        <v>91.660799999999995</v>
      </c>
      <c r="Q61" s="83"/>
      <c r="R61"/>
      <c r="W61" s="133">
        <v>42522</v>
      </c>
      <c r="X61" s="10">
        <v>83.63</v>
      </c>
      <c r="Y61" s="10">
        <v>84.19</v>
      </c>
      <c r="Z61" s="10">
        <v>82.91</v>
      </c>
      <c r="AA61" s="10">
        <v>84.11</v>
      </c>
      <c r="AB61" s="95">
        <v>4298500</v>
      </c>
      <c r="AC61" s="10">
        <v>84.11</v>
      </c>
      <c r="AD61" s="2">
        <f t="shared" si="0"/>
        <v>1.2800000000000011</v>
      </c>
      <c r="AE61" s="138">
        <f t="shared" si="1"/>
        <v>-9.5023161895713137E-4</v>
      </c>
    </row>
    <row r="62" spans="1:31" x14ac:dyDescent="0.25">
      <c r="O62" s="83">
        <v>0.95</v>
      </c>
      <c r="P62" s="83">
        <f t="shared" si="3"/>
        <v>90.706000000000003</v>
      </c>
      <c r="Q62" s="83"/>
      <c r="R62"/>
      <c r="W62" s="133">
        <v>42521</v>
      </c>
      <c r="X62" s="10">
        <v>83.11</v>
      </c>
      <c r="Y62" s="10">
        <v>84.52</v>
      </c>
      <c r="Z62" s="10">
        <v>82.61</v>
      </c>
      <c r="AA62" s="10">
        <v>84.19</v>
      </c>
      <c r="AB62" s="95">
        <v>6086500</v>
      </c>
      <c r="AC62" s="10">
        <v>84.19</v>
      </c>
      <c r="AD62" s="2">
        <f t="shared" si="0"/>
        <v>1.9099999999999966</v>
      </c>
      <c r="AE62" s="138">
        <f t="shared" si="1"/>
        <v>1.4704109919247976E-2</v>
      </c>
    </row>
    <row r="63" spans="1:31" x14ac:dyDescent="0.25">
      <c r="O63" s="83">
        <v>0.94</v>
      </c>
      <c r="P63" s="83">
        <f t="shared" si="3"/>
        <v>89.751199999999997</v>
      </c>
      <c r="Q63" s="83"/>
      <c r="R63"/>
      <c r="T63" s="86"/>
      <c r="W63" s="133">
        <v>42517</v>
      </c>
      <c r="X63" s="10">
        <v>82.37</v>
      </c>
      <c r="Y63" s="10">
        <v>83.08</v>
      </c>
      <c r="Z63" s="10">
        <v>81.790000000000006</v>
      </c>
      <c r="AA63" s="10">
        <v>82.97</v>
      </c>
      <c r="AB63" s="95">
        <v>3848200</v>
      </c>
      <c r="AC63" s="10">
        <v>82.97</v>
      </c>
      <c r="AD63" s="2">
        <f t="shared" si="0"/>
        <v>1.289999999999992</v>
      </c>
      <c r="AE63" s="138">
        <f t="shared" si="1"/>
        <v>7.6512023317949485E-3</v>
      </c>
    </row>
    <row r="64" spans="1:31" x14ac:dyDescent="0.25">
      <c r="O64" s="83">
        <v>0.93</v>
      </c>
      <c r="P64" s="83">
        <f t="shared" si="3"/>
        <v>88.796400000000006</v>
      </c>
      <c r="Q64" s="83"/>
      <c r="R64"/>
      <c r="S64" s="86"/>
      <c r="T64"/>
      <c r="W64" s="133">
        <v>42516</v>
      </c>
      <c r="X64" s="10">
        <v>82.58</v>
      </c>
      <c r="Y64" s="10">
        <v>83.31</v>
      </c>
      <c r="Z64" s="10">
        <v>82.24</v>
      </c>
      <c r="AA64" s="10">
        <v>82.34</v>
      </c>
      <c r="AB64" s="95">
        <v>2978300</v>
      </c>
      <c r="AC64" s="10">
        <v>82.34</v>
      </c>
      <c r="AD64" s="2">
        <f t="shared" si="0"/>
        <v>1.0700000000000074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87.841600000000014</v>
      </c>
      <c r="Q65" s="83"/>
      <c r="R65"/>
      <c r="S65" s="86"/>
      <c r="T65"/>
      <c r="W65" s="133">
        <v>42516</v>
      </c>
      <c r="X65" s="10" t="s">
        <v>131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86.886800000000008</v>
      </c>
      <c r="Q66" s="83"/>
      <c r="R66"/>
      <c r="S66" s="86"/>
      <c r="T66"/>
      <c r="W66" s="133">
        <v>42515</v>
      </c>
      <c r="X66" s="10">
        <v>81.84</v>
      </c>
      <c r="Y66" s="10">
        <v>83.22</v>
      </c>
      <c r="Z66" s="10">
        <v>81.55</v>
      </c>
      <c r="AA66" s="10">
        <v>82.91</v>
      </c>
      <c r="AB66" s="95">
        <v>3408500</v>
      </c>
      <c r="AC66" s="10">
        <v>82.36</v>
      </c>
      <c r="AD66" s="2">
        <f t="shared" si="0"/>
        <v>1.6700000000000017</v>
      </c>
      <c r="AE66" s="138">
        <f t="shared" si="1"/>
        <v>1.9938080495355948E-2</v>
      </c>
    </row>
    <row r="67" spans="15:31" x14ac:dyDescent="0.25">
      <c r="O67" s="83">
        <v>0.9</v>
      </c>
      <c r="P67" s="83">
        <f t="shared" si="3"/>
        <v>85.932000000000002</v>
      </c>
      <c r="Q67" s="83"/>
      <c r="R67"/>
      <c r="S67" s="86"/>
      <c r="T67"/>
      <c r="W67" s="133">
        <v>42514</v>
      </c>
      <c r="X67" s="10">
        <v>82.06</v>
      </c>
      <c r="Y67" s="10">
        <v>82.13</v>
      </c>
      <c r="Z67" s="10">
        <v>80.87</v>
      </c>
      <c r="AA67" s="10">
        <v>81.290000000000006</v>
      </c>
      <c r="AB67" s="95">
        <v>4679400</v>
      </c>
      <c r="AC67" s="10">
        <v>80.75</v>
      </c>
      <c r="AD67" s="2">
        <f>Y67-Z67</f>
        <v>1.2599999999999909</v>
      </c>
      <c r="AE67" s="138">
        <f>AC67/AC68-1</f>
        <v>-2.4706609017912662E-3</v>
      </c>
    </row>
    <row r="68" spans="15:31" x14ac:dyDescent="0.25">
      <c r="W68" s="133">
        <v>42513</v>
      </c>
      <c r="X68" s="10">
        <v>82.25</v>
      </c>
      <c r="Y68" s="10">
        <v>82.61</v>
      </c>
      <c r="Z68" s="10">
        <v>81.45</v>
      </c>
      <c r="AA68" s="10">
        <v>81.489999999999995</v>
      </c>
      <c r="AB68" s="95">
        <v>3649100</v>
      </c>
      <c r="AC68" s="10">
        <v>80.95</v>
      </c>
      <c r="AD68" s="2">
        <f>Y68-Z68</f>
        <v>1.1599999999999966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5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42606</v>
      </c>
      <c r="X2" s="369">
        <v>218.8</v>
      </c>
      <c r="Y2" s="40">
        <v>218.91</v>
      </c>
      <c r="Z2" s="40">
        <v>217.36</v>
      </c>
      <c r="AA2" s="369">
        <v>217.85</v>
      </c>
      <c r="AB2" s="95">
        <v>68974600</v>
      </c>
      <c r="AC2" s="244">
        <v>217.85</v>
      </c>
      <c r="AD2" s="2">
        <f>Y2-Z2</f>
        <v>1.5499999999999829</v>
      </c>
      <c r="AE2" s="138">
        <f>AC2/AC3-1</f>
        <v>-5.1148559163355367E-3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217.85</v>
      </c>
      <c r="T3" s="121"/>
      <c r="W3" s="94">
        <v>42605</v>
      </c>
      <c r="X3" s="369">
        <v>219.25</v>
      </c>
      <c r="Y3" s="40">
        <v>219.6</v>
      </c>
      <c r="Z3" s="40">
        <v>218.9</v>
      </c>
      <c r="AA3" s="369">
        <v>218.97</v>
      </c>
      <c r="AB3" s="95">
        <v>53399200</v>
      </c>
      <c r="AC3" s="244">
        <v>218.97</v>
      </c>
      <c r="AD3" s="2">
        <f>Y3-Z3</f>
        <v>0.69999999999998863</v>
      </c>
      <c r="AE3" s="138">
        <f>AC3/AC4-1</f>
        <v>2.0134535304077161E-3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217.85</v>
      </c>
      <c r="T4" s="121"/>
      <c r="W4" s="94">
        <v>42604</v>
      </c>
      <c r="X4" s="369">
        <v>218.26</v>
      </c>
      <c r="Y4" s="40">
        <v>218.8</v>
      </c>
      <c r="Z4" s="40">
        <v>217.83</v>
      </c>
      <c r="AA4" s="369">
        <v>218.53</v>
      </c>
      <c r="AB4" s="95">
        <v>61368800</v>
      </c>
      <c r="AC4" s="244">
        <v>218.53</v>
      </c>
      <c r="AD4" s="2">
        <f t="shared" ref="AD4:AD67" si="0">Y4-Z4</f>
        <v>0.96999999999999886</v>
      </c>
      <c r="AE4" s="138">
        <f t="shared" ref="AE4:AE67" si="1">AC4/AC5-1</f>
        <v>-4.5758213599311759E-5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42601</v>
      </c>
      <c r="X5" s="369">
        <v>218.31</v>
      </c>
      <c r="Y5" s="40">
        <v>218.75</v>
      </c>
      <c r="Z5" s="40">
        <v>217.74</v>
      </c>
      <c r="AA5" s="369">
        <v>218.54</v>
      </c>
      <c r="AB5" s="95">
        <v>75443000</v>
      </c>
      <c r="AC5" s="244">
        <v>218.54</v>
      </c>
      <c r="AD5" s="2">
        <f t="shared" si="0"/>
        <v>1.0099999999999909</v>
      </c>
      <c r="AE5" s="138">
        <f t="shared" si="1"/>
        <v>-1.46212190441386E-3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42600</v>
      </c>
      <c r="X6" s="369">
        <v>218.34</v>
      </c>
      <c r="Y6" s="40">
        <v>218.9</v>
      </c>
      <c r="Z6" s="40">
        <v>218.21</v>
      </c>
      <c r="AA6" s="369">
        <v>218.86</v>
      </c>
      <c r="AB6" s="95">
        <v>52989300</v>
      </c>
      <c r="AC6" s="244">
        <v>218.86</v>
      </c>
      <c r="AD6" s="2">
        <f t="shared" si="0"/>
        <v>0.68999999999999773</v>
      </c>
      <c r="AE6" s="138">
        <f t="shared" si="1"/>
        <v>2.2438979713330642E-3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42599</v>
      </c>
      <c r="X7" s="369">
        <v>218</v>
      </c>
      <c r="Y7" s="40">
        <v>218.53</v>
      </c>
      <c r="Z7" s="40">
        <v>217.02</v>
      </c>
      <c r="AA7" s="369">
        <v>218.37</v>
      </c>
      <c r="AB7" s="95">
        <v>75134300</v>
      </c>
      <c r="AC7" s="244">
        <v>218.37</v>
      </c>
      <c r="AD7" s="2">
        <f t="shared" si="0"/>
        <v>1.5099999999999909</v>
      </c>
      <c r="AE7" s="138">
        <f t="shared" si="1"/>
        <v>1.8810790970820168E-3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42598</v>
      </c>
      <c r="X8" s="369">
        <v>218.6</v>
      </c>
      <c r="Y8" s="40">
        <v>218.68</v>
      </c>
      <c r="Z8" s="40">
        <v>217.96</v>
      </c>
      <c r="AA8" s="369">
        <v>217.96</v>
      </c>
      <c r="AB8" s="95">
        <v>53213600</v>
      </c>
      <c r="AC8" s="244">
        <v>217.96</v>
      </c>
      <c r="AD8" s="2">
        <f t="shared" si="0"/>
        <v>0.71999999999999886</v>
      </c>
      <c r="AE8" s="138">
        <f t="shared" si="1"/>
        <v>-5.1576977497831411E-3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42597</v>
      </c>
      <c r="X9" s="369">
        <v>218.89</v>
      </c>
      <c r="Y9" s="40">
        <v>219.5</v>
      </c>
      <c r="Z9" s="40">
        <v>218.88</v>
      </c>
      <c r="AA9" s="369">
        <v>219.09</v>
      </c>
      <c r="AB9" s="95">
        <v>49813500</v>
      </c>
      <c r="AC9" s="244">
        <v>219.09</v>
      </c>
      <c r="AD9" s="2">
        <f t="shared" si="0"/>
        <v>0.62000000000000455</v>
      </c>
      <c r="AE9" s="138">
        <f t="shared" si="1"/>
        <v>2.8838231255150504E-3</v>
      </c>
      <c r="AK9" s="234"/>
      <c r="AN9" s="234"/>
    </row>
    <row r="10" spans="1:40" ht="12.75" customHeight="1" x14ac:dyDescent="0.25">
      <c r="O10" s="11" t="s">
        <v>224</v>
      </c>
      <c r="Q10" s="2">
        <f>M37</f>
        <v>160.82999999999993</v>
      </c>
      <c r="W10" s="94">
        <v>42594</v>
      </c>
      <c r="X10" s="369">
        <v>218.29</v>
      </c>
      <c r="Y10" s="40">
        <v>218.71</v>
      </c>
      <c r="Z10" s="40">
        <v>217.99</v>
      </c>
      <c r="AA10" s="369">
        <v>218.46</v>
      </c>
      <c r="AB10" s="95">
        <v>61313500</v>
      </c>
      <c r="AC10" s="244">
        <v>218.46</v>
      </c>
      <c r="AD10" s="2">
        <f t="shared" si="0"/>
        <v>0.71999999999999886</v>
      </c>
      <c r="AE10" s="138">
        <f t="shared" si="1"/>
        <v>-8.6896867139263367E-4</v>
      </c>
    </row>
    <row r="11" spans="1:40" x14ac:dyDescent="0.25">
      <c r="O11" s="11" t="s">
        <v>184</v>
      </c>
      <c r="Q11" s="138">
        <v>0</v>
      </c>
      <c r="W11" s="94">
        <v>42593</v>
      </c>
      <c r="X11" s="369">
        <v>218.26</v>
      </c>
      <c r="Y11" s="40">
        <v>218.94</v>
      </c>
      <c r="Z11" s="40">
        <v>217.95</v>
      </c>
      <c r="AA11" s="369">
        <v>218.65</v>
      </c>
      <c r="AB11" s="95">
        <v>72504300</v>
      </c>
      <c r="AC11" s="244">
        <v>218.65</v>
      </c>
      <c r="AD11" s="2">
        <f t="shared" si="0"/>
        <v>0.99000000000000909</v>
      </c>
      <c r="AE11" s="138">
        <f t="shared" si="1"/>
        <v>4.6406910494394271E-3</v>
      </c>
      <c r="AK11" s="234"/>
      <c r="AN11" s="234"/>
    </row>
    <row r="12" spans="1:40" x14ac:dyDescent="0.25">
      <c r="W12" s="94">
        <v>42592</v>
      </c>
      <c r="X12" s="369">
        <v>218.31</v>
      </c>
      <c r="Y12" s="40">
        <v>218.4</v>
      </c>
      <c r="Z12" s="40">
        <v>217.23</v>
      </c>
      <c r="AA12" s="369">
        <v>217.64</v>
      </c>
      <c r="AB12" s="95">
        <v>57941100</v>
      </c>
      <c r="AC12" s="244">
        <v>217.64</v>
      </c>
      <c r="AD12" s="2">
        <f t="shared" si="0"/>
        <v>1.1700000000000159</v>
      </c>
      <c r="AE12" s="138">
        <f t="shared" si="1"/>
        <v>-2.4750206251720197E-3</v>
      </c>
    </row>
    <row r="13" spans="1:40" x14ac:dyDescent="0.25">
      <c r="W13" s="94">
        <v>42591</v>
      </c>
      <c r="X13" s="369">
        <v>218.13</v>
      </c>
      <c r="Y13" s="40">
        <v>218.76</v>
      </c>
      <c r="Z13" s="40">
        <v>217.8</v>
      </c>
      <c r="AA13" s="369">
        <v>218.18</v>
      </c>
      <c r="AB13" s="95">
        <v>51251700</v>
      </c>
      <c r="AC13" s="244">
        <v>218.18</v>
      </c>
      <c r="AD13" s="2">
        <f t="shared" si="0"/>
        <v>0.95999999999997954</v>
      </c>
      <c r="AE13" s="138">
        <f t="shared" si="1"/>
        <v>5.9619353359319227E-4</v>
      </c>
      <c r="AK13" s="234"/>
      <c r="AN13" s="234"/>
    </row>
    <row r="14" spans="1:40" x14ac:dyDescent="0.25">
      <c r="T14" s="84"/>
      <c r="U14" s="11"/>
      <c r="W14" s="94">
        <v>42590</v>
      </c>
      <c r="X14" s="369">
        <v>218.4</v>
      </c>
      <c r="Y14" s="40">
        <v>218.52</v>
      </c>
      <c r="Z14" s="40">
        <v>217.74</v>
      </c>
      <c r="AA14" s="369">
        <v>218.05</v>
      </c>
      <c r="AB14" s="95">
        <v>39906500</v>
      </c>
      <c r="AC14" s="244">
        <v>218.05</v>
      </c>
      <c r="AD14" s="2">
        <f t="shared" si="0"/>
        <v>0.78000000000000114</v>
      </c>
      <c r="AE14" s="138">
        <f t="shared" si="1"/>
        <v>-5.9583829865250681E-4</v>
      </c>
    </row>
    <row r="15" spans="1:40" x14ac:dyDescent="0.25">
      <c r="W15" s="94">
        <v>42587</v>
      </c>
      <c r="X15" s="369">
        <v>216.41</v>
      </c>
      <c r="Y15" s="40">
        <v>218.23</v>
      </c>
      <c r="Z15" s="40">
        <v>216.41</v>
      </c>
      <c r="AA15" s="369">
        <v>218.18</v>
      </c>
      <c r="AB15" s="95">
        <v>71892200</v>
      </c>
      <c r="AC15" s="244">
        <v>218.18</v>
      </c>
      <c r="AD15" s="2">
        <f t="shared" si="0"/>
        <v>1.8199999999999932</v>
      </c>
      <c r="AE15" s="138">
        <f t="shared" si="1"/>
        <v>8.1789196432697775E-3</v>
      </c>
      <c r="AK15" s="234"/>
      <c r="AN15" s="234"/>
    </row>
    <row r="16" spans="1:40" x14ac:dyDescent="0.25">
      <c r="W16" s="94">
        <v>42586</v>
      </c>
      <c r="X16" s="369">
        <v>216.31</v>
      </c>
      <c r="Y16" s="40">
        <v>216.78</v>
      </c>
      <c r="Z16" s="40">
        <v>214.25</v>
      </c>
      <c r="AA16" s="369">
        <v>216.41</v>
      </c>
      <c r="AB16" s="95">
        <v>46585500</v>
      </c>
      <c r="AC16" s="244">
        <v>216.41</v>
      </c>
      <c r="AD16" s="2">
        <f t="shared" si="0"/>
        <v>2.5300000000000011</v>
      </c>
      <c r="AE16" s="138">
        <f t="shared" si="1"/>
        <v>1.0639282079747403E-3</v>
      </c>
    </row>
    <row r="17" spans="1:40" x14ac:dyDescent="0.25">
      <c r="W17" s="94">
        <v>42585</v>
      </c>
      <c r="X17" s="369">
        <v>215.48</v>
      </c>
      <c r="Y17" s="40">
        <v>216.25</v>
      </c>
      <c r="Z17" s="40">
        <v>215.13</v>
      </c>
      <c r="AA17" s="369">
        <v>216.18</v>
      </c>
      <c r="AB17" s="95">
        <v>53993600</v>
      </c>
      <c r="AC17" s="244">
        <v>216.18</v>
      </c>
      <c r="AD17" s="2">
        <f t="shared" si="0"/>
        <v>1.1200000000000045</v>
      </c>
      <c r="AE17" s="138">
        <f t="shared" si="1"/>
        <v>2.9227557411273253E-3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42584</v>
      </c>
      <c r="X18" s="369">
        <v>216.65</v>
      </c>
      <c r="Y18" s="40">
        <v>216.83</v>
      </c>
      <c r="Z18" s="40">
        <v>214.57</v>
      </c>
      <c r="AA18" s="369">
        <v>215.55</v>
      </c>
      <c r="AB18" s="95">
        <v>92295500</v>
      </c>
      <c r="AC18" s="244">
        <v>215.55</v>
      </c>
      <c r="AD18" s="2">
        <f t="shared" si="0"/>
        <v>2.2600000000000193</v>
      </c>
      <c r="AE18" s="138">
        <f t="shared" si="1"/>
        <v>-6.4073015580343728E-3</v>
      </c>
    </row>
    <row r="19" spans="1:40" x14ac:dyDescent="0.25">
      <c r="W19" s="94">
        <v>42583</v>
      </c>
      <c r="X19" s="369">
        <v>217.19</v>
      </c>
      <c r="Y19" s="40">
        <v>217.65</v>
      </c>
      <c r="Z19" s="40">
        <v>216.41</v>
      </c>
      <c r="AA19" s="369">
        <v>216.94</v>
      </c>
      <c r="AB19" s="95">
        <v>73311400</v>
      </c>
      <c r="AC19" s="244">
        <v>216.94</v>
      </c>
      <c r="AD19" s="2">
        <f t="shared" si="0"/>
        <v>1.2400000000000091</v>
      </c>
      <c r="AE19" s="138">
        <f t="shared" si="1"/>
        <v>-8.2903463522476795E-4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42580</v>
      </c>
      <c r="X20" s="369">
        <v>216.46</v>
      </c>
      <c r="Y20" s="40">
        <v>217.54</v>
      </c>
      <c r="Z20" s="40">
        <v>216.13</v>
      </c>
      <c r="AA20" s="369">
        <v>217.12</v>
      </c>
      <c r="AB20" s="95">
        <v>79519400</v>
      </c>
      <c r="AC20" s="244">
        <v>217.12</v>
      </c>
      <c r="AD20" s="2">
        <f t="shared" si="0"/>
        <v>1.4099999999999966</v>
      </c>
      <c r="AE20" s="138">
        <f t="shared" si="1"/>
        <v>1.6146145684365898E-3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42579</v>
      </c>
      <c r="X21" s="369">
        <v>216.29</v>
      </c>
      <c r="Y21" s="40">
        <v>217.11</v>
      </c>
      <c r="Z21" s="40">
        <v>215.75</v>
      </c>
      <c r="AA21" s="369">
        <v>216.77</v>
      </c>
      <c r="AB21" s="95">
        <v>65035700</v>
      </c>
      <c r="AC21" s="244">
        <v>216.77</v>
      </c>
      <c r="AD21" s="2">
        <f t="shared" si="0"/>
        <v>1.3600000000000136</v>
      </c>
      <c r="AE21" s="138">
        <f t="shared" si="1"/>
        <v>1.1546277480141143E-3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42578</v>
      </c>
      <c r="X22" s="369">
        <v>217.19</v>
      </c>
      <c r="Y22" s="40">
        <v>217.27</v>
      </c>
      <c r="Z22" s="40">
        <v>215.62</v>
      </c>
      <c r="AA22" s="369">
        <v>216.52</v>
      </c>
      <c r="AB22" s="95">
        <v>84083900</v>
      </c>
      <c r="AC22" s="244">
        <v>216.52</v>
      </c>
      <c r="AD22" s="2">
        <f t="shared" si="0"/>
        <v>1.6500000000000057</v>
      </c>
      <c r="AE22" s="138">
        <f t="shared" si="1"/>
        <v>-1.0611303344867373E-3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42577</v>
      </c>
      <c r="X23" s="369">
        <v>216.53</v>
      </c>
      <c r="Y23" s="40">
        <v>217.17</v>
      </c>
      <c r="Z23" s="40">
        <v>215.76</v>
      </c>
      <c r="AA23" s="369">
        <v>216.75</v>
      </c>
      <c r="AB23" s="95">
        <v>70080500</v>
      </c>
      <c r="AC23" s="244">
        <v>216.75</v>
      </c>
      <c r="AD23" s="2">
        <f t="shared" si="0"/>
        <v>1.4099999999999966</v>
      </c>
      <c r="AE23" s="138">
        <f t="shared" si="1"/>
        <v>4.6157396722823485E-4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42576</v>
      </c>
      <c r="X24" s="369">
        <v>217</v>
      </c>
      <c r="Y24" s="40">
        <v>217.06</v>
      </c>
      <c r="Z24" s="40">
        <v>215.97</v>
      </c>
      <c r="AA24" s="369">
        <v>216.65</v>
      </c>
      <c r="AB24" s="95">
        <v>55873100</v>
      </c>
      <c r="AC24" s="244">
        <v>216.65</v>
      </c>
      <c r="AD24" s="2">
        <f t="shared" si="0"/>
        <v>1.0900000000000034</v>
      </c>
      <c r="AE24" s="138">
        <f t="shared" si="1"/>
        <v>-2.7158902596207124E-3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42573</v>
      </c>
      <c r="X25" s="369">
        <v>216.41</v>
      </c>
      <c r="Y25" s="40">
        <v>217.3</v>
      </c>
      <c r="Z25" s="40">
        <v>216.1</v>
      </c>
      <c r="AA25" s="369">
        <v>217.24</v>
      </c>
      <c r="AB25" s="95">
        <v>62787500</v>
      </c>
      <c r="AC25" s="244">
        <v>217.24</v>
      </c>
      <c r="AD25" s="2">
        <f t="shared" si="0"/>
        <v>1.2000000000000171</v>
      </c>
      <c r="AE25" s="138">
        <f t="shared" si="1"/>
        <v>4.4851343228371476E-3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42572</v>
      </c>
      <c r="X26" s="369">
        <v>216.96</v>
      </c>
      <c r="Y26" s="40">
        <v>217.22</v>
      </c>
      <c r="Z26" s="40">
        <v>215.75</v>
      </c>
      <c r="AA26" s="369">
        <v>216.27</v>
      </c>
      <c r="AB26" s="95">
        <v>67777300</v>
      </c>
      <c r="AC26" s="244">
        <v>216.27</v>
      </c>
      <c r="AD26" s="2">
        <f t="shared" si="0"/>
        <v>1.4699999999999989</v>
      </c>
      <c r="AE26" s="138">
        <f t="shared" si="1"/>
        <v>-3.7772352480537341E-3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42571</v>
      </c>
      <c r="X27" s="369">
        <v>216.19</v>
      </c>
      <c r="Y27" s="40">
        <v>217.37</v>
      </c>
      <c r="Z27" s="40">
        <v>216.19</v>
      </c>
      <c r="AA27" s="369">
        <v>217.09</v>
      </c>
      <c r="AB27" s="95">
        <v>58159500</v>
      </c>
      <c r="AC27" s="244">
        <v>217.09</v>
      </c>
      <c r="AD27" s="2">
        <f t="shared" si="0"/>
        <v>1.1800000000000068</v>
      </c>
      <c r="AE27" s="138">
        <f t="shared" si="1"/>
        <v>4.1630047643277379E-3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42570</v>
      </c>
      <c r="X28" s="369">
        <v>215.92</v>
      </c>
      <c r="Y28" s="40">
        <v>216.23</v>
      </c>
      <c r="Z28" s="40">
        <v>215.63</v>
      </c>
      <c r="AA28" s="369">
        <v>216.19</v>
      </c>
      <c r="AB28" s="95">
        <v>54345700</v>
      </c>
      <c r="AC28" s="244">
        <v>216.19</v>
      </c>
      <c r="AD28" s="2">
        <f t="shared" si="0"/>
        <v>0.59999999999999432</v>
      </c>
      <c r="AE28" s="138">
        <f t="shared" si="1"/>
        <v>-1.0165888822143421E-3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42569</v>
      </c>
      <c r="X29" s="369">
        <v>215.97</v>
      </c>
      <c r="Y29" s="40">
        <v>216.6</v>
      </c>
      <c r="Z29" s="40">
        <v>215.67</v>
      </c>
      <c r="AA29" s="369">
        <v>216.41</v>
      </c>
      <c r="AB29" s="95">
        <v>58725900</v>
      </c>
      <c r="AC29" s="244">
        <v>216.41</v>
      </c>
      <c r="AD29" s="2">
        <f t="shared" si="0"/>
        <v>0.93000000000000682</v>
      </c>
      <c r="AE29" s="138">
        <f t="shared" si="1"/>
        <v>2.6873001899643256E-3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42566</v>
      </c>
      <c r="X30" s="369">
        <v>216.78</v>
      </c>
      <c r="Y30" s="40">
        <v>217.01</v>
      </c>
      <c r="Z30" s="40">
        <v>215.31</v>
      </c>
      <c r="AA30" s="369">
        <v>215.83</v>
      </c>
      <c r="AB30" s="95">
        <v>107155400</v>
      </c>
      <c r="AC30" s="244">
        <v>215.83</v>
      </c>
      <c r="AD30" s="2">
        <f t="shared" si="0"/>
        <v>1.6999999999999886</v>
      </c>
      <c r="AE30" s="138">
        <f t="shared" si="1"/>
        <v>-1.3418471219692751E-3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42565</v>
      </c>
      <c r="X31" s="369">
        <v>216.4</v>
      </c>
      <c r="Y31" s="40">
        <v>216.67</v>
      </c>
      <c r="Z31" s="40">
        <v>215.66</v>
      </c>
      <c r="AA31" s="369">
        <v>216.12</v>
      </c>
      <c r="AB31" s="95">
        <v>91230900</v>
      </c>
      <c r="AC31" s="244">
        <v>216.12</v>
      </c>
      <c r="AD31" s="2">
        <f t="shared" si="0"/>
        <v>1.0099999999999909</v>
      </c>
      <c r="AE31" s="138">
        <f t="shared" si="1"/>
        <v>5.5834729201564848E-3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42564</v>
      </c>
      <c r="X32" s="369">
        <v>215.44</v>
      </c>
      <c r="Y32" s="40">
        <v>215.45</v>
      </c>
      <c r="Z32" s="40">
        <v>214.35</v>
      </c>
      <c r="AA32" s="369">
        <v>214.92</v>
      </c>
      <c r="AB32" s="95">
        <v>87324100</v>
      </c>
      <c r="AC32" s="244">
        <v>214.92</v>
      </c>
      <c r="AD32" s="2">
        <f t="shared" si="0"/>
        <v>1.0999999999999943</v>
      </c>
      <c r="AE32" s="138">
        <f t="shared" si="1"/>
        <v>-1.3956734124220826E-4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42563</v>
      </c>
      <c r="X33" s="369">
        <v>214.53</v>
      </c>
      <c r="Y33" s="40">
        <v>215.3</v>
      </c>
      <c r="Z33" s="40">
        <v>213.43</v>
      </c>
      <c r="AA33" s="369">
        <v>214.95</v>
      </c>
      <c r="AB33" s="95">
        <v>101275600</v>
      </c>
      <c r="AC33" s="244">
        <v>214.95</v>
      </c>
      <c r="AD33" s="2">
        <f t="shared" si="0"/>
        <v>1.8700000000000045</v>
      </c>
      <c r="AE33" s="138">
        <f t="shared" si="1"/>
        <v>7.2633552014993441E-3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42562</v>
      </c>
      <c r="X34" s="369">
        <v>213.19</v>
      </c>
      <c r="Y34" s="40">
        <v>214.07</v>
      </c>
      <c r="Z34" s="40">
        <v>212.95</v>
      </c>
      <c r="AA34" s="369">
        <v>213.4</v>
      </c>
      <c r="AB34" s="95">
        <v>73633900</v>
      </c>
      <c r="AC34" s="244">
        <v>213.4</v>
      </c>
      <c r="AD34" s="2">
        <f t="shared" si="0"/>
        <v>1.1200000000000045</v>
      </c>
      <c r="AE34" s="138">
        <f t="shared" si="1"/>
        <v>3.5269221725839905E-3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42559</v>
      </c>
      <c r="X35" s="369">
        <v>211.05</v>
      </c>
      <c r="Y35" s="40">
        <v>212.94</v>
      </c>
      <c r="Z35" s="40">
        <v>210.78</v>
      </c>
      <c r="AA35" s="369">
        <v>212.65</v>
      </c>
      <c r="AB35" s="95">
        <v>133971000</v>
      </c>
      <c r="AC35" s="244">
        <v>212.65</v>
      </c>
      <c r="AD35" s="2">
        <f t="shared" si="0"/>
        <v>2.1599999999999966</v>
      </c>
      <c r="AE35" s="138">
        <f t="shared" si="1"/>
        <v>1.4890469145229845E-2</v>
      </c>
    </row>
    <row r="36" spans="1:31" x14ac:dyDescent="0.25">
      <c r="W36" s="94">
        <v>42558</v>
      </c>
      <c r="X36" s="369">
        <v>209.87</v>
      </c>
      <c r="Y36" s="40">
        <v>210.65</v>
      </c>
      <c r="Z36" s="40">
        <v>208.63</v>
      </c>
      <c r="AA36" s="369">
        <v>209.53</v>
      </c>
      <c r="AB36" s="95">
        <v>85593800</v>
      </c>
      <c r="AC36" s="244">
        <v>209.53</v>
      </c>
      <c r="AD36" s="2">
        <f t="shared" si="0"/>
        <v>2.0200000000000102</v>
      </c>
      <c r="AE36" s="138">
        <f t="shared" si="1"/>
        <v>-6.2005151197175312E-4</v>
      </c>
    </row>
    <row r="37" spans="1:31" x14ac:dyDescent="0.25">
      <c r="L37" t="s">
        <v>224</v>
      </c>
      <c r="M37" s="2">
        <f>M55+K55-F55</f>
        <v>160.82999999999993</v>
      </c>
      <c r="W37" s="94">
        <v>42557</v>
      </c>
      <c r="X37" s="369">
        <v>207.83</v>
      </c>
      <c r="Y37" s="40">
        <v>209.8</v>
      </c>
      <c r="Z37" s="40">
        <v>207.06</v>
      </c>
      <c r="AA37" s="369">
        <v>209.66</v>
      </c>
      <c r="AB37" s="95">
        <v>96021500</v>
      </c>
      <c r="AC37" s="244">
        <v>209.66</v>
      </c>
      <c r="AD37" s="2">
        <f t="shared" si="0"/>
        <v>2.7400000000000091</v>
      </c>
      <c r="AE37" s="138">
        <f t="shared" si="1"/>
        <v>5.9977928122449953E-3</v>
      </c>
    </row>
    <row r="38" spans="1:31" x14ac:dyDescent="0.25">
      <c r="A38" s="264" t="s">
        <v>1</v>
      </c>
      <c r="B38" s="264" t="s">
        <v>2</v>
      </c>
      <c r="C38" s="264" t="s">
        <v>4</v>
      </c>
      <c r="D38" s="265" t="s">
        <v>5</v>
      </c>
      <c r="E38" s="265" t="s">
        <v>90</v>
      </c>
      <c r="F38" s="265" t="s">
        <v>60</v>
      </c>
      <c r="G38" s="264" t="s">
        <v>3</v>
      </c>
      <c r="H38" s="264" t="s">
        <v>6</v>
      </c>
      <c r="I38" s="265" t="s">
        <v>7</v>
      </c>
      <c r="J38" s="265" t="s">
        <v>89</v>
      </c>
      <c r="K38" s="265" t="s">
        <v>61</v>
      </c>
      <c r="L38" s="264" t="s">
        <v>77</v>
      </c>
      <c r="M38" s="264" t="s">
        <v>38</v>
      </c>
      <c r="W38" s="94">
        <v>42556</v>
      </c>
      <c r="X38" s="369">
        <v>208.95</v>
      </c>
      <c r="Y38" s="40">
        <v>209.08</v>
      </c>
      <c r="Z38" s="40">
        <v>207.71</v>
      </c>
      <c r="AA38" s="369">
        <v>208.41</v>
      </c>
      <c r="AB38" s="95">
        <v>109803700</v>
      </c>
      <c r="AC38" s="244">
        <v>208.41</v>
      </c>
      <c r="AD38" s="2">
        <f t="shared" si="0"/>
        <v>1.3700000000000045</v>
      </c>
      <c r="AE38" s="138">
        <f t="shared" si="1"/>
        <v>-7.1932164634146423E-3</v>
      </c>
    </row>
    <row r="39" spans="1:31" ht="20.25" thickBot="1" x14ac:dyDescent="0.35">
      <c r="A39" s="266" t="s">
        <v>183</v>
      </c>
      <c r="B39" s="267">
        <v>42377</v>
      </c>
      <c r="C39" s="262">
        <v>20</v>
      </c>
      <c r="D39" s="263">
        <v>192.9</v>
      </c>
      <c r="E39" s="263">
        <v>0</v>
      </c>
      <c r="F39" s="263">
        <f>C39*D39+E39</f>
        <v>3858</v>
      </c>
      <c r="G39" s="267">
        <v>42398</v>
      </c>
      <c r="H39" s="268">
        <v>20</v>
      </c>
      <c r="I39" s="263">
        <v>192.22</v>
      </c>
      <c r="J39" s="263">
        <v>7.0000000000000007E-2</v>
      </c>
      <c r="K39" s="263">
        <f>H39*I39-J39</f>
        <v>3844.33</v>
      </c>
      <c r="L39" s="267"/>
      <c r="M39" s="263"/>
      <c r="O39" s="11"/>
      <c r="P39" s="535" t="s">
        <v>78</v>
      </c>
      <c r="Q39" s="535"/>
      <c r="R39" s="34"/>
      <c r="T39" s="91" t="s">
        <v>113</v>
      </c>
      <c r="W39" s="94">
        <v>42552</v>
      </c>
      <c r="X39" s="369">
        <v>209.48</v>
      </c>
      <c r="Y39" s="40">
        <v>210.49</v>
      </c>
      <c r="Z39" s="40">
        <v>209.29</v>
      </c>
      <c r="AA39" s="369">
        <v>209.92</v>
      </c>
      <c r="AB39" s="95">
        <v>106055300</v>
      </c>
      <c r="AC39" s="244">
        <v>209.92</v>
      </c>
      <c r="AD39" s="2">
        <f t="shared" si="0"/>
        <v>1.2000000000000171</v>
      </c>
      <c r="AE39" s="138">
        <f t="shared" si="1"/>
        <v>2.1004391827381674E-3</v>
      </c>
    </row>
    <row r="40" spans="1:31" ht="15.75" thickTop="1" x14ac:dyDescent="0.25">
      <c r="A40" s="269" t="s">
        <v>71</v>
      </c>
      <c r="B40" s="267">
        <v>42384</v>
      </c>
      <c r="C40" s="262">
        <v>5</v>
      </c>
      <c r="D40" s="263">
        <v>186.79</v>
      </c>
      <c r="E40" s="263">
        <v>0</v>
      </c>
      <c r="F40" s="263">
        <f>C40*D40+E40</f>
        <v>933.94999999999993</v>
      </c>
      <c r="G40" s="267">
        <v>42416</v>
      </c>
      <c r="H40" s="268">
        <v>10</v>
      </c>
      <c r="I40" s="263">
        <v>189.25</v>
      </c>
      <c r="J40" s="263">
        <v>0.04</v>
      </c>
      <c r="K40" s="263">
        <f>H40*I40-J40</f>
        <v>1892.46</v>
      </c>
      <c r="L40" s="262"/>
      <c r="M40" s="262"/>
      <c r="O40" s="2"/>
      <c r="P40" s="83">
        <v>1.1000000000000001</v>
      </c>
      <c r="Q40" s="83">
        <f>P40*$Q$4</f>
        <v>239.63500000000002</v>
      </c>
      <c r="R40" s="34"/>
      <c r="T40" s="97" t="s">
        <v>98</v>
      </c>
      <c r="U40" s="129">
        <v>218.97</v>
      </c>
      <c r="W40" s="94">
        <v>42551</v>
      </c>
      <c r="X40" s="369">
        <v>207.21</v>
      </c>
      <c r="Y40" s="40">
        <v>209.54</v>
      </c>
      <c r="Z40" s="40">
        <v>206.56</v>
      </c>
      <c r="AA40" s="369">
        <v>209.48</v>
      </c>
      <c r="AB40" s="95">
        <v>165021900</v>
      </c>
      <c r="AC40" s="244">
        <v>209.48</v>
      </c>
      <c r="AD40" s="2">
        <f t="shared" si="0"/>
        <v>2.9799999999999898</v>
      </c>
      <c r="AE40" s="138">
        <f t="shared" si="1"/>
        <v>1.3645601471015123E-2</v>
      </c>
    </row>
    <row r="41" spans="1:31" x14ac:dyDescent="0.25">
      <c r="A41" s="262"/>
      <c r="B41" s="267">
        <v>42405</v>
      </c>
      <c r="C41" s="262">
        <v>15</v>
      </c>
      <c r="D41" s="263">
        <v>187.8</v>
      </c>
      <c r="E41" s="263">
        <v>0</v>
      </c>
      <c r="F41" s="263">
        <f>C41*D41+E41</f>
        <v>2817</v>
      </c>
      <c r="G41" s="267">
        <v>42424</v>
      </c>
      <c r="H41" s="268">
        <v>10</v>
      </c>
      <c r="I41" s="263">
        <v>194.3</v>
      </c>
      <c r="J41" s="263">
        <v>0.04</v>
      </c>
      <c r="K41" s="263">
        <f>H41*I41-J41</f>
        <v>1942.96</v>
      </c>
      <c r="L41" s="262"/>
      <c r="M41" s="262"/>
      <c r="O41" s="2"/>
      <c r="P41" s="83">
        <v>1.0900000000000001</v>
      </c>
      <c r="Q41" s="83">
        <f t="shared" ref="Q41:Q60" si="5">P41*$Q$4</f>
        <v>237.45650000000001</v>
      </c>
      <c r="R41" s="34"/>
      <c r="T41" s="87" t="s">
        <v>99</v>
      </c>
      <c r="U41" s="130">
        <v>218.8</v>
      </c>
      <c r="W41" s="94">
        <v>42550</v>
      </c>
      <c r="X41" s="369">
        <v>204.84</v>
      </c>
      <c r="Y41" s="40">
        <v>206.93</v>
      </c>
      <c r="Z41" s="40">
        <v>204.72</v>
      </c>
      <c r="AA41" s="369">
        <v>206.66</v>
      </c>
      <c r="AB41" s="95">
        <v>137328600</v>
      </c>
      <c r="AC41" s="244">
        <v>206.66</v>
      </c>
      <c r="AD41" s="2">
        <f t="shared" si="0"/>
        <v>2.210000000000008</v>
      </c>
      <c r="AE41" s="138">
        <f t="shared" si="1"/>
        <v>1.7027559055118102E-2</v>
      </c>
    </row>
    <row r="42" spans="1:31" x14ac:dyDescent="0.25">
      <c r="A42" s="262"/>
      <c r="B42" s="267">
        <v>42408</v>
      </c>
      <c r="C42" s="262">
        <v>5</v>
      </c>
      <c r="D42" s="263">
        <v>183.55</v>
      </c>
      <c r="E42" s="263">
        <v>0</v>
      </c>
      <c r="F42" s="263">
        <f>C42*D42+E42</f>
        <v>917.75</v>
      </c>
      <c r="G42" s="267">
        <v>42440</v>
      </c>
      <c r="H42" s="268">
        <v>5</v>
      </c>
      <c r="I42" s="263">
        <v>201.56</v>
      </c>
      <c r="J42" s="263">
        <v>0.02</v>
      </c>
      <c r="K42" s="263">
        <f>H42*I42-J42</f>
        <v>1007.78</v>
      </c>
      <c r="L42" s="262"/>
      <c r="M42" s="262"/>
      <c r="O42" s="2"/>
      <c r="P42" s="83">
        <v>1.08</v>
      </c>
      <c r="Q42" s="83">
        <f t="shared" si="5"/>
        <v>235.27800000000002</v>
      </c>
      <c r="R42" s="34"/>
      <c r="T42" s="87" t="s">
        <v>100</v>
      </c>
      <c r="U42" s="130" t="s">
        <v>564</v>
      </c>
      <c r="W42" s="94">
        <v>42549</v>
      </c>
      <c r="X42" s="369">
        <v>201.48</v>
      </c>
      <c r="Y42" s="40">
        <v>203.23</v>
      </c>
      <c r="Z42" s="40">
        <v>201.12</v>
      </c>
      <c r="AA42" s="369">
        <v>203.2</v>
      </c>
      <c r="AB42" s="95">
        <v>159382400</v>
      </c>
      <c r="AC42" s="244">
        <v>203.2</v>
      </c>
      <c r="AD42" s="2">
        <f t="shared" si="0"/>
        <v>2.1099999999999852</v>
      </c>
      <c r="AE42" s="138">
        <f t="shared" si="1"/>
        <v>1.8036072144288484E-2</v>
      </c>
    </row>
    <row r="43" spans="1:31" x14ac:dyDescent="0.25">
      <c r="A43" s="262"/>
      <c r="B43" s="262"/>
      <c r="C43" s="262"/>
      <c r="D43" s="263"/>
      <c r="E43" s="263"/>
      <c r="F43" s="263"/>
      <c r="G43" s="262"/>
      <c r="H43" s="268"/>
      <c r="I43" s="263"/>
      <c r="J43" s="263"/>
      <c r="K43" s="263"/>
      <c r="L43" s="262"/>
      <c r="M43" s="262"/>
      <c r="O43" s="2"/>
      <c r="P43" s="83">
        <v>1.07</v>
      </c>
      <c r="Q43" s="83">
        <f t="shared" si="5"/>
        <v>233.09950000000001</v>
      </c>
      <c r="R43" s="83"/>
      <c r="T43" s="87" t="s">
        <v>101</v>
      </c>
      <c r="U43" s="130" t="s">
        <v>565</v>
      </c>
      <c r="W43" s="94">
        <v>42548</v>
      </c>
      <c r="X43" s="369">
        <v>201.59</v>
      </c>
      <c r="Y43" s="40">
        <v>201.6</v>
      </c>
      <c r="Z43" s="40">
        <v>198.65</v>
      </c>
      <c r="AA43" s="369">
        <v>199.6</v>
      </c>
      <c r="AB43" s="95">
        <v>230775800</v>
      </c>
      <c r="AC43" s="244">
        <v>199.6</v>
      </c>
      <c r="AD43" s="2">
        <f t="shared" si="0"/>
        <v>2.9499999999999886</v>
      </c>
      <c r="AE43" s="138">
        <f t="shared" si="1"/>
        <v>-1.790986026372765E-2</v>
      </c>
    </row>
    <row r="44" spans="1:31" x14ac:dyDescent="0.25">
      <c r="A44" s="262"/>
      <c r="B44" s="262"/>
      <c r="C44" s="262"/>
      <c r="D44" s="263"/>
      <c r="E44" s="263"/>
      <c r="F44" s="263"/>
      <c r="G44" s="262"/>
      <c r="H44" s="262"/>
      <c r="I44" s="263"/>
      <c r="J44" s="263"/>
      <c r="K44" s="263"/>
      <c r="L44" s="262"/>
      <c r="M44" s="262"/>
      <c r="O44" s="2"/>
      <c r="P44" s="83">
        <v>1.06</v>
      </c>
      <c r="Q44" s="83">
        <f t="shared" si="5"/>
        <v>230.92099999999999</v>
      </c>
      <c r="R44" s="83"/>
      <c r="T44" s="87" t="s">
        <v>245</v>
      </c>
      <c r="U44" s="130">
        <v>218.93</v>
      </c>
      <c r="W44" s="94">
        <v>42545</v>
      </c>
      <c r="X44" s="369">
        <v>203.63</v>
      </c>
      <c r="Y44" s="40">
        <v>210.85</v>
      </c>
      <c r="Z44" s="40">
        <v>202.72</v>
      </c>
      <c r="AA44" s="369">
        <v>203.24</v>
      </c>
      <c r="AB44" s="95">
        <v>333444400</v>
      </c>
      <c r="AC44" s="244">
        <v>203.24</v>
      </c>
      <c r="AD44" s="2">
        <f t="shared" si="0"/>
        <v>8.1299999999999955</v>
      </c>
      <c r="AE44" s="138">
        <f t="shared" si="1"/>
        <v>-3.5909112470945415E-2</v>
      </c>
    </row>
    <row r="45" spans="1:31" x14ac:dyDescent="0.25">
      <c r="A45" s="262"/>
      <c r="B45" s="262"/>
      <c r="C45" s="262"/>
      <c r="D45" s="263"/>
      <c r="E45" s="263"/>
      <c r="F45" s="263"/>
      <c r="G45" s="262"/>
      <c r="H45" s="262"/>
      <c r="I45" s="263"/>
      <c r="J45" s="263"/>
      <c r="K45" s="263"/>
      <c r="L45" s="262"/>
      <c r="M45" s="262"/>
      <c r="O45" s="2"/>
      <c r="P45" s="83">
        <v>1.05</v>
      </c>
      <c r="Q45" s="83">
        <f t="shared" si="5"/>
        <v>228.74250000000001</v>
      </c>
      <c r="R45" s="83"/>
      <c r="T45" s="87" t="s">
        <v>246</v>
      </c>
      <c r="U45" s="130" t="s">
        <v>348</v>
      </c>
      <c r="W45" s="94">
        <v>42544</v>
      </c>
      <c r="X45" s="369">
        <v>209.81</v>
      </c>
      <c r="Y45" s="40">
        <v>210.87</v>
      </c>
      <c r="Z45" s="40">
        <v>209.27</v>
      </c>
      <c r="AA45" s="369">
        <v>210.81</v>
      </c>
      <c r="AB45" s="95">
        <v>102731400</v>
      </c>
      <c r="AC45" s="244">
        <v>210.81</v>
      </c>
      <c r="AD45" s="2">
        <f t="shared" si="0"/>
        <v>1.5999999999999943</v>
      </c>
      <c r="AE45" s="138">
        <f t="shared" si="1"/>
        <v>1.302258529553102E-2</v>
      </c>
    </row>
    <row r="46" spans="1:31" x14ac:dyDescent="0.25">
      <c r="A46" s="262"/>
      <c r="B46" s="262"/>
      <c r="C46" s="262"/>
      <c r="D46" s="263"/>
      <c r="E46" s="263"/>
      <c r="F46" s="263"/>
      <c r="G46" s="262"/>
      <c r="H46" s="262"/>
      <c r="I46" s="263"/>
      <c r="J46" s="263"/>
      <c r="K46" s="263"/>
      <c r="L46" s="262"/>
      <c r="M46" s="262"/>
      <c r="O46" s="2"/>
      <c r="P46" s="83">
        <v>1.04</v>
      </c>
      <c r="Q46" s="83">
        <f t="shared" si="5"/>
        <v>226.56399999999999</v>
      </c>
      <c r="R46" s="83"/>
      <c r="T46" s="87" t="s">
        <v>247</v>
      </c>
      <c r="U46" s="232">
        <v>7.6100000000000001E-2</v>
      </c>
      <c r="W46" s="94">
        <v>42543</v>
      </c>
      <c r="X46" s="369">
        <v>208.65</v>
      </c>
      <c r="Y46" s="40">
        <v>209.5</v>
      </c>
      <c r="Z46" s="40">
        <v>207.93</v>
      </c>
      <c r="AA46" s="369">
        <v>208.1</v>
      </c>
      <c r="AB46" s="95">
        <v>95560500</v>
      </c>
      <c r="AC46" s="244">
        <v>208.1</v>
      </c>
      <c r="AD46" s="2">
        <f t="shared" si="0"/>
        <v>1.5699999999999932</v>
      </c>
      <c r="AE46" s="138">
        <f t="shared" si="1"/>
        <v>-1.6311648436000414E-3</v>
      </c>
    </row>
    <row r="47" spans="1:31" x14ac:dyDescent="0.25">
      <c r="A47" s="262"/>
      <c r="B47" s="262"/>
      <c r="C47" s="262"/>
      <c r="D47" s="263"/>
      <c r="E47" s="263"/>
      <c r="F47" s="263"/>
      <c r="G47" s="262"/>
      <c r="H47" s="262"/>
      <c r="I47" s="263"/>
      <c r="J47" s="263"/>
      <c r="K47" s="263"/>
      <c r="L47" s="262"/>
      <c r="M47" s="262"/>
      <c r="O47" s="2"/>
      <c r="P47" s="83">
        <v>1.03</v>
      </c>
      <c r="Q47" s="83">
        <f t="shared" si="5"/>
        <v>224.38550000000001</v>
      </c>
      <c r="R47" s="83"/>
      <c r="T47" s="87"/>
      <c r="U47" s="130"/>
      <c r="W47" s="94">
        <v>42542</v>
      </c>
      <c r="X47" s="369">
        <v>208.3</v>
      </c>
      <c r="Y47" s="40">
        <v>208.92</v>
      </c>
      <c r="Z47" s="40">
        <v>207.78</v>
      </c>
      <c r="AA47" s="369">
        <v>208.44</v>
      </c>
      <c r="AB47" s="95">
        <v>72461700</v>
      </c>
      <c r="AC47" s="244">
        <v>208.44</v>
      </c>
      <c r="AD47" s="2">
        <f t="shared" si="0"/>
        <v>1.1399999999999864</v>
      </c>
      <c r="AE47" s="138">
        <f t="shared" si="1"/>
        <v>2.8385855184027697E-3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/>
      <c r="M48" s="262"/>
      <c r="O48" s="2"/>
      <c r="P48" s="83">
        <v>1.02</v>
      </c>
      <c r="Q48" s="83">
        <f t="shared" si="5"/>
        <v>222.20699999999999</v>
      </c>
      <c r="R48" s="83"/>
      <c r="T48" s="87" t="s">
        <v>105</v>
      </c>
      <c r="U48" s="130" t="s">
        <v>566</v>
      </c>
      <c r="W48" s="94">
        <v>42541</v>
      </c>
      <c r="X48" s="369">
        <v>208.82</v>
      </c>
      <c r="Y48" s="40">
        <v>209.61</v>
      </c>
      <c r="Z48" s="40">
        <v>207.75</v>
      </c>
      <c r="AA48" s="369">
        <v>207.85</v>
      </c>
      <c r="AB48" s="95">
        <v>82789600</v>
      </c>
      <c r="AC48" s="244">
        <v>207.85</v>
      </c>
      <c r="AD48" s="2">
        <f t="shared" si="0"/>
        <v>1.8600000000000136</v>
      </c>
      <c r="AE48" s="138">
        <f t="shared" si="1"/>
        <v>6.4400542320355303E-3</v>
      </c>
    </row>
    <row r="49" spans="1:31" x14ac:dyDescent="0.25">
      <c r="A49" s="262"/>
      <c r="B49" s="262"/>
      <c r="C49" s="262"/>
      <c r="D49" s="263"/>
      <c r="E49" s="263"/>
      <c r="F49" s="263"/>
      <c r="G49" s="262"/>
      <c r="H49" s="262"/>
      <c r="I49" s="263"/>
      <c r="J49" s="263"/>
      <c r="K49" s="263"/>
      <c r="L49" s="262"/>
      <c r="M49" s="262"/>
      <c r="O49" s="2"/>
      <c r="P49" s="83">
        <v>1.01</v>
      </c>
      <c r="Q49" s="83">
        <f t="shared" si="5"/>
        <v>220.02850000000001</v>
      </c>
      <c r="R49" s="83"/>
      <c r="T49" s="87" t="s">
        <v>106</v>
      </c>
      <c r="U49" s="130" t="s">
        <v>420</v>
      </c>
      <c r="W49" s="94">
        <v>42538</v>
      </c>
      <c r="X49" s="369">
        <v>207.17</v>
      </c>
      <c r="Y49" s="40">
        <v>207.2</v>
      </c>
      <c r="Z49" s="40">
        <v>205.75</v>
      </c>
      <c r="AA49" s="369">
        <v>206.52</v>
      </c>
      <c r="AB49" s="95">
        <v>117055700</v>
      </c>
      <c r="AC49" s="244">
        <v>206.52</v>
      </c>
      <c r="AD49" s="2">
        <f t="shared" si="0"/>
        <v>1.4499999999999886</v>
      </c>
      <c r="AE49" s="138" t="e">
        <f t="shared" si="1"/>
        <v>#DIV/0!</v>
      </c>
    </row>
    <row r="50" spans="1:31" x14ac:dyDescent="0.25">
      <c r="A50" s="262"/>
      <c r="B50" s="262"/>
      <c r="C50" s="262"/>
      <c r="D50" s="263"/>
      <c r="E50" s="263"/>
      <c r="F50" s="263"/>
      <c r="G50" s="262"/>
      <c r="H50" s="262"/>
      <c r="I50" s="263"/>
      <c r="J50" s="263"/>
      <c r="K50" s="263"/>
      <c r="L50" s="262"/>
      <c r="M50" s="262"/>
      <c r="O50" s="2"/>
      <c r="P50" s="83">
        <v>1</v>
      </c>
      <c r="Q50" s="83">
        <f t="shared" si="5"/>
        <v>217.85</v>
      </c>
      <c r="R50" s="83"/>
      <c r="T50" s="87" t="s">
        <v>107</v>
      </c>
      <c r="U50" s="131">
        <v>71728949</v>
      </c>
      <c r="W50" s="94">
        <v>42538</v>
      </c>
      <c r="X50" s="369" t="s">
        <v>256</v>
      </c>
      <c r="Y50" s="40"/>
      <c r="Z50" s="40"/>
      <c r="AA50" s="369"/>
      <c r="AB50" s="95"/>
      <c r="AC50" s="244"/>
      <c r="AD50" s="2">
        <f t="shared" si="0"/>
        <v>0</v>
      </c>
      <c r="AE50" s="138">
        <f t="shared" si="1"/>
        <v>-1</v>
      </c>
    </row>
    <row r="51" spans="1:31" x14ac:dyDescent="0.25">
      <c r="A51" s="262"/>
      <c r="B51" s="262"/>
      <c r="C51" s="262"/>
      <c r="D51" s="263"/>
      <c r="E51" s="263"/>
      <c r="F51" s="263"/>
      <c r="G51" s="262"/>
      <c r="H51" s="262"/>
      <c r="I51" s="263"/>
      <c r="J51" s="263"/>
      <c r="K51" s="263"/>
      <c r="L51" s="262"/>
      <c r="M51" s="262"/>
      <c r="O51" s="2"/>
      <c r="P51" s="83">
        <v>0.99</v>
      </c>
      <c r="Q51" s="83">
        <f t="shared" si="5"/>
        <v>215.67149999999998</v>
      </c>
      <c r="R51" s="83"/>
      <c r="T51" s="87" t="s">
        <v>110</v>
      </c>
      <c r="U51" s="131">
        <v>88721600</v>
      </c>
      <c r="W51" s="94">
        <v>42537</v>
      </c>
      <c r="X51" s="369">
        <v>207.75</v>
      </c>
      <c r="Y51" s="40">
        <v>208.57</v>
      </c>
      <c r="Z51" s="40">
        <v>205.59</v>
      </c>
      <c r="AA51" s="369">
        <v>208.37</v>
      </c>
      <c r="AB51" s="95">
        <v>149533100</v>
      </c>
      <c r="AC51" s="244">
        <v>207.29</v>
      </c>
      <c r="AD51" s="2">
        <f t="shared" si="0"/>
        <v>2.9799999999999898</v>
      </c>
      <c r="AE51" s="138">
        <f t="shared" si="1"/>
        <v>2.9514224888715912E-3</v>
      </c>
    </row>
    <row r="52" spans="1:31" x14ac:dyDescent="0.25">
      <c r="A52" s="262"/>
      <c r="B52" s="262"/>
      <c r="C52" s="262"/>
      <c r="D52" s="263"/>
      <c r="E52" s="263"/>
      <c r="F52" s="263"/>
      <c r="G52" s="262"/>
      <c r="H52" s="262"/>
      <c r="I52" s="263"/>
      <c r="J52" s="263"/>
      <c r="K52" s="263"/>
      <c r="L52" s="262"/>
      <c r="M52" s="262"/>
      <c r="O52" s="2"/>
      <c r="P52" s="83">
        <v>0.98</v>
      </c>
      <c r="Q52" s="83">
        <f t="shared" si="5"/>
        <v>213.49299999999999</v>
      </c>
      <c r="R52" s="83"/>
      <c r="T52" s="87" t="s">
        <v>248</v>
      </c>
      <c r="U52" s="130">
        <v>19</v>
      </c>
      <c r="W52" s="94">
        <v>42536</v>
      </c>
      <c r="X52" s="369">
        <v>208.04</v>
      </c>
      <c r="Y52" s="40">
        <v>209.36</v>
      </c>
      <c r="Z52" s="40">
        <v>207.53</v>
      </c>
      <c r="AA52" s="369">
        <v>207.75</v>
      </c>
      <c r="AB52" s="95">
        <v>109124500</v>
      </c>
      <c r="AC52" s="244">
        <v>206.68</v>
      </c>
      <c r="AD52" s="2">
        <f t="shared" si="0"/>
        <v>1.8300000000000125</v>
      </c>
      <c r="AE52" s="138">
        <f t="shared" si="1"/>
        <v>-1.3529184383456183E-3</v>
      </c>
    </row>
    <row r="53" spans="1:31" x14ac:dyDescent="0.25">
      <c r="A53" s="262"/>
      <c r="B53" s="262"/>
      <c r="C53" s="262"/>
      <c r="D53" s="263"/>
      <c r="E53" s="263"/>
      <c r="F53" s="263"/>
      <c r="G53" s="262"/>
      <c r="H53" s="262"/>
      <c r="I53" s="263"/>
      <c r="J53" s="263"/>
      <c r="K53" s="263"/>
      <c r="L53" s="262"/>
      <c r="M53" s="262"/>
      <c r="O53" s="2"/>
      <c r="P53" s="83">
        <v>0.97</v>
      </c>
      <c r="Q53" s="83">
        <f t="shared" si="5"/>
        <v>211.31449999999998</v>
      </c>
      <c r="R53" s="83"/>
      <c r="T53" s="87" t="s">
        <v>249</v>
      </c>
      <c r="U53" s="130">
        <v>2.0099999999999998</v>
      </c>
      <c r="W53" s="94">
        <v>42535</v>
      </c>
      <c r="X53" s="369">
        <v>208</v>
      </c>
      <c r="Y53" s="40">
        <v>208.74</v>
      </c>
      <c r="Z53" s="40">
        <v>206.92</v>
      </c>
      <c r="AA53" s="369">
        <v>208.04</v>
      </c>
      <c r="AB53" s="95">
        <v>125059300</v>
      </c>
      <c r="AC53" s="244">
        <v>206.96</v>
      </c>
      <c r="AD53" s="2">
        <f t="shared" si="0"/>
        <v>1.8200000000000216</v>
      </c>
      <c r="AE53" s="138">
        <f t="shared" si="1"/>
        <v>-1.9771423060230831E-3</v>
      </c>
    </row>
    <row r="54" spans="1:31" x14ac:dyDescent="0.25">
      <c r="A54" s="262"/>
      <c r="B54" s="262"/>
      <c r="C54" s="262"/>
      <c r="D54" s="263"/>
      <c r="E54" s="263"/>
      <c r="F54" s="263"/>
      <c r="G54" s="262"/>
      <c r="H54" s="262"/>
      <c r="I54" s="263"/>
      <c r="J54" s="263"/>
      <c r="K54" s="263"/>
      <c r="L54" s="262"/>
      <c r="M54" s="262"/>
      <c r="O54" s="2"/>
      <c r="P54" s="83">
        <v>0.96</v>
      </c>
      <c r="Q54" s="83">
        <f t="shared" si="5"/>
        <v>209.136</v>
      </c>
      <c r="R54" s="83"/>
      <c r="T54" s="87"/>
      <c r="U54" s="130"/>
      <c r="W54" s="94">
        <v>42534</v>
      </c>
      <c r="X54" s="369">
        <v>209.36</v>
      </c>
      <c r="Y54" s="40">
        <v>210.37</v>
      </c>
      <c r="Z54" s="40">
        <v>208.35</v>
      </c>
      <c r="AA54" s="369">
        <v>208.45</v>
      </c>
      <c r="AB54" s="95">
        <v>117751200</v>
      </c>
      <c r="AC54" s="244">
        <v>207.37</v>
      </c>
      <c r="AD54" s="2">
        <f t="shared" si="0"/>
        <v>2.0200000000000102</v>
      </c>
      <c r="AE54" s="138">
        <f t="shared" si="1"/>
        <v>-7.7040865154559546E-3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206.95749999999998</v>
      </c>
      <c r="R55" s="83"/>
      <c r="T55" s="87"/>
      <c r="U55" s="130"/>
      <c r="W55" s="94">
        <v>42531</v>
      </c>
      <c r="X55" s="369">
        <v>210.46</v>
      </c>
      <c r="Y55" s="40">
        <v>210.86</v>
      </c>
      <c r="Z55" s="40">
        <v>209.43</v>
      </c>
      <c r="AA55" s="369">
        <v>210.07</v>
      </c>
      <c r="AB55" s="95">
        <v>113829200</v>
      </c>
      <c r="AC55" s="244">
        <v>208.98</v>
      </c>
      <c r="AD55" s="2">
        <f t="shared" si="0"/>
        <v>1.4300000000000068</v>
      </c>
      <c r="AE55" s="138">
        <f t="shared" si="1"/>
        <v>-9.4795715233670919E-3</v>
      </c>
    </row>
    <row r="56" spans="1:31" x14ac:dyDescent="0.25">
      <c r="O56" s="2"/>
      <c r="P56" s="83">
        <v>0.94</v>
      </c>
      <c r="Q56" s="83">
        <f t="shared" si="5"/>
        <v>204.779</v>
      </c>
      <c r="R56" s="83"/>
      <c r="W56" s="94">
        <v>42530</v>
      </c>
      <c r="X56" s="369">
        <v>211.51</v>
      </c>
      <c r="Y56" s="40">
        <v>212.22</v>
      </c>
      <c r="Z56" s="40">
        <v>211.19</v>
      </c>
      <c r="AA56" s="369">
        <v>212.08</v>
      </c>
      <c r="AB56" s="95">
        <v>73786900</v>
      </c>
      <c r="AC56" s="244">
        <v>210.98</v>
      </c>
      <c r="AD56" s="2">
        <f t="shared" si="0"/>
        <v>1.0300000000000011</v>
      </c>
      <c r="AE56" s="138">
        <f t="shared" si="1"/>
        <v>-1.3726511099542149E-3</v>
      </c>
    </row>
    <row r="57" spans="1:31" x14ac:dyDescent="0.25">
      <c r="O57" s="2"/>
      <c r="P57" s="83">
        <v>0.93</v>
      </c>
      <c r="Q57" s="83">
        <f t="shared" si="5"/>
        <v>202.60050000000001</v>
      </c>
      <c r="R57" s="83"/>
      <c r="W57" s="94">
        <v>42529</v>
      </c>
      <c r="X57" s="369">
        <v>211.84</v>
      </c>
      <c r="Y57" s="40">
        <v>212.52</v>
      </c>
      <c r="Z57" s="40">
        <v>211.69</v>
      </c>
      <c r="AA57" s="369">
        <v>212.37</v>
      </c>
      <c r="AB57" s="95">
        <v>66170900</v>
      </c>
      <c r="AC57" s="244">
        <v>211.27</v>
      </c>
      <c r="AD57" s="2">
        <f t="shared" si="0"/>
        <v>0.83000000000001251</v>
      </c>
      <c r="AE57" s="138">
        <f t="shared" si="1"/>
        <v>3.2766644505650699E-3</v>
      </c>
    </row>
    <row r="58" spans="1:31" x14ac:dyDescent="0.25">
      <c r="O58" s="2"/>
      <c r="P58" s="83">
        <v>0.92</v>
      </c>
      <c r="Q58" s="83">
        <f t="shared" si="5"/>
        <v>200.422</v>
      </c>
      <c r="R58" s="83"/>
      <c r="W58" s="94">
        <v>42528</v>
      </c>
      <c r="X58" s="369">
        <v>211.53</v>
      </c>
      <c r="Y58" s="40">
        <v>212.34</v>
      </c>
      <c r="Z58" s="40">
        <v>211.5</v>
      </c>
      <c r="AA58" s="369">
        <v>211.68</v>
      </c>
      <c r="AB58" s="95">
        <v>60974800</v>
      </c>
      <c r="AC58" s="244">
        <v>210.58</v>
      </c>
      <c r="AD58" s="2">
        <f t="shared" si="0"/>
        <v>0.84000000000000341</v>
      </c>
      <c r="AE58" s="138">
        <f t="shared" si="1"/>
        <v>1.5219252354228274E-3</v>
      </c>
    </row>
    <row r="59" spans="1:31" x14ac:dyDescent="0.25">
      <c r="O59" s="2"/>
      <c r="P59" s="83">
        <v>0.91</v>
      </c>
      <c r="Q59" s="83">
        <f t="shared" si="5"/>
        <v>198.24350000000001</v>
      </c>
      <c r="R59" s="83"/>
      <c r="W59" s="94">
        <v>42527</v>
      </c>
      <c r="X59" s="369">
        <v>210.7</v>
      </c>
      <c r="Y59" s="40">
        <v>211.77</v>
      </c>
      <c r="Z59" s="40">
        <v>210.51</v>
      </c>
      <c r="AA59" s="369">
        <v>211.35</v>
      </c>
      <c r="AB59" s="95">
        <v>64887000</v>
      </c>
      <c r="AC59" s="244">
        <v>210.26</v>
      </c>
      <c r="AD59" s="2">
        <f t="shared" si="0"/>
        <v>1.2600000000000193</v>
      </c>
      <c r="AE59" s="138">
        <f t="shared" si="1"/>
        <v>5.1149672546488834E-3</v>
      </c>
    </row>
    <row r="60" spans="1:31" x14ac:dyDescent="0.25">
      <c r="O60" s="2"/>
      <c r="P60" s="83">
        <v>0.9</v>
      </c>
      <c r="Q60" s="83">
        <f t="shared" si="5"/>
        <v>196.065</v>
      </c>
      <c r="R60" s="83"/>
      <c r="W60" s="94">
        <v>42524</v>
      </c>
      <c r="X60" s="369">
        <v>210.25</v>
      </c>
      <c r="Y60" s="40">
        <v>210.69</v>
      </c>
      <c r="Z60" s="40">
        <v>208.86</v>
      </c>
      <c r="AA60" s="369">
        <v>210.28</v>
      </c>
      <c r="AB60" s="95">
        <v>101757100</v>
      </c>
      <c r="AC60" s="244">
        <v>209.19</v>
      </c>
      <c r="AD60" s="2">
        <f t="shared" si="0"/>
        <v>1.8299999999999841</v>
      </c>
      <c r="AE60" s="138">
        <f t="shared" si="1"/>
        <v>-3.0025736345439258E-3</v>
      </c>
    </row>
    <row r="61" spans="1:31" x14ac:dyDescent="0.25">
      <c r="W61" s="94">
        <v>42523</v>
      </c>
      <c r="X61" s="369">
        <v>209.8</v>
      </c>
      <c r="Y61" s="40">
        <v>210.93</v>
      </c>
      <c r="Z61" s="40">
        <v>209.24</v>
      </c>
      <c r="AA61" s="369">
        <v>210.91</v>
      </c>
      <c r="AB61" s="95">
        <v>63044700</v>
      </c>
      <c r="AC61" s="244">
        <v>209.82</v>
      </c>
      <c r="AD61" s="2">
        <f t="shared" si="0"/>
        <v>1.6899999999999977</v>
      </c>
      <c r="AE61" s="138">
        <f t="shared" si="1"/>
        <v>3.0595659240844064E-3</v>
      </c>
    </row>
    <row r="62" spans="1:31" x14ac:dyDescent="0.25">
      <c r="W62" s="94">
        <v>42522</v>
      </c>
      <c r="X62" s="369">
        <v>209.12</v>
      </c>
      <c r="Y62" s="40">
        <v>210.48</v>
      </c>
      <c r="Z62" s="40">
        <v>208.89</v>
      </c>
      <c r="AA62" s="369">
        <v>210.27</v>
      </c>
      <c r="AB62" s="95">
        <v>69936200</v>
      </c>
      <c r="AC62" s="244">
        <v>209.18</v>
      </c>
      <c r="AD62" s="2">
        <f t="shared" si="0"/>
        <v>1.5900000000000034</v>
      </c>
      <c r="AE62" s="138">
        <f t="shared" si="1"/>
        <v>2.0598802395210836E-3</v>
      </c>
    </row>
    <row r="63" spans="1:31" x14ac:dyDescent="0.25">
      <c r="W63" s="94">
        <v>42521</v>
      </c>
      <c r="X63" s="369">
        <v>210.56</v>
      </c>
      <c r="Y63" s="40">
        <v>210.69</v>
      </c>
      <c r="Z63" s="40">
        <v>209.18</v>
      </c>
      <c r="AA63" s="369">
        <v>209.84</v>
      </c>
      <c r="AB63" s="95">
        <v>109879400</v>
      </c>
      <c r="AC63" s="244">
        <v>208.75</v>
      </c>
      <c r="AD63" s="2">
        <f t="shared" si="0"/>
        <v>1.5099999999999909</v>
      </c>
      <c r="AE63" s="138">
        <f t="shared" si="1"/>
        <v>-1.9125029882859357E-3</v>
      </c>
    </row>
    <row r="64" spans="1:31" x14ac:dyDescent="0.25">
      <c r="W64" s="94">
        <v>42517</v>
      </c>
      <c r="X64" s="369">
        <v>209.53</v>
      </c>
      <c r="Y64" s="40">
        <v>210.25</v>
      </c>
      <c r="Z64" s="40">
        <v>209.47</v>
      </c>
      <c r="AA64" s="369">
        <v>210.24</v>
      </c>
      <c r="AB64" s="95">
        <v>64211200</v>
      </c>
      <c r="AC64" s="244">
        <v>209.15</v>
      </c>
      <c r="AD64" s="2">
        <f t="shared" si="0"/>
        <v>0.78000000000000114</v>
      </c>
      <c r="AE64" s="138">
        <f t="shared" si="1"/>
        <v>4.2735042735042583E-3</v>
      </c>
    </row>
    <row r="65" spans="23:31" x14ac:dyDescent="0.25">
      <c r="W65" s="94">
        <v>42516</v>
      </c>
      <c r="X65" s="369">
        <v>209.44</v>
      </c>
      <c r="Y65" s="40">
        <v>209.71</v>
      </c>
      <c r="Z65" s="40">
        <v>208.97</v>
      </c>
      <c r="AA65" s="369">
        <v>209.34</v>
      </c>
      <c r="AB65" s="95">
        <v>55280700</v>
      </c>
      <c r="AC65" s="244">
        <v>208.26</v>
      </c>
      <c r="AD65" s="2">
        <f t="shared" si="0"/>
        <v>0.74000000000000909</v>
      </c>
      <c r="AE65" s="138">
        <f t="shared" si="1"/>
        <v>2.881844380404619E-4</v>
      </c>
    </row>
    <row r="66" spans="23:31" x14ac:dyDescent="0.25">
      <c r="W66" s="94">
        <v>42515</v>
      </c>
      <c r="X66" s="369">
        <v>208.67</v>
      </c>
      <c r="Y66" s="40">
        <v>209.77</v>
      </c>
      <c r="Z66" s="40">
        <v>207.87</v>
      </c>
      <c r="AA66" s="369">
        <v>209.28</v>
      </c>
      <c r="AB66" s="95">
        <v>76621400</v>
      </c>
      <c r="AC66" s="244">
        <v>208.2</v>
      </c>
      <c r="AD66" s="2">
        <f t="shared" si="0"/>
        <v>1.9000000000000057</v>
      </c>
      <c r="AE66" s="138">
        <f t="shared" si="1"/>
        <v>6.8185115334395974E-3</v>
      </c>
    </row>
    <row r="67" spans="23:31" x14ac:dyDescent="0.25">
      <c r="W67" s="94">
        <v>42514</v>
      </c>
      <c r="X67" s="369">
        <v>206.17</v>
      </c>
      <c r="Y67" s="40">
        <v>208.24</v>
      </c>
      <c r="Z67" s="40">
        <v>206.14</v>
      </c>
      <c r="AA67" s="369">
        <v>207.87</v>
      </c>
      <c r="AB67" s="95">
        <v>93537800</v>
      </c>
      <c r="AC67" s="244">
        <v>206.79</v>
      </c>
      <c r="AD67" s="2">
        <f t="shared" si="0"/>
        <v>2.1000000000000227</v>
      </c>
      <c r="AE67" s="138">
        <f t="shared" si="1"/>
        <v>1.2931667891256327E-2</v>
      </c>
    </row>
    <row r="68" spans="23:31" x14ac:dyDescent="0.25">
      <c r="W68" s="94">
        <v>42513</v>
      </c>
      <c r="X68" s="10">
        <v>205.51</v>
      </c>
      <c r="Y68" s="40">
        <v>205.84</v>
      </c>
      <c r="Z68" s="40">
        <v>204.99</v>
      </c>
      <c r="AA68" s="10">
        <v>205.21</v>
      </c>
      <c r="AB68" s="95">
        <v>58682600</v>
      </c>
      <c r="AC68" s="244">
        <v>204.15</v>
      </c>
      <c r="AD68" s="2">
        <f>Y68-Z68</f>
        <v>0.84999999999999432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4"/>
      <c r="Z69" s="244"/>
      <c r="AA69" s="96"/>
      <c r="AB69" s="216"/>
      <c r="AC69" s="244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5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42606</v>
      </c>
      <c r="X2" s="10">
        <v>73.95</v>
      </c>
      <c r="Y2" s="40">
        <v>74.31</v>
      </c>
      <c r="Z2" s="40">
        <v>72.98</v>
      </c>
      <c r="AA2" s="10">
        <v>73.290000000000006</v>
      </c>
      <c r="AB2" s="95">
        <v>2138500</v>
      </c>
      <c r="AC2" s="244">
        <v>73.290000000000006</v>
      </c>
      <c r="AD2" s="2">
        <f>Y2-Z2</f>
        <v>1.3299999999999983</v>
      </c>
      <c r="AE2" s="138">
        <f>AC2/AC3-1</f>
        <v>-6.6413662239088733E-3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73.290000000000006</v>
      </c>
      <c r="T3" s="121"/>
      <c r="W3" s="94">
        <v>42605</v>
      </c>
      <c r="X3" s="10">
        <v>73.13</v>
      </c>
      <c r="Y3" s="40">
        <v>73.900000000000006</v>
      </c>
      <c r="Z3" s="40">
        <v>72.89</v>
      </c>
      <c r="AA3" s="10">
        <v>73.78</v>
      </c>
      <c r="AB3" s="95">
        <v>1771300</v>
      </c>
      <c r="AC3" s="244">
        <v>73.78</v>
      </c>
      <c r="AD3" s="2">
        <f>Y3-Z3</f>
        <v>1.0100000000000051</v>
      </c>
      <c r="AE3" s="138">
        <f>AC3/AC4-1</f>
        <v>1.5973561002478709E-2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73.290000000000006</v>
      </c>
      <c r="T4" s="121"/>
      <c r="W4" s="94">
        <v>42604</v>
      </c>
      <c r="X4" s="10">
        <v>72.34</v>
      </c>
      <c r="Y4" s="40">
        <v>72.89</v>
      </c>
      <c r="Z4" s="40">
        <v>71.94</v>
      </c>
      <c r="AA4" s="10">
        <v>72.62</v>
      </c>
      <c r="AB4" s="95">
        <v>1735700</v>
      </c>
      <c r="AC4" s="244">
        <v>72.62</v>
      </c>
      <c r="AD4" s="2">
        <f t="shared" ref="AD4:AD67" si="0">Y4-Z4</f>
        <v>0.95000000000000284</v>
      </c>
      <c r="AE4" s="138">
        <f t="shared" ref="AE4:AE67" si="1">AC4/AC5-1</f>
        <v>4.564946742287912E-3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42601</v>
      </c>
      <c r="X5" s="10">
        <v>71.56</v>
      </c>
      <c r="Y5" s="40">
        <v>73.400000000000006</v>
      </c>
      <c r="Z5" s="40">
        <v>71.56</v>
      </c>
      <c r="AA5" s="10">
        <v>72.290000000000006</v>
      </c>
      <c r="AB5" s="95">
        <v>3110000</v>
      </c>
      <c r="AC5" s="244">
        <v>72.290000000000006</v>
      </c>
      <c r="AD5" s="2">
        <f t="shared" si="0"/>
        <v>1.8400000000000034</v>
      </c>
      <c r="AE5" s="138">
        <f t="shared" si="1"/>
        <v>6.8245125348189717E-3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42600</v>
      </c>
      <c r="X6" s="10">
        <v>70.48</v>
      </c>
      <c r="Y6" s="40">
        <v>72.06</v>
      </c>
      <c r="Z6" s="40">
        <v>70.290000000000006</v>
      </c>
      <c r="AA6" s="10">
        <v>71.8</v>
      </c>
      <c r="AB6" s="95">
        <v>3745500</v>
      </c>
      <c r="AC6" s="244">
        <v>71.8</v>
      </c>
      <c r="AD6" s="2">
        <f t="shared" si="0"/>
        <v>1.769999999999996</v>
      </c>
      <c r="AE6" s="138">
        <f t="shared" si="1"/>
        <v>2.2937740418863095E-2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1338.0999999999985</v>
      </c>
      <c r="R7">
        <v>0</v>
      </c>
      <c r="T7" s="85"/>
      <c r="W7" s="94">
        <v>42599</v>
      </c>
      <c r="X7" s="10">
        <v>69.7</v>
      </c>
      <c r="Y7" s="40">
        <v>70.42</v>
      </c>
      <c r="Z7" s="40">
        <v>69.2</v>
      </c>
      <c r="AA7" s="10">
        <v>70.19</v>
      </c>
      <c r="AB7" s="95">
        <v>3107200</v>
      </c>
      <c r="AC7" s="244">
        <v>70.19</v>
      </c>
      <c r="AD7" s="2">
        <f t="shared" si="0"/>
        <v>1.2199999999999989</v>
      </c>
      <c r="AE7" s="138">
        <f t="shared" si="1"/>
        <v>8.4770114942529506E-3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42598</v>
      </c>
      <c r="X8" s="10">
        <v>69.349999999999994</v>
      </c>
      <c r="Y8" s="40">
        <v>69.81</v>
      </c>
      <c r="Z8" s="40">
        <v>68.599999999999994</v>
      </c>
      <c r="AA8" s="10">
        <v>69.599999999999994</v>
      </c>
      <c r="AB8" s="95">
        <v>2404300</v>
      </c>
      <c r="AC8" s="244">
        <v>69.599999999999994</v>
      </c>
      <c r="AD8" s="2">
        <f t="shared" si="0"/>
        <v>1.210000000000008</v>
      </c>
      <c r="AE8" s="138">
        <f t="shared" si="1"/>
        <v>1.4388489208632116E-3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225</v>
      </c>
      <c r="P9"/>
      <c r="Q9" s="138">
        <f>IF(Q2=0, 0, Q8/Q6)</f>
        <v>0</v>
      </c>
      <c r="W9" s="94">
        <v>42597</v>
      </c>
      <c r="X9" s="10">
        <v>67.61</v>
      </c>
      <c r="Y9" s="40">
        <v>69.59</v>
      </c>
      <c r="Z9" s="40">
        <v>67.55</v>
      </c>
      <c r="AA9" s="10">
        <v>69.5</v>
      </c>
      <c r="AB9" s="95">
        <v>2218300</v>
      </c>
      <c r="AC9" s="244">
        <v>69.5</v>
      </c>
      <c r="AD9" s="2">
        <f t="shared" si="0"/>
        <v>2.0400000000000063</v>
      </c>
      <c r="AE9" s="138">
        <f t="shared" si="1"/>
        <v>2.9172219754183271E-2</v>
      </c>
      <c r="AK9" s="234"/>
      <c r="AN9" s="234"/>
    </row>
    <row r="10" spans="1:40" ht="12.75" customHeight="1" x14ac:dyDescent="0.25">
      <c r="H10" s="72"/>
      <c r="O10" s="11" t="s">
        <v>224</v>
      </c>
      <c r="Q10" s="2">
        <f>M48+M61</f>
        <v>1338.0999999999985</v>
      </c>
      <c r="W10" s="94">
        <v>42594</v>
      </c>
      <c r="X10" s="10">
        <v>67.45</v>
      </c>
      <c r="Y10" s="40">
        <v>67.849999999999994</v>
      </c>
      <c r="Z10" s="40">
        <v>67.010000000000005</v>
      </c>
      <c r="AA10" s="10">
        <v>67.53</v>
      </c>
      <c r="AB10" s="95">
        <v>1452200</v>
      </c>
      <c r="AC10" s="244">
        <v>67.53</v>
      </c>
      <c r="AD10" s="2">
        <f t="shared" si="0"/>
        <v>0.8399999999999892</v>
      </c>
      <c r="AE10" s="138">
        <f t="shared" si="1"/>
        <v>1.7801513128616886E-3</v>
      </c>
    </row>
    <row r="11" spans="1:40" x14ac:dyDescent="0.25">
      <c r="H11" s="72"/>
      <c r="O11" s="11" t="s">
        <v>184</v>
      </c>
      <c r="Q11" s="138">
        <f>VALUE(TRIM(CLEAN(MID(U55, FIND("(", U55)+1, 5))))</f>
        <v>1.55E-2</v>
      </c>
      <c r="W11" s="94">
        <v>42593</v>
      </c>
      <c r="X11" s="10">
        <v>66.38</v>
      </c>
      <c r="Y11" s="40">
        <v>67.58</v>
      </c>
      <c r="Z11" s="40">
        <v>66.22</v>
      </c>
      <c r="AA11" s="10">
        <v>67.41</v>
      </c>
      <c r="AB11" s="95">
        <v>1580000</v>
      </c>
      <c r="AC11" s="244">
        <v>67.41</v>
      </c>
      <c r="AD11" s="2">
        <f t="shared" si="0"/>
        <v>1.3599999999999994</v>
      </c>
      <c r="AE11" s="138">
        <f t="shared" si="1"/>
        <v>1.5057973196807684E-2</v>
      </c>
      <c r="AK11" s="234"/>
      <c r="AN11" s="234"/>
    </row>
    <row r="12" spans="1:40" x14ac:dyDescent="0.25">
      <c r="H12" s="72"/>
      <c r="W12" s="94">
        <v>42592</v>
      </c>
      <c r="X12" s="10">
        <v>67.03</v>
      </c>
      <c r="Y12" s="40">
        <v>67.040000000000006</v>
      </c>
      <c r="Z12" s="40">
        <v>65.7</v>
      </c>
      <c r="AA12" s="10">
        <v>66.41</v>
      </c>
      <c r="AB12" s="95">
        <v>1385400</v>
      </c>
      <c r="AC12" s="244">
        <v>66.41</v>
      </c>
      <c r="AD12" s="2">
        <f t="shared" si="0"/>
        <v>1.3400000000000034</v>
      </c>
      <c r="AE12" s="138">
        <f t="shared" si="1"/>
        <v>-8.8059701492537723E-3</v>
      </c>
    </row>
    <row r="13" spans="1:40" x14ac:dyDescent="0.25">
      <c r="H13" s="72"/>
      <c r="W13" s="94">
        <v>42591</v>
      </c>
      <c r="X13" s="10">
        <v>66.45</v>
      </c>
      <c r="Y13" s="40">
        <v>67.64</v>
      </c>
      <c r="Z13" s="40">
        <v>66.33</v>
      </c>
      <c r="AA13" s="10">
        <v>67</v>
      </c>
      <c r="AB13" s="95">
        <v>1724800</v>
      </c>
      <c r="AC13" s="244">
        <v>67</v>
      </c>
      <c r="AD13" s="2">
        <f t="shared" si="0"/>
        <v>1.3100000000000023</v>
      </c>
      <c r="AE13" s="138">
        <f t="shared" si="1"/>
        <v>1.6075219896875881E-2</v>
      </c>
      <c r="AK13" s="234"/>
      <c r="AN13" s="234"/>
    </row>
    <row r="14" spans="1:40" x14ac:dyDescent="0.25">
      <c r="H14" s="72"/>
      <c r="T14" s="84"/>
      <c r="U14" s="11"/>
      <c r="W14" s="94">
        <v>42590</v>
      </c>
      <c r="X14" s="10">
        <v>66.569999999999993</v>
      </c>
      <c r="Y14" s="40">
        <v>67.22</v>
      </c>
      <c r="Z14" s="40">
        <v>65.72</v>
      </c>
      <c r="AA14" s="10">
        <v>65.94</v>
      </c>
      <c r="AB14" s="95">
        <v>1236300</v>
      </c>
      <c r="AC14" s="244">
        <v>65.94</v>
      </c>
      <c r="AD14" s="2">
        <f t="shared" si="0"/>
        <v>1.5</v>
      </c>
      <c r="AE14" s="138">
        <f t="shared" si="1"/>
        <v>-9.1660405709992343E-3</v>
      </c>
    </row>
    <row r="15" spans="1:40" x14ac:dyDescent="0.25">
      <c r="H15" s="72"/>
      <c r="W15" s="94">
        <v>42587</v>
      </c>
      <c r="X15" s="10">
        <v>65.59</v>
      </c>
      <c r="Y15" s="40">
        <v>66.569999999999993</v>
      </c>
      <c r="Z15" s="40">
        <v>65.14</v>
      </c>
      <c r="AA15" s="10">
        <v>66.55</v>
      </c>
      <c r="AB15" s="95">
        <v>2178500</v>
      </c>
      <c r="AC15" s="244">
        <v>66.55</v>
      </c>
      <c r="AD15" s="2">
        <f t="shared" si="0"/>
        <v>1.4299999999999926</v>
      </c>
      <c r="AE15" s="138">
        <f t="shared" si="1"/>
        <v>2.1332105586249206E-2</v>
      </c>
      <c r="AK15" s="234"/>
      <c r="AN15" s="234"/>
    </row>
    <row r="16" spans="1:40" x14ac:dyDescent="0.25">
      <c r="H16" s="72"/>
      <c r="W16" s="94">
        <v>42586</v>
      </c>
      <c r="X16" s="10">
        <v>64.45</v>
      </c>
      <c r="Y16" s="40">
        <v>65.260000000000005</v>
      </c>
      <c r="Z16" s="40">
        <v>64.02</v>
      </c>
      <c r="AA16" s="10">
        <v>65.16</v>
      </c>
      <c r="AB16" s="95">
        <v>3069800</v>
      </c>
      <c r="AC16" s="244">
        <v>65.16</v>
      </c>
      <c r="AD16" s="2">
        <f t="shared" si="0"/>
        <v>1.2400000000000091</v>
      </c>
      <c r="AE16" s="138">
        <f t="shared" si="1"/>
        <v>1.1958378630221977E-2</v>
      </c>
    </row>
    <row r="17" spans="1:40" x14ac:dyDescent="0.25">
      <c r="H17" s="72"/>
      <c r="W17" s="94">
        <v>42585</v>
      </c>
      <c r="X17" s="10">
        <v>63.33</v>
      </c>
      <c r="Y17" s="40">
        <v>65.03</v>
      </c>
      <c r="Z17" s="40">
        <v>63.3</v>
      </c>
      <c r="AA17" s="10">
        <v>64.39</v>
      </c>
      <c r="AB17" s="95">
        <v>3477200</v>
      </c>
      <c r="AC17" s="244">
        <v>64.39</v>
      </c>
      <c r="AD17" s="2">
        <f t="shared" si="0"/>
        <v>1.730000000000004</v>
      </c>
      <c r="AE17" s="138">
        <f t="shared" si="1"/>
        <v>-9.9938499384994994E-3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42584</v>
      </c>
      <c r="X18" s="10">
        <v>65.569999999999993</v>
      </c>
      <c r="Y18" s="40">
        <v>65.959999999999994</v>
      </c>
      <c r="Z18" s="40">
        <v>64.430000000000007</v>
      </c>
      <c r="AA18" s="10">
        <v>65.040000000000006</v>
      </c>
      <c r="AB18" s="95">
        <v>2304100</v>
      </c>
      <c r="AC18" s="244">
        <v>65.040000000000006</v>
      </c>
      <c r="AD18" s="2">
        <f t="shared" si="0"/>
        <v>1.5299999999999869</v>
      </c>
      <c r="AE18" s="138" t="e">
        <f t="shared" si="1"/>
        <v>#DIV/0!</v>
      </c>
    </row>
    <row r="19" spans="1:40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94">
        <v>42584</v>
      </c>
      <c r="X19" s="10" t="s">
        <v>337</v>
      </c>
      <c r="Y19" s="40"/>
      <c r="Z19" s="40"/>
      <c r="AA19" s="10"/>
      <c r="AB19" s="95"/>
      <c r="AC19" s="244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42583</v>
      </c>
      <c r="X20" s="10">
        <v>65.92</v>
      </c>
      <c r="Y20" s="40">
        <v>66.87</v>
      </c>
      <c r="Z20" s="40">
        <v>65.8</v>
      </c>
      <c r="AA20" s="10">
        <v>66.14</v>
      </c>
      <c r="AB20" s="95">
        <v>2073400</v>
      </c>
      <c r="AC20" s="244">
        <v>65.86</v>
      </c>
      <c r="AD20" s="2">
        <f t="shared" si="0"/>
        <v>1.0700000000000074</v>
      </c>
      <c r="AE20" s="138">
        <f t="shared" si="1"/>
        <v>1.8253726802557324E-3</v>
      </c>
    </row>
    <row r="21" spans="1:40" x14ac:dyDescent="0.25">
      <c r="W21" s="94">
        <v>42580</v>
      </c>
      <c r="X21" s="10">
        <v>66.48</v>
      </c>
      <c r="Y21" s="40">
        <v>66.7</v>
      </c>
      <c r="Z21" s="40">
        <v>65.5</v>
      </c>
      <c r="AA21" s="10">
        <v>66.02</v>
      </c>
      <c r="AB21" s="95">
        <v>1577000</v>
      </c>
      <c r="AC21" s="244">
        <v>65.739999999999995</v>
      </c>
      <c r="AD21" s="2">
        <f t="shared" si="0"/>
        <v>1.2000000000000028</v>
      </c>
      <c r="AE21" s="138">
        <f t="shared" si="1"/>
        <v>-6.7986100619429335E-3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42579</v>
      </c>
      <c r="X22" s="10">
        <v>66.17</v>
      </c>
      <c r="Y22" s="40">
        <v>66.59</v>
      </c>
      <c r="Z22" s="40">
        <v>65.2</v>
      </c>
      <c r="AA22" s="10">
        <v>66.47</v>
      </c>
      <c r="AB22" s="95">
        <v>2332100</v>
      </c>
      <c r="AC22" s="244">
        <v>66.19</v>
      </c>
      <c r="AD22" s="2">
        <f t="shared" si="0"/>
        <v>1.3900000000000006</v>
      </c>
      <c r="AE22" s="138">
        <f t="shared" si="1"/>
        <v>0</v>
      </c>
    </row>
    <row r="23" spans="1:40" x14ac:dyDescent="0.25">
      <c r="B23" s="193">
        <v>42546</v>
      </c>
      <c r="C23" s="457">
        <v>60</v>
      </c>
      <c r="D23" s="459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42578</v>
      </c>
      <c r="X23" s="10">
        <v>68.14</v>
      </c>
      <c r="Y23" s="40">
        <v>68.19</v>
      </c>
      <c r="Z23" s="40">
        <v>66.22</v>
      </c>
      <c r="AA23" s="10">
        <v>66.47</v>
      </c>
      <c r="AB23" s="95">
        <v>4701500</v>
      </c>
      <c r="AC23" s="244">
        <v>66.19</v>
      </c>
      <c r="AD23" s="2">
        <f t="shared" si="0"/>
        <v>1.9699999999999989</v>
      </c>
      <c r="AE23" s="138">
        <f t="shared" si="1"/>
        <v>9.147735935356005E-3</v>
      </c>
      <c r="AK23" s="234"/>
    </row>
    <row r="24" spans="1:40" x14ac:dyDescent="0.25">
      <c r="B24" s="193">
        <v>42548</v>
      </c>
      <c r="C24" s="283">
        <v>60</v>
      </c>
      <c r="D24" s="340">
        <v>60.935000000000002</v>
      </c>
      <c r="E24" s="340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42577</v>
      </c>
      <c r="X24" s="10">
        <v>65.36</v>
      </c>
      <c r="Y24" s="40">
        <v>66.38</v>
      </c>
      <c r="Z24" s="40">
        <v>64.05</v>
      </c>
      <c r="AA24" s="10">
        <v>65.87</v>
      </c>
      <c r="AB24" s="95">
        <v>4316900</v>
      </c>
      <c r="AC24" s="244">
        <v>65.59</v>
      </c>
      <c r="AD24" s="2">
        <f t="shared" si="0"/>
        <v>2.3299999999999983</v>
      </c>
      <c r="AE24" s="138">
        <f t="shared" si="1"/>
        <v>1.422607082109173E-2</v>
      </c>
    </row>
    <row r="25" spans="1:40" x14ac:dyDescent="0.25">
      <c r="B25" s="193">
        <v>42549</v>
      </c>
      <c r="C25" s="471">
        <v>120</v>
      </c>
      <c r="D25" s="484">
        <v>60.935000000000002</v>
      </c>
      <c r="E25" s="340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42576</v>
      </c>
      <c r="X25" s="10">
        <v>64.989999999999995</v>
      </c>
      <c r="Y25" s="40">
        <v>65.52</v>
      </c>
      <c r="Z25" s="40">
        <v>64.680000000000007</v>
      </c>
      <c r="AA25" s="10">
        <v>64.94</v>
      </c>
      <c r="AB25" s="95">
        <v>4223700</v>
      </c>
      <c r="AC25" s="244">
        <v>64.67</v>
      </c>
      <c r="AD25" s="2">
        <f t="shared" si="0"/>
        <v>0.8399999999999892</v>
      </c>
      <c r="AE25" s="138">
        <f t="shared" si="1"/>
        <v>2.014254725751341E-3</v>
      </c>
    </row>
    <row r="26" spans="1:40" x14ac:dyDescent="0.25">
      <c r="B26" s="193">
        <v>42550</v>
      </c>
      <c r="C26" s="283">
        <v>120</v>
      </c>
      <c r="D26" s="340">
        <v>60.935000000000002</v>
      </c>
      <c r="E26" s="340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42573</v>
      </c>
      <c r="X26" s="10">
        <v>66.739999999999995</v>
      </c>
      <c r="Y26" s="40">
        <v>67.150000000000006</v>
      </c>
      <c r="Z26" s="40">
        <v>62.4</v>
      </c>
      <c r="AA26" s="10">
        <v>64.81</v>
      </c>
      <c r="AB26" s="95">
        <v>12772200</v>
      </c>
      <c r="AC26" s="244">
        <v>64.540000000000006</v>
      </c>
      <c r="AD26" s="2">
        <f t="shared" si="0"/>
        <v>4.7500000000000071</v>
      </c>
      <c r="AE26" s="138">
        <f t="shared" si="1"/>
        <v>-8.6094590767487933E-2</v>
      </c>
    </row>
    <row r="27" spans="1:40" x14ac:dyDescent="0.25">
      <c r="B27" s="193">
        <v>42551</v>
      </c>
      <c r="C27" s="445">
        <v>60</v>
      </c>
      <c r="D27" s="464">
        <v>59.007199999999997</v>
      </c>
      <c r="E27" s="340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42572</v>
      </c>
      <c r="X27" s="10">
        <v>70</v>
      </c>
      <c r="Y27" s="40">
        <v>71.33</v>
      </c>
      <c r="Z27" s="40">
        <v>69.760000000000005</v>
      </c>
      <c r="AA27" s="10">
        <v>70.92</v>
      </c>
      <c r="AB27" s="95">
        <v>5387400</v>
      </c>
      <c r="AC27" s="244">
        <v>70.62</v>
      </c>
      <c r="AD27" s="2">
        <f t="shared" si="0"/>
        <v>1.5699999999999932</v>
      </c>
      <c r="AE27" s="138">
        <f t="shared" si="1"/>
        <v>2.0520231213872808E-2</v>
      </c>
    </row>
    <row r="28" spans="1:40" x14ac:dyDescent="0.25">
      <c r="B28" s="193">
        <v>42552</v>
      </c>
      <c r="C28" s="283">
        <v>60</v>
      </c>
      <c r="D28" s="340">
        <v>59.007199999999997</v>
      </c>
      <c r="E28" s="340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42571</v>
      </c>
      <c r="X28" s="10">
        <v>68.47</v>
      </c>
      <c r="Y28" s="40">
        <v>69.8</v>
      </c>
      <c r="Z28" s="40">
        <v>67.959999999999994</v>
      </c>
      <c r="AA28" s="10">
        <v>69.489999999999995</v>
      </c>
      <c r="AB28" s="95">
        <v>3220800</v>
      </c>
      <c r="AC28" s="244">
        <v>69.2</v>
      </c>
      <c r="AD28" s="2">
        <f t="shared" si="0"/>
        <v>1.8400000000000034</v>
      </c>
      <c r="AE28" s="138">
        <f t="shared" si="1"/>
        <v>1.7048794826572511E-2</v>
      </c>
    </row>
    <row r="29" spans="1:40" x14ac:dyDescent="0.25">
      <c r="B29" s="193">
        <v>42556</v>
      </c>
      <c r="C29" s="283">
        <v>60</v>
      </c>
      <c r="D29" s="340">
        <v>59.007199999999997</v>
      </c>
      <c r="E29" s="340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42570</v>
      </c>
      <c r="X29" s="10">
        <v>68.33</v>
      </c>
      <c r="Y29" s="40">
        <v>68.55</v>
      </c>
      <c r="Z29" s="40">
        <v>67.81</v>
      </c>
      <c r="AA29" s="10">
        <v>68.33</v>
      </c>
      <c r="AB29" s="95">
        <v>1464400</v>
      </c>
      <c r="AC29" s="244">
        <v>68.040000000000006</v>
      </c>
      <c r="AD29" s="2">
        <f t="shared" si="0"/>
        <v>0.73999999999999488</v>
      </c>
      <c r="AE29" s="138">
        <f t="shared" si="1"/>
        <v>-5.4085659991227608E-3</v>
      </c>
    </row>
    <row r="30" spans="1:40" x14ac:dyDescent="0.25">
      <c r="B30" s="193">
        <v>42557</v>
      </c>
      <c r="C30" s="430">
        <v>90</v>
      </c>
      <c r="D30" s="46">
        <v>58.531399999999998</v>
      </c>
      <c r="E30" s="340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42569</v>
      </c>
      <c r="X30" s="10">
        <v>68.180000000000007</v>
      </c>
      <c r="Y30" s="40">
        <v>68.95</v>
      </c>
      <c r="Z30" s="40">
        <v>67.709999999999994</v>
      </c>
      <c r="AA30" s="10">
        <v>68.7</v>
      </c>
      <c r="AB30" s="95">
        <v>1951400</v>
      </c>
      <c r="AC30" s="244">
        <v>68.41</v>
      </c>
      <c r="AD30" s="2">
        <f t="shared" si="0"/>
        <v>1.2400000000000091</v>
      </c>
      <c r="AE30" s="138">
        <f t="shared" si="1"/>
        <v>1.9523099850968784E-2</v>
      </c>
    </row>
    <row r="31" spans="1:40" x14ac:dyDescent="0.25">
      <c r="B31" s="193">
        <v>42562</v>
      </c>
      <c r="C31" s="283">
        <v>90</v>
      </c>
      <c r="D31" s="340">
        <v>58.531399999999998</v>
      </c>
      <c r="E31" s="340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42566</v>
      </c>
      <c r="X31" s="10">
        <v>67.72</v>
      </c>
      <c r="Y31" s="40">
        <v>67.739999999999995</v>
      </c>
      <c r="Z31" s="40">
        <v>67.02</v>
      </c>
      <c r="AA31" s="10">
        <v>67.39</v>
      </c>
      <c r="AB31" s="95">
        <v>1791400</v>
      </c>
      <c r="AC31" s="244">
        <v>67.099999999999994</v>
      </c>
      <c r="AD31" s="2">
        <f t="shared" si="0"/>
        <v>0.71999999999999886</v>
      </c>
      <c r="AE31" s="138">
        <f t="shared" si="1"/>
        <v>0</v>
      </c>
    </row>
    <row r="32" spans="1:40" x14ac:dyDescent="0.25">
      <c r="B32" s="193">
        <v>42563</v>
      </c>
      <c r="C32" s="283">
        <v>90</v>
      </c>
      <c r="D32" s="340">
        <v>58.531399999999998</v>
      </c>
      <c r="E32" s="340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42565</v>
      </c>
      <c r="X32" s="10">
        <v>66.31</v>
      </c>
      <c r="Y32" s="40">
        <v>67.599999999999994</v>
      </c>
      <c r="Z32" s="40">
        <v>65.48</v>
      </c>
      <c r="AA32" s="10">
        <v>67.39</v>
      </c>
      <c r="AB32" s="95">
        <v>2088400</v>
      </c>
      <c r="AC32" s="244">
        <v>67.099999999999994</v>
      </c>
      <c r="AD32" s="2">
        <f t="shared" si="0"/>
        <v>2.1199999999999903</v>
      </c>
      <c r="AE32" s="138">
        <f t="shared" si="1"/>
        <v>3.1197172276010487E-2</v>
      </c>
    </row>
    <row r="33" spans="1:31" x14ac:dyDescent="0.25">
      <c r="B33" s="193">
        <v>42569</v>
      </c>
      <c r="C33" s="283">
        <v>90</v>
      </c>
      <c r="D33" s="340">
        <v>58.531399999999998</v>
      </c>
      <c r="E33" s="340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42564</v>
      </c>
      <c r="X33" s="10">
        <v>66.44</v>
      </c>
      <c r="Y33" s="40">
        <v>66.48</v>
      </c>
      <c r="Z33" s="40">
        <v>65.08</v>
      </c>
      <c r="AA33" s="10">
        <v>65.349999999999994</v>
      </c>
      <c r="AB33" s="95">
        <v>1940300</v>
      </c>
      <c r="AC33" s="244">
        <v>65.069999999999993</v>
      </c>
      <c r="AD33" s="2">
        <f t="shared" si="0"/>
        <v>1.4000000000000057</v>
      </c>
      <c r="AE33" s="138">
        <f t="shared" si="1"/>
        <v>-6.8681318681319548E-3</v>
      </c>
    </row>
    <row r="34" spans="1:31" x14ac:dyDescent="0.25">
      <c r="B34" s="193">
        <v>42570</v>
      </c>
      <c r="C34" s="283">
        <v>90</v>
      </c>
      <c r="D34" s="340">
        <v>58.531399999999998</v>
      </c>
      <c r="E34" s="340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42563</v>
      </c>
      <c r="X34" s="10">
        <v>65.489999999999995</v>
      </c>
      <c r="Y34" s="40">
        <v>66.42</v>
      </c>
      <c r="Z34" s="40">
        <v>65.209999999999994</v>
      </c>
      <c r="AA34" s="10">
        <v>65.8</v>
      </c>
      <c r="AB34" s="95">
        <v>2073700</v>
      </c>
      <c r="AC34" s="244">
        <v>65.52</v>
      </c>
      <c r="AD34" s="2">
        <f t="shared" si="0"/>
        <v>1.210000000000008</v>
      </c>
      <c r="AE34" s="138">
        <f t="shared" si="1"/>
        <v>1.7865465278856574E-2</v>
      </c>
    </row>
    <row r="35" spans="1:31" x14ac:dyDescent="0.25">
      <c r="B35" s="193">
        <v>42571</v>
      </c>
      <c r="C35" s="283">
        <v>90</v>
      </c>
      <c r="D35" s="340">
        <v>58.531399999999998</v>
      </c>
      <c r="E35" s="340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42562</v>
      </c>
      <c r="X35" s="10">
        <v>63.6</v>
      </c>
      <c r="Y35" s="40">
        <v>65.2</v>
      </c>
      <c r="Z35" s="40">
        <v>63.57</v>
      </c>
      <c r="AA35" s="10">
        <v>64.64</v>
      </c>
      <c r="AB35" s="95">
        <v>2179200</v>
      </c>
      <c r="AC35" s="244">
        <v>64.37</v>
      </c>
      <c r="AD35" s="2">
        <f t="shared" si="0"/>
        <v>1.6300000000000026</v>
      </c>
      <c r="AE35" s="138">
        <f t="shared" si="1"/>
        <v>2.761813537675617E-2</v>
      </c>
    </row>
    <row r="36" spans="1:31" ht="20.25" thickBot="1" x14ac:dyDescent="0.35">
      <c r="B36" s="193">
        <v>42572</v>
      </c>
      <c r="C36" s="283">
        <v>90</v>
      </c>
      <c r="D36" s="340">
        <v>58.531399999999998</v>
      </c>
      <c r="E36" s="340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313</v>
      </c>
      <c r="O36" s="11"/>
      <c r="P36" s="260" t="s">
        <v>78</v>
      </c>
      <c r="Q36" s="260"/>
      <c r="R36" s="34"/>
      <c r="W36" s="94">
        <v>42559</v>
      </c>
      <c r="X36" s="10">
        <v>61.67</v>
      </c>
      <c r="Y36" s="40">
        <v>63.15</v>
      </c>
      <c r="Z36" s="40">
        <v>61.52</v>
      </c>
      <c r="AA36" s="10">
        <v>62.91</v>
      </c>
      <c r="AB36" s="95">
        <v>2299100</v>
      </c>
      <c r="AC36" s="244">
        <v>62.64</v>
      </c>
      <c r="AD36" s="2">
        <f t="shared" si="0"/>
        <v>1.6299999999999955</v>
      </c>
      <c r="AE36" s="138">
        <f t="shared" si="1"/>
        <v>3.3151904997525961E-2</v>
      </c>
    </row>
    <row r="37" spans="1:31" ht="15.75" thickTop="1" x14ac:dyDescent="0.25">
      <c r="B37" s="193">
        <v>42575</v>
      </c>
      <c r="C37" s="283">
        <v>110</v>
      </c>
      <c r="D37" s="340">
        <v>59.467500000000001</v>
      </c>
      <c r="E37" s="340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80.619000000000014</v>
      </c>
      <c r="R37" s="34"/>
      <c r="W37" s="94">
        <v>42558</v>
      </c>
      <c r="X37" s="10">
        <v>59.39</v>
      </c>
      <c r="Y37" s="40">
        <v>61.2</v>
      </c>
      <c r="Z37" s="40">
        <v>59.34</v>
      </c>
      <c r="AA37" s="10">
        <v>60.89</v>
      </c>
      <c r="AB37" s="95">
        <v>2860000</v>
      </c>
      <c r="AC37" s="244">
        <v>60.63</v>
      </c>
      <c r="AD37" s="2">
        <f t="shared" si="0"/>
        <v>1.8599999999999994</v>
      </c>
      <c r="AE37" s="138">
        <f t="shared" si="1"/>
        <v>2.9197080291970989E-2</v>
      </c>
    </row>
    <row r="38" spans="1:31" x14ac:dyDescent="0.25">
      <c r="B38" s="193">
        <v>42577</v>
      </c>
      <c r="C38" s="283">
        <v>110</v>
      </c>
      <c r="D38" s="340">
        <v>59.467500000000001</v>
      </c>
      <c r="E38" s="340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321</v>
      </c>
      <c r="O38" s="2"/>
      <c r="P38" s="83">
        <v>1.0900000000000001</v>
      </c>
      <c r="Q38" s="83">
        <f t="shared" ref="Q38:Q57" si="48">P38*$Q$4</f>
        <v>79.886100000000013</v>
      </c>
      <c r="R38" s="34"/>
      <c r="W38" s="94">
        <v>42557</v>
      </c>
      <c r="X38" s="10">
        <v>58.25</v>
      </c>
      <c r="Y38" s="40">
        <v>59.26</v>
      </c>
      <c r="Z38" s="40">
        <v>57.19</v>
      </c>
      <c r="AA38" s="10">
        <v>59.16</v>
      </c>
      <c r="AB38" s="95">
        <v>3848000</v>
      </c>
      <c r="AC38" s="244">
        <v>58.91</v>
      </c>
      <c r="AD38" s="2">
        <f t="shared" si="0"/>
        <v>2.0700000000000003</v>
      </c>
      <c r="AE38" s="138">
        <f t="shared" si="1"/>
        <v>5.8050196346250971E-3</v>
      </c>
    </row>
    <row r="39" spans="1:31" ht="20.25" thickBot="1" x14ac:dyDescent="0.35">
      <c r="B39" s="193">
        <v>42585</v>
      </c>
      <c r="C39" s="283">
        <v>110</v>
      </c>
      <c r="D39" s="340">
        <v>59.467500000000001</v>
      </c>
      <c r="E39" s="340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79.153200000000012</v>
      </c>
      <c r="R39" s="34"/>
      <c r="T39" s="91" t="s">
        <v>113</v>
      </c>
      <c r="W39" s="94">
        <v>42556</v>
      </c>
      <c r="X39" s="10">
        <v>60.67</v>
      </c>
      <c r="Y39" s="40">
        <v>60.74</v>
      </c>
      <c r="Z39" s="40">
        <v>58.08</v>
      </c>
      <c r="AA39" s="10">
        <v>58.82</v>
      </c>
      <c r="AB39" s="95">
        <v>3668100</v>
      </c>
      <c r="AC39" s="244">
        <v>58.57</v>
      </c>
      <c r="AD39" s="2">
        <f t="shared" si="0"/>
        <v>2.6600000000000037</v>
      </c>
      <c r="AE39" s="138">
        <f t="shared" si="1"/>
        <v>-6.0324081501684557E-2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78.420300000000012</v>
      </c>
      <c r="R40" s="83"/>
      <c r="T40" s="97" t="s">
        <v>98</v>
      </c>
      <c r="U40" s="129">
        <v>73.78</v>
      </c>
      <c r="W40" s="94">
        <v>42552</v>
      </c>
      <c r="X40" s="10">
        <v>62.48</v>
      </c>
      <c r="Y40" s="40">
        <v>63.22</v>
      </c>
      <c r="Z40" s="40">
        <v>61.87</v>
      </c>
      <c r="AA40" s="10">
        <v>62.6</v>
      </c>
      <c r="AB40" s="95">
        <v>2110200</v>
      </c>
      <c r="AC40" s="244">
        <v>62.33</v>
      </c>
      <c r="AD40" s="2">
        <f t="shared" si="0"/>
        <v>1.3500000000000014</v>
      </c>
      <c r="AE40" s="138">
        <f t="shared" si="1"/>
        <v>-1.079193778765275E-2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77.687400000000011</v>
      </c>
      <c r="R41" s="83"/>
      <c r="T41" s="87" t="s">
        <v>99</v>
      </c>
      <c r="U41" s="130">
        <v>73.95</v>
      </c>
      <c r="W41" s="94">
        <v>42551</v>
      </c>
      <c r="X41" s="10">
        <v>62.03</v>
      </c>
      <c r="Y41" s="40">
        <v>63.31</v>
      </c>
      <c r="Z41" s="40">
        <v>61.68</v>
      </c>
      <c r="AA41" s="10">
        <v>63.28</v>
      </c>
      <c r="AB41" s="95">
        <v>3375700</v>
      </c>
      <c r="AC41" s="244">
        <v>63.01</v>
      </c>
      <c r="AD41" s="2">
        <f t="shared" si="0"/>
        <v>1.6300000000000026</v>
      </c>
      <c r="AE41" s="138">
        <f t="shared" si="1"/>
        <v>2.5052871319342751E-2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76.95450000000001</v>
      </c>
      <c r="R42" s="83"/>
      <c r="T42" s="87" t="s">
        <v>100</v>
      </c>
      <c r="U42" s="130" t="s">
        <v>450</v>
      </c>
      <c r="W42" s="94">
        <v>42550</v>
      </c>
      <c r="X42" s="10">
        <v>61.08</v>
      </c>
      <c r="Y42" s="40">
        <v>62.23</v>
      </c>
      <c r="Z42" s="40">
        <v>60.75</v>
      </c>
      <c r="AA42" s="10">
        <v>61.73</v>
      </c>
      <c r="AB42" s="95">
        <v>2155700</v>
      </c>
      <c r="AC42" s="244">
        <v>61.47</v>
      </c>
      <c r="AD42" s="2">
        <f t="shared" si="0"/>
        <v>1.4799999999999969</v>
      </c>
      <c r="AE42" s="138">
        <f t="shared" si="1"/>
        <v>2.4499999999999966E-2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76.221600000000009</v>
      </c>
      <c r="R43" s="83"/>
      <c r="T43" s="87" t="s">
        <v>101</v>
      </c>
      <c r="U43" s="130" t="s">
        <v>451</v>
      </c>
      <c r="W43" s="94">
        <v>42549</v>
      </c>
      <c r="X43" s="10">
        <v>59.29</v>
      </c>
      <c r="Y43" s="40">
        <v>60.77</v>
      </c>
      <c r="Z43" s="40">
        <v>59.13</v>
      </c>
      <c r="AA43" s="10">
        <v>60.26</v>
      </c>
      <c r="AB43" s="95">
        <v>3095500</v>
      </c>
      <c r="AC43" s="244">
        <v>60</v>
      </c>
      <c r="AD43" s="2">
        <f t="shared" si="0"/>
        <v>1.6400000000000006</v>
      </c>
      <c r="AE43" s="138">
        <f t="shared" si="1"/>
        <v>3.8781163434903121E-2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75.488700000000009</v>
      </c>
      <c r="R44" s="83"/>
      <c r="T44" s="87" t="s">
        <v>102</v>
      </c>
      <c r="U44" s="130">
        <v>83.17</v>
      </c>
      <c r="W44" s="94">
        <v>42548</v>
      </c>
      <c r="X44" s="10">
        <v>60.16</v>
      </c>
      <c r="Y44" s="40">
        <v>60.8</v>
      </c>
      <c r="Z44" s="40">
        <v>57.11</v>
      </c>
      <c r="AA44" s="10">
        <v>58.01</v>
      </c>
      <c r="AB44" s="95">
        <v>5188700</v>
      </c>
      <c r="AC44" s="244">
        <v>57.76</v>
      </c>
      <c r="AD44" s="2">
        <f t="shared" si="0"/>
        <v>3.6899999999999977</v>
      </c>
      <c r="AE44" s="138">
        <f t="shared" si="1"/>
        <v>-5.8516707416462976E-2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74.755800000000008</v>
      </c>
      <c r="R45" s="83"/>
      <c r="T45" s="87" t="s">
        <v>103</v>
      </c>
      <c r="U45" s="130">
        <v>0.69600899999999999</v>
      </c>
      <c r="W45" s="94">
        <v>42545</v>
      </c>
      <c r="X45" s="10">
        <v>64</v>
      </c>
      <c r="Y45" s="40">
        <v>65.09</v>
      </c>
      <c r="Z45" s="40">
        <v>61.37</v>
      </c>
      <c r="AA45" s="10">
        <v>61.61</v>
      </c>
      <c r="AB45" s="95">
        <v>3913500</v>
      </c>
      <c r="AC45" s="244">
        <v>61.35</v>
      </c>
      <c r="AD45" s="2">
        <f t="shared" si="0"/>
        <v>3.720000000000006</v>
      </c>
      <c r="AE45" s="138">
        <f t="shared" si="1"/>
        <v>-8.3370685791125165E-2</v>
      </c>
    </row>
    <row r="46" spans="1:31" x14ac:dyDescent="0.25">
      <c r="O46" s="2"/>
      <c r="P46" s="83">
        <v>1.01</v>
      </c>
      <c r="Q46" s="83">
        <f t="shared" si="48"/>
        <v>74.022900000000007</v>
      </c>
      <c r="R46" s="83"/>
      <c r="T46" s="87" t="s">
        <v>123</v>
      </c>
      <c r="U46" s="94" t="s">
        <v>341</v>
      </c>
      <c r="W46" s="94">
        <v>42544</v>
      </c>
      <c r="X46" s="10">
        <v>66.23</v>
      </c>
      <c r="Y46" s="40">
        <v>67.23</v>
      </c>
      <c r="Z46" s="40">
        <v>65.83</v>
      </c>
      <c r="AA46" s="10">
        <v>67.209999999999994</v>
      </c>
      <c r="AB46" s="95">
        <v>1462900</v>
      </c>
      <c r="AC46" s="244">
        <v>66.930000000000007</v>
      </c>
      <c r="AD46" s="2">
        <f t="shared" si="0"/>
        <v>1.4000000000000057</v>
      </c>
      <c r="AE46" s="138">
        <f t="shared" si="1"/>
        <v>2.8584601198709203E-2</v>
      </c>
    </row>
    <row r="47" spans="1:31" x14ac:dyDescent="0.25">
      <c r="O47" s="2"/>
      <c r="P47" s="83">
        <v>1</v>
      </c>
      <c r="Q47" s="83">
        <f t="shared" si="48"/>
        <v>73.290000000000006</v>
      </c>
      <c r="R47" s="83"/>
      <c r="T47" s="87"/>
      <c r="U47" s="130"/>
      <c r="W47" s="94">
        <v>42543</v>
      </c>
      <c r="X47" s="10">
        <v>65.41</v>
      </c>
      <c r="Y47" s="40">
        <v>66.77</v>
      </c>
      <c r="Z47" s="40">
        <v>65.290000000000006</v>
      </c>
      <c r="AA47" s="10">
        <v>65.349999999999994</v>
      </c>
      <c r="AB47" s="95">
        <v>1833700</v>
      </c>
      <c r="AC47" s="244">
        <v>65.069999999999993</v>
      </c>
      <c r="AD47" s="2">
        <f t="shared" si="0"/>
        <v>1.4799999999999898</v>
      </c>
      <c r="AE47" s="138">
        <f t="shared" si="1"/>
        <v>-1.6876342436332736E-3</v>
      </c>
    </row>
    <row r="48" spans="1:31" x14ac:dyDescent="0.25">
      <c r="A48" s="262"/>
      <c r="B48" s="262"/>
      <c r="C48" s="262"/>
      <c r="D48" s="263"/>
      <c r="E48" s="263"/>
      <c r="F48" s="263"/>
      <c r="G48" s="262"/>
      <c r="H48" s="262"/>
      <c r="I48" s="263"/>
      <c r="J48" s="263"/>
      <c r="K48" s="263"/>
      <c r="L48" s="262" t="s">
        <v>65</v>
      </c>
      <c r="M48" s="375">
        <f>K59+M59-F59</f>
        <v>414.59000000000015</v>
      </c>
      <c r="O48" s="2"/>
      <c r="P48" s="83">
        <v>0.99</v>
      </c>
      <c r="Q48" s="83">
        <f t="shared" si="48"/>
        <v>72.557100000000005</v>
      </c>
      <c r="R48" s="83"/>
      <c r="T48" s="87" t="s">
        <v>105</v>
      </c>
      <c r="U48" s="130" t="s">
        <v>452</v>
      </c>
      <c r="W48" s="94">
        <v>42542</v>
      </c>
      <c r="X48" s="10">
        <v>66.14</v>
      </c>
      <c r="Y48" s="40">
        <v>67.099999999999994</v>
      </c>
      <c r="Z48" s="40">
        <v>65.34</v>
      </c>
      <c r="AA48" s="10">
        <v>65.459999999999994</v>
      </c>
      <c r="AB48" s="95">
        <v>1638400</v>
      </c>
      <c r="AC48" s="244">
        <v>65.180000000000007</v>
      </c>
      <c r="AD48" s="2">
        <f t="shared" si="0"/>
        <v>1.7599999999999909</v>
      </c>
      <c r="AE48" s="138">
        <f t="shared" si="1"/>
        <v>-7.4615501751179591E-3</v>
      </c>
    </row>
    <row r="49" spans="1:31" x14ac:dyDescent="0.25">
      <c r="A49" s="264" t="s">
        <v>1</v>
      </c>
      <c r="B49" s="264" t="s">
        <v>2</v>
      </c>
      <c r="C49" s="264" t="s">
        <v>4</v>
      </c>
      <c r="D49" s="265" t="s">
        <v>5</v>
      </c>
      <c r="E49" s="265" t="s">
        <v>90</v>
      </c>
      <c r="F49" s="265" t="s">
        <v>60</v>
      </c>
      <c r="G49" s="264" t="s">
        <v>3</v>
      </c>
      <c r="H49" s="264" t="s">
        <v>6</v>
      </c>
      <c r="I49" s="265" t="s">
        <v>7</v>
      </c>
      <c r="J49" s="265" t="s">
        <v>89</v>
      </c>
      <c r="K49" s="265" t="s">
        <v>61</v>
      </c>
      <c r="L49" s="264" t="s">
        <v>77</v>
      </c>
      <c r="M49" s="264" t="s">
        <v>38</v>
      </c>
      <c r="O49" s="2"/>
      <c r="P49" s="83">
        <v>0.98</v>
      </c>
      <c r="Q49" s="83">
        <f t="shared" si="48"/>
        <v>71.824200000000005</v>
      </c>
      <c r="R49" s="83"/>
      <c r="T49" s="87" t="s">
        <v>106</v>
      </c>
      <c r="U49" s="130" t="s">
        <v>333</v>
      </c>
      <c r="W49" s="94">
        <v>42541</v>
      </c>
      <c r="X49" s="10">
        <v>64.95</v>
      </c>
      <c r="Y49" s="40">
        <v>66.62</v>
      </c>
      <c r="Z49" s="40">
        <v>64.739999999999995</v>
      </c>
      <c r="AA49" s="10">
        <v>65.95</v>
      </c>
      <c r="AB49" s="95">
        <v>3590100</v>
      </c>
      <c r="AC49" s="244">
        <v>65.67</v>
      </c>
      <c r="AD49" s="2">
        <f t="shared" si="0"/>
        <v>1.8800000000000097</v>
      </c>
      <c r="AE49" s="138">
        <f t="shared" si="1"/>
        <v>3.0926216640502435E-2</v>
      </c>
    </row>
    <row r="50" spans="1:31" x14ac:dyDescent="0.25">
      <c r="A50" s="266" t="s">
        <v>178</v>
      </c>
      <c r="B50" s="267">
        <v>42374</v>
      </c>
      <c r="C50" s="262">
        <v>30</v>
      </c>
      <c r="D50" s="263">
        <v>73.8</v>
      </c>
      <c r="E50" s="263">
        <v>0</v>
      </c>
      <c r="F50" s="263">
        <f t="shared" ref="F50:F55" si="55">C50*D50+E50</f>
        <v>2214</v>
      </c>
      <c r="G50" s="267">
        <v>42398</v>
      </c>
      <c r="H50" s="268">
        <v>30</v>
      </c>
      <c r="I50" s="263">
        <v>68.8</v>
      </c>
      <c r="J50" s="263">
        <v>0.04</v>
      </c>
      <c r="K50" s="263">
        <f t="shared" ref="K50:K55" si="56">I50*H50-J50</f>
        <v>2063.96</v>
      </c>
      <c r="L50" s="267">
        <v>42432</v>
      </c>
      <c r="M50" s="263">
        <v>31.2</v>
      </c>
      <c r="O50" s="2"/>
      <c r="P50" s="83">
        <v>0.97</v>
      </c>
      <c r="Q50" s="83">
        <f t="shared" si="48"/>
        <v>71.091300000000004</v>
      </c>
      <c r="R50" s="83"/>
      <c r="T50" s="87" t="s">
        <v>107</v>
      </c>
      <c r="U50" s="131">
        <v>2138832</v>
      </c>
      <c r="W50" s="94">
        <v>42538</v>
      </c>
      <c r="X50" s="10">
        <v>64.739999999999995</v>
      </c>
      <c r="Y50" s="40">
        <v>64.739999999999995</v>
      </c>
      <c r="Z50" s="40">
        <v>63.31</v>
      </c>
      <c r="AA50" s="10">
        <v>63.97</v>
      </c>
      <c r="AB50" s="95">
        <v>2401400</v>
      </c>
      <c r="AC50" s="244">
        <v>63.7</v>
      </c>
      <c r="AD50" s="2">
        <f t="shared" si="0"/>
        <v>1.4299999999999926</v>
      </c>
      <c r="AE50" s="138">
        <f t="shared" si="1"/>
        <v>-1.2556192838319657E-2</v>
      </c>
    </row>
    <row r="51" spans="1:31" x14ac:dyDescent="0.25">
      <c r="A51" s="269"/>
      <c r="B51" s="267">
        <v>42375</v>
      </c>
      <c r="C51" s="262">
        <v>30</v>
      </c>
      <c r="D51" s="263">
        <v>69.3</v>
      </c>
      <c r="E51" s="263">
        <v>0</v>
      </c>
      <c r="F51" s="263">
        <f t="shared" si="55"/>
        <v>2079</v>
      </c>
      <c r="G51" s="267">
        <v>42416</v>
      </c>
      <c r="H51" s="262">
        <v>30</v>
      </c>
      <c r="I51" s="263">
        <v>61.3</v>
      </c>
      <c r="J51" s="263">
        <v>0.04</v>
      </c>
      <c r="K51" s="263">
        <f t="shared" si="56"/>
        <v>1838.96</v>
      </c>
      <c r="L51" s="262"/>
      <c r="M51" s="262"/>
      <c r="O51" s="2"/>
      <c r="P51" s="83">
        <v>0.96</v>
      </c>
      <c r="Q51" s="83">
        <f t="shared" si="48"/>
        <v>70.358400000000003</v>
      </c>
      <c r="R51" s="83"/>
      <c r="T51" s="87" t="s">
        <v>110</v>
      </c>
      <c r="U51" s="131">
        <v>2643970</v>
      </c>
      <c r="W51" s="94">
        <v>42537</v>
      </c>
      <c r="X51" s="10">
        <v>64.25</v>
      </c>
      <c r="Y51" s="40">
        <v>64.94</v>
      </c>
      <c r="Z51" s="40">
        <v>63.36</v>
      </c>
      <c r="AA51" s="10">
        <v>64.78</v>
      </c>
      <c r="AB51" s="95">
        <v>1733800</v>
      </c>
      <c r="AC51" s="244">
        <v>64.510000000000005</v>
      </c>
      <c r="AD51" s="2">
        <f t="shared" si="0"/>
        <v>1.5799999999999983</v>
      </c>
      <c r="AE51" s="138">
        <f t="shared" si="1"/>
        <v>-3.0907124092101057E-3</v>
      </c>
    </row>
    <row r="52" spans="1:31" x14ac:dyDescent="0.25">
      <c r="A52" s="262"/>
      <c r="B52" s="267">
        <v>42380</v>
      </c>
      <c r="C52" s="262">
        <v>30</v>
      </c>
      <c r="D52" s="263">
        <v>65.400000000000006</v>
      </c>
      <c r="E52" s="263">
        <v>0</v>
      </c>
      <c r="F52" s="263">
        <f t="shared" si="55"/>
        <v>1962.0000000000002</v>
      </c>
      <c r="G52" s="267">
        <v>42429</v>
      </c>
      <c r="H52" s="268">
        <v>30</v>
      </c>
      <c r="I52" s="263">
        <v>67.5</v>
      </c>
      <c r="J52" s="263">
        <v>0.04</v>
      </c>
      <c r="K52" s="263">
        <f t="shared" si="56"/>
        <v>2024.96</v>
      </c>
      <c r="L52" s="262"/>
      <c r="M52" s="262"/>
      <c r="O52" s="2"/>
      <c r="P52" s="83">
        <v>0.95</v>
      </c>
      <c r="Q52" s="83">
        <f t="shared" si="48"/>
        <v>69.625500000000002</v>
      </c>
      <c r="R52" s="83"/>
      <c r="T52" s="87" t="s">
        <v>108</v>
      </c>
      <c r="U52" s="130" t="s">
        <v>453</v>
      </c>
      <c r="W52" s="94">
        <v>42536</v>
      </c>
      <c r="X52" s="10">
        <v>65.19</v>
      </c>
      <c r="Y52" s="40">
        <v>65.510000000000005</v>
      </c>
      <c r="Z52" s="40">
        <v>64.760000000000005</v>
      </c>
      <c r="AA52" s="10">
        <v>64.989999999999995</v>
      </c>
      <c r="AB52" s="95">
        <v>1597100</v>
      </c>
      <c r="AC52" s="244">
        <v>64.709999999999994</v>
      </c>
      <c r="AD52" s="2">
        <f t="shared" si="0"/>
        <v>0.75</v>
      </c>
      <c r="AE52" s="138">
        <f t="shared" si="1"/>
        <v>-3.0897574540411643E-4</v>
      </c>
    </row>
    <row r="53" spans="1:31" x14ac:dyDescent="0.25">
      <c r="A53" s="262"/>
      <c r="B53" s="267">
        <v>42402</v>
      </c>
      <c r="C53" s="276">
        <v>30</v>
      </c>
      <c r="D53" s="374">
        <v>67.2</v>
      </c>
      <c r="E53" s="374">
        <v>0</v>
      </c>
      <c r="F53" s="374">
        <f t="shared" si="55"/>
        <v>2016</v>
      </c>
      <c r="G53" s="267">
        <v>42430</v>
      </c>
      <c r="H53" s="268">
        <v>30</v>
      </c>
      <c r="I53" s="263">
        <v>69.349999999999994</v>
      </c>
      <c r="J53" s="263">
        <v>0.05</v>
      </c>
      <c r="K53" s="263">
        <f t="shared" si="56"/>
        <v>2080.4499999999998</v>
      </c>
      <c r="L53" s="262"/>
      <c r="M53" s="262"/>
      <c r="O53" s="2"/>
      <c r="P53" s="83">
        <v>0.94</v>
      </c>
      <c r="Q53" s="83">
        <f t="shared" si="48"/>
        <v>68.892600000000002</v>
      </c>
      <c r="R53" s="83"/>
      <c r="T53" s="87" t="s">
        <v>111</v>
      </c>
      <c r="U53" s="130">
        <v>14.52</v>
      </c>
      <c r="W53" s="94">
        <v>42535</v>
      </c>
      <c r="X53" s="10">
        <v>64.75</v>
      </c>
      <c r="Y53" s="40">
        <v>65.19</v>
      </c>
      <c r="Z53" s="40">
        <v>64.010000000000005</v>
      </c>
      <c r="AA53" s="10">
        <v>65.010000000000005</v>
      </c>
      <c r="AB53" s="95">
        <v>1570200</v>
      </c>
      <c r="AC53" s="244">
        <v>64.73</v>
      </c>
      <c r="AD53" s="2">
        <f t="shared" si="0"/>
        <v>1.1799999999999926</v>
      </c>
      <c r="AE53" s="138">
        <f t="shared" si="1"/>
        <v>7.7303648732218733E-4</v>
      </c>
    </row>
    <row r="54" spans="1:31" x14ac:dyDescent="0.25">
      <c r="A54" s="262"/>
      <c r="B54" s="267">
        <v>42405</v>
      </c>
      <c r="C54" s="262">
        <v>30</v>
      </c>
      <c r="D54" s="263">
        <v>62.75</v>
      </c>
      <c r="E54" s="263">
        <v>0</v>
      </c>
      <c r="F54" s="263">
        <f t="shared" si="55"/>
        <v>1882.5</v>
      </c>
      <c r="G54" s="267">
        <v>42433</v>
      </c>
      <c r="H54" s="268">
        <v>30</v>
      </c>
      <c r="I54" s="263">
        <v>73.45</v>
      </c>
      <c r="J54" s="263">
        <v>0.05</v>
      </c>
      <c r="K54" s="263">
        <f t="shared" si="56"/>
        <v>2203.4499999999998</v>
      </c>
      <c r="L54" s="262"/>
      <c r="M54" s="262"/>
      <c r="O54" s="2"/>
      <c r="P54" s="83">
        <v>0.93</v>
      </c>
      <c r="Q54" s="83">
        <f t="shared" si="48"/>
        <v>68.159700000000015</v>
      </c>
      <c r="R54" s="83"/>
      <c r="T54" s="87" t="s">
        <v>112</v>
      </c>
      <c r="U54" s="130">
        <v>5.05</v>
      </c>
      <c r="W54" s="94">
        <v>42534</v>
      </c>
      <c r="X54" s="10">
        <v>65.02</v>
      </c>
      <c r="Y54" s="40">
        <v>66.13</v>
      </c>
      <c r="Z54" s="40">
        <v>64.819999999999993</v>
      </c>
      <c r="AA54" s="10">
        <v>64.959999999999994</v>
      </c>
      <c r="AB54" s="95">
        <v>1253000</v>
      </c>
      <c r="AC54" s="244">
        <v>64.680000000000007</v>
      </c>
      <c r="AD54" s="2">
        <f t="shared" si="0"/>
        <v>1.3100000000000023</v>
      </c>
      <c r="AE54" s="138">
        <f t="shared" si="1"/>
        <v>-9.0393749042437799E-3</v>
      </c>
    </row>
    <row r="55" spans="1:31" x14ac:dyDescent="0.25">
      <c r="A55" s="262"/>
      <c r="B55" s="267">
        <v>42429</v>
      </c>
      <c r="C55" s="262">
        <v>30</v>
      </c>
      <c r="D55" s="263">
        <v>66.75</v>
      </c>
      <c r="E55" s="263">
        <v>0</v>
      </c>
      <c r="F55" s="263">
        <f t="shared" si="55"/>
        <v>2002.5</v>
      </c>
      <c r="G55" s="267">
        <v>42440</v>
      </c>
      <c r="H55" s="268">
        <v>30</v>
      </c>
      <c r="I55" s="263">
        <v>72.55</v>
      </c>
      <c r="J55" s="263">
        <v>0.05</v>
      </c>
      <c r="K55" s="263">
        <f t="shared" si="56"/>
        <v>2176.4499999999998</v>
      </c>
      <c r="L55" s="262"/>
      <c r="M55" s="262"/>
      <c r="O55" s="2"/>
      <c r="P55" s="83">
        <v>0.92</v>
      </c>
      <c r="Q55" s="83">
        <f t="shared" si="48"/>
        <v>67.426800000000014</v>
      </c>
      <c r="R55" s="83"/>
      <c r="T55" s="87" t="s">
        <v>109</v>
      </c>
      <c r="U55" s="130" t="s">
        <v>390</v>
      </c>
      <c r="W55" s="94">
        <v>42531</v>
      </c>
      <c r="X55" s="10">
        <v>66.91</v>
      </c>
      <c r="Y55" s="40">
        <v>67.08</v>
      </c>
      <c r="Z55" s="40">
        <v>65.42</v>
      </c>
      <c r="AA55" s="10">
        <v>65.55</v>
      </c>
      <c r="AB55" s="95">
        <v>2417000</v>
      </c>
      <c r="AC55" s="244">
        <v>65.27</v>
      </c>
      <c r="AD55" s="2">
        <f t="shared" si="0"/>
        <v>1.6599999999999966</v>
      </c>
      <c r="AE55" s="138">
        <f t="shared" si="1"/>
        <v>-3.5608747044917455E-2</v>
      </c>
    </row>
    <row r="56" spans="1:31" x14ac:dyDescent="0.25">
      <c r="A56" s="262"/>
      <c r="B56" s="267">
        <v>42502</v>
      </c>
      <c r="C56" s="262">
        <v>30</v>
      </c>
      <c r="D56" s="263">
        <v>61.79</v>
      </c>
      <c r="E56" s="263">
        <v>0</v>
      </c>
      <c r="F56" s="263">
        <v>1853.7</v>
      </c>
      <c r="G56" s="262">
        <v>42544</v>
      </c>
      <c r="H56" s="262">
        <v>30</v>
      </c>
      <c r="I56" s="263">
        <v>66.83</v>
      </c>
      <c r="J56" s="263">
        <v>0.04</v>
      </c>
      <c r="K56" s="263">
        <v>2004.86</v>
      </c>
      <c r="L56" s="262"/>
      <c r="M56" s="262"/>
      <c r="O56" s="2"/>
      <c r="P56" s="83">
        <v>0.91</v>
      </c>
      <c r="Q56" s="83">
        <f t="shared" si="48"/>
        <v>66.693900000000014</v>
      </c>
      <c r="R56" s="83"/>
      <c r="W56" s="94">
        <v>42530</v>
      </c>
      <c r="X56" s="10">
        <v>66.5</v>
      </c>
      <c r="Y56" s="40">
        <v>68.09</v>
      </c>
      <c r="Z56" s="40">
        <v>66.349999999999994</v>
      </c>
      <c r="AA56" s="10">
        <v>67.97</v>
      </c>
      <c r="AB56" s="95">
        <v>2504900</v>
      </c>
      <c r="AC56" s="244">
        <v>67.680000000000007</v>
      </c>
      <c r="AD56" s="2">
        <f t="shared" si="0"/>
        <v>1.7400000000000091</v>
      </c>
      <c r="AE56" s="138">
        <f t="shared" si="1"/>
        <v>-6.0214422088411546E-3</v>
      </c>
    </row>
    <row r="57" spans="1:31" x14ac:dyDescent="0.25">
      <c r="A57" s="262"/>
      <c r="B57" s="262"/>
      <c r="C57" s="262"/>
      <c r="D57" s="263"/>
      <c r="E57" s="263"/>
      <c r="F57" s="263"/>
      <c r="G57" s="262"/>
      <c r="H57" s="262"/>
      <c r="I57" s="263"/>
      <c r="J57" s="263"/>
      <c r="K57" s="263"/>
      <c r="L57" s="262"/>
      <c r="M57" s="262"/>
      <c r="O57" s="2"/>
      <c r="P57" s="83">
        <v>0.9</v>
      </c>
      <c r="Q57" s="83">
        <f t="shared" si="48"/>
        <v>65.961000000000013</v>
      </c>
      <c r="R57" s="83"/>
      <c r="W57" s="94">
        <v>42529</v>
      </c>
      <c r="X57" s="10">
        <v>68.53</v>
      </c>
      <c r="Y57" s="40">
        <v>68.98</v>
      </c>
      <c r="Z57" s="40">
        <v>67.709999999999994</v>
      </c>
      <c r="AA57" s="10">
        <v>68.38</v>
      </c>
      <c r="AB57" s="95">
        <v>2093000</v>
      </c>
      <c r="AC57" s="244">
        <v>68.09</v>
      </c>
      <c r="AD57" s="2">
        <f t="shared" si="0"/>
        <v>1.2700000000000102</v>
      </c>
      <c r="AE57" s="138">
        <f t="shared" si="1"/>
        <v>-4.2410061421467304E-3</v>
      </c>
    </row>
    <row r="58" spans="1:31" x14ac:dyDescent="0.25">
      <c r="A58" s="262"/>
      <c r="B58" s="262"/>
      <c r="C58" s="262"/>
      <c r="D58" s="263"/>
      <c r="E58" s="263"/>
      <c r="F58" s="263"/>
      <c r="G58" s="262"/>
      <c r="H58" s="262"/>
      <c r="I58" s="263"/>
      <c r="J58" s="263"/>
      <c r="K58" s="263"/>
      <c r="L58" s="262"/>
      <c r="M58" s="262"/>
      <c r="W58" s="94">
        <v>42528</v>
      </c>
      <c r="X58" s="10">
        <v>66.39</v>
      </c>
      <c r="Y58" s="40">
        <v>68.959999999999994</v>
      </c>
      <c r="Z58" s="40">
        <v>66.17</v>
      </c>
      <c r="AA58" s="10">
        <v>68.67</v>
      </c>
      <c r="AB58" s="95">
        <v>3066200</v>
      </c>
      <c r="AC58" s="244">
        <v>68.38</v>
      </c>
      <c r="AD58" s="2">
        <f t="shared" si="0"/>
        <v>2.789999999999992</v>
      </c>
      <c r="AE58" s="138">
        <f t="shared" si="1"/>
        <v>3.8736138538660203E-2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42527</v>
      </c>
      <c r="X59" s="10">
        <v>66.94</v>
      </c>
      <c r="Y59" s="40">
        <v>67.260000000000005</v>
      </c>
      <c r="Z59" s="40">
        <v>66.06</v>
      </c>
      <c r="AA59" s="10">
        <v>66.11</v>
      </c>
      <c r="AB59" s="95">
        <v>1938300</v>
      </c>
      <c r="AC59" s="244">
        <v>65.83</v>
      </c>
      <c r="AD59" s="2">
        <f t="shared" si="0"/>
        <v>1.2000000000000028</v>
      </c>
      <c r="AE59" s="138">
        <f t="shared" si="1"/>
        <v>-1.2451245124512456E-2</v>
      </c>
    </row>
    <row r="60" spans="1:31" x14ac:dyDescent="0.25">
      <c r="W60" s="94">
        <v>42524</v>
      </c>
      <c r="X60" s="10">
        <v>67.739999999999995</v>
      </c>
      <c r="Y60" s="40">
        <v>68.5</v>
      </c>
      <c r="Z60" s="40">
        <v>66.27</v>
      </c>
      <c r="AA60" s="10">
        <v>66.94</v>
      </c>
      <c r="AB60" s="95">
        <v>3682600</v>
      </c>
      <c r="AC60" s="244">
        <v>66.66</v>
      </c>
      <c r="AD60" s="2">
        <f t="shared" si="0"/>
        <v>2.230000000000004</v>
      </c>
      <c r="AE60" s="138">
        <f t="shared" si="1"/>
        <v>5.4298642533936459E-3</v>
      </c>
    </row>
    <row r="61" spans="1:31" x14ac:dyDescent="0.25">
      <c r="L61" t="s">
        <v>65</v>
      </c>
      <c r="M61" s="470">
        <f>K79+M79-F79</f>
        <v>923.5099999999984</v>
      </c>
      <c r="W61" s="94">
        <v>42523</v>
      </c>
      <c r="X61" s="10">
        <v>67.03</v>
      </c>
      <c r="Y61" s="40">
        <v>67.56</v>
      </c>
      <c r="Z61" s="40">
        <v>66.260000000000005</v>
      </c>
      <c r="AA61" s="10">
        <v>66.58</v>
      </c>
      <c r="AB61" s="95">
        <v>2172300</v>
      </c>
      <c r="AC61" s="244">
        <v>66.3</v>
      </c>
      <c r="AD61" s="2">
        <f t="shared" si="0"/>
        <v>1.2999999999999972</v>
      </c>
      <c r="AE61" s="138">
        <f t="shared" si="1"/>
        <v>-1.030004478280333E-2</v>
      </c>
    </row>
    <row r="62" spans="1:31" x14ac:dyDescent="0.25">
      <c r="A62" s="264" t="s">
        <v>1</v>
      </c>
      <c r="B62" s="264" t="s">
        <v>2</v>
      </c>
      <c r="C62" s="264" t="s">
        <v>4</v>
      </c>
      <c r="D62" s="265" t="s">
        <v>5</v>
      </c>
      <c r="E62" s="265" t="s">
        <v>90</v>
      </c>
      <c r="F62" s="265" t="s">
        <v>60</v>
      </c>
      <c r="G62" s="264" t="s">
        <v>3</v>
      </c>
      <c r="H62" s="264" t="s">
        <v>6</v>
      </c>
      <c r="I62" s="265" t="s">
        <v>7</v>
      </c>
      <c r="J62" s="265" t="s">
        <v>89</v>
      </c>
      <c r="K62" s="265" t="s">
        <v>61</v>
      </c>
      <c r="L62" s="264" t="s">
        <v>77</v>
      </c>
      <c r="M62" s="264" t="s">
        <v>38</v>
      </c>
      <c r="W62" s="94">
        <v>42522</v>
      </c>
      <c r="X62" s="10">
        <v>66.37</v>
      </c>
      <c r="Y62" s="40">
        <v>67.64</v>
      </c>
      <c r="Z62" s="40">
        <v>66.37</v>
      </c>
      <c r="AA62" s="10">
        <v>67.27</v>
      </c>
      <c r="AB62" s="95">
        <v>2039800</v>
      </c>
      <c r="AC62" s="244">
        <v>66.989999999999995</v>
      </c>
      <c r="AD62" s="2">
        <f t="shared" si="0"/>
        <v>1.269999999999996</v>
      </c>
      <c r="AE62" s="138">
        <f t="shared" si="1"/>
        <v>7.6714801444042191E-3</v>
      </c>
    </row>
    <row r="63" spans="1:31" x14ac:dyDescent="0.25">
      <c r="A63" s="266" t="s">
        <v>178</v>
      </c>
      <c r="B63" s="267">
        <v>42545</v>
      </c>
      <c r="C63" s="262">
        <v>60</v>
      </c>
      <c r="D63" s="263">
        <v>63.32</v>
      </c>
      <c r="E63" s="263">
        <v>0</v>
      </c>
      <c r="F63" s="263">
        <f>C63*D63+E63</f>
        <v>3799.2</v>
      </c>
      <c r="G63" s="267">
        <v>42551</v>
      </c>
      <c r="H63" s="268">
        <v>60</v>
      </c>
      <c r="I63" s="263">
        <v>62.98</v>
      </c>
      <c r="J63" s="263">
        <v>7.03</v>
      </c>
      <c r="K63" s="263">
        <f>I63*H63-J63</f>
        <v>3771.7699999999995</v>
      </c>
      <c r="L63" s="267">
        <v>42607</v>
      </c>
      <c r="M63" s="263"/>
      <c r="W63" s="94">
        <v>42521</v>
      </c>
      <c r="X63" s="10">
        <v>66.319999999999993</v>
      </c>
      <c r="Y63" s="40">
        <v>67.099999999999994</v>
      </c>
      <c r="Z63" s="40">
        <v>66.3</v>
      </c>
      <c r="AA63" s="10">
        <v>66.760000000000005</v>
      </c>
      <c r="AB63" s="95">
        <v>1756800</v>
      </c>
      <c r="AC63" s="244">
        <v>66.48</v>
      </c>
      <c r="AD63" s="2">
        <f t="shared" si="0"/>
        <v>0.79999999999999716</v>
      </c>
      <c r="AE63" s="138">
        <f t="shared" si="1"/>
        <v>3.9263062518877234E-3</v>
      </c>
    </row>
    <row r="64" spans="1:31" x14ac:dyDescent="0.25">
      <c r="A64" s="269" t="s">
        <v>71</v>
      </c>
      <c r="B64" s="267">
        <v>42548</v>
      </c>
      <c r="C64" s="262">
        <v>60</v>
      </c>
      <c r="D64" s="263">
        <v>58.55</v>
      </c>
      <c r="E64" s="263">
        <v>0</v>
      </c>
      <c r="F64" s="263">
        <f>C64*D64+E64</f>
        <v>3513</v>
      </c>
      <c r="G64" s="267">
        <v>42587</v>
      </c>
      <c r="H64" s="268">
        <v>20</v>
      </c>
      <c r="I64" s="263">
        <v>65.900000000000006</v>
      </c>
      <c r="J64" s="263">
        <v>0.03</v>
      </c>
      <c r="K64" s="263">
        <f>I64*H64-J64</f>
        <v>1317.97</v>
      </c>
      <c r="L64" s="262"/>
      <c r="M64" s="262"/>
      <c r="W64" s="94">
        <v>42517</v>
      </c>
      <c r="X64" s="10">
        <v>65.930000000000007</v>
      </c>
      <c r="Y64" s="40">
        <v>66.55</v>
      </c>
      <c r="Z64" s="40">
        <v>65.81</v>
      </c>
      <c r="AA64" s="10">
        <v>66.5</v>
      </c>
      <c r="AB64" s="95">
        <v>1128000</v>
      </c>
      <c r="AC64" s="244">
        <v>66.22</v>
      </c>
      <c r="AD64" s="2">
        <f t="shared" si="0"/>
        <v>0.73999999999999488</v>
      </c>
      <c r="AE64" s="138">
        <f t="shared" si="1"/>
        <v>5.008347245408995E-3</v>
      </c>
    </row>
    <row r="65" spans="1:31" x14ac:dyDescent="0.25">
      <c r="A65" s="262"/>
      <c r="B65" s="267">
        <v>42557</v>
      </c>
      <c r="C65" s="262">
        <v>30</v>
      </c>
      <c r="D65" s="263">
        <v>57.58</v>
      </c>
      <c r="E65" s="263">
        <v>0</v>
      </c>
      <c r="F65" s="263">
        <f>C65*D65+E65</f>
        <v>1727.3999999999999</v>
      </c>
      <c r="G65" s="267">
        <v>42593</v>
      </c>
      <c r="H65" s="268">
        <v>70</v>
      </c>
      <c r="I65" s="263">
        <v>67.05</v>
      </c>
      <c r="J65" s="263">
        <v>0.1</v>
      </c>
      <c r="K65" s="263">
        <f>I65*H65-J65</f>
        <v>4693.3999999999996</v>
      </c>
      <c r="L65" s="262"/>
      <c r="M65" s="262"/>
      <c r="W65" s="94">
        <v>42516</v>
      </c>
      <c r="X65" s="10">
        <v>66</v>
      </c>
      <c r="Y65" s="40">
        <v>66.8</v>
      </c>
      <c r="Z65" s="40">
        <v>65.89</v>
      </c>
      <c r="AA65" s="10">
        <v>66.17</v>
      </c>
      <c r="AB65" s="95">
        <v>1699700</v>
      </c>
      <c r="AC65" s="244">
        <v>65.89</v>
      </c>
      <c r="AD65" s="2">
        <f t="shared" si="0"/>
        <v>0.90999999999999659</v>
      </c>
      <c r="AE65" s="138">
        <f t="shared" si="1"/>
        <v>-1.5153811183511445E-3</v>
      </c>
    </row>
    <row r="66" spans="1:31" x14ac:dyDescent="0.25">
      <c r="A66" s="262"/>
      <c r="B66" s="267">
        <v>42573</v>
      </c>
      <c r="C66" s="276">
        <v>20</v>
      </c>
      <c r="D66" s="374">
        <v>63.68</v>
      </c>
      <c r="E66" s="374">
        <v>0</v>
      </c>
      <c r="F66" s="263">
        <f>C66*D66+E66</f>
        <v>1273.5999999999999</v>
      </c>
      <c r="G66" s="267">
        <v>42604</v>
      </c>
      <c r="H66" s="268">
        <v>20</v>
      </c>
      <c r="I66" s="263">
        <v>72.680000000000007</v>
      </c>
      <c r="J66" s="263">
        <v>0.03</v>
      </c>
      <c r="K66" s="263">
        <f>I66*H66-J66</f>
        <v>1453.5700000000002</v>
      </c>
      <c r="L66" s="262"/>
      <c r="M66" s="262"/>
      <c r="W66" s="94">
        <v>42515</v>
      </c>
      <c r="X66" s="10">
        <v>66.45</v>
      </c>
      <c r="Y66" s="40">
        <v>66.78</v>
      </c>
      <c r="Z66" s="40">
        <v>65.11</v>
      </c>
      <c r="AA66" s="10">
        <v>66.27</v>
      </c>
      <c r="AB66" s="95">
        <v>2387400</v>
      </c>
      <c r="AC66" s="244">
        <v>65.989999999999995</v>
      </c>
      <c r="AD66" s="2">
        <f t="shared" si="0"/>
        <v>1.6700000000000017</v>
      </c>
      <c r="AE66" s="138">
        <f t="shared" si="1"/>
        <v>-2.870957993351686E-3</v>
      </c>
    </row>
    <row r="67" spans="1:31" x14ac:dyDescent="0.25">
      <c r="A67" s="262"/>
      <c r="B67" s="267"/>
      <c r="C67" s="262"/>
      <c r="D67" s="263"/>
      <c r="E67" s="263"/>
      <c r="F67" s="263"/>
      <c r="G67" s="267"/>
      <c r="H67" s="268"/>
      <c r="I67" s="263"/>
      <c r="J67" s="263"/>
      <c r="K67" s="263"/>
      <c r="L67" s="262"/>
      <c r="M67" s="262"/>
      <c r="W67" s="94">
        <v>42514</v>
      </c>
      <c r="X67" s="10">
        <v>66.069999999999993</v>
      </c>
      <c r="Y67" s="40">
        <v>66.67</v>
      </c>
      <c r="Z67" s="40">
        <v>65.849999999999994</v>
      </c>
      <c r="AA67" s="10">
        <v>66.459999999999994</v>
      </c>
      <c r="AB67" s="95">
        <v>2768000</v>
      </c>
      <c r="AC67" s="244">
        <v>66.180000000000007</v>
      </c>
      <c r="AD67" s="2">
        <f t="shared" si="0"/>
        <v>0.82000000000000739</v>
      </c>
      <c r="AE67" s="138">
        <f t="shared" si="1"/>
        <v>9.9191210132765217E-3</v>
      </c>
    </row>
    <row r="68" spans="1:31" x14ac:dyDescent="0.25">
      <c r="A68" s="262"/>
      <c r="B68" s="267"/>
      <c r="C68" s="262"/>
      <c r="D68" s="263"/>
      <c r="E68" s="263"/>
      <c r="F68" s="263"/>
      <c r="G68" s="267"/>
      <c r="H68" s="268"/>
      <c r="I68" s="263"/>
      <c r="J68" s="263"/>
      <c r="K68" s="263"/>
      <c r="L68" s="262"/>
      <c r="M68" s="262"/>
      <c r="W68" s="94">
        <v>42513</v>
      </c>
      <c r="X68" s="10">
        <v>65.849999999999994</v>
      </c>
      <c r="Y68" s="40">
        <v>67.459999999999994</v>
      </c>
      <c r="Z68" s="40">
        <v>65.760000000000005</v>
      </c>
      <c r="AA68" s="10">
        <v>65.81</v>
      </c>
      <c r="AB68" s="95">
        <v>3368100</v>
      </c>
      <c r="AC68" s="244">
        <v>65.53</v>
      </c>
      <c r="AD68" s="2">
        <f>Y68-Z68</f>
        <v>1.6999999999999886</v>
      </c>
      <c r="AE68" s="138" t="e">
        <f>AC68/#REF!-1</f>
        <v>#REF!</v>
      </c>
    </row>
    <row r="69" spans="1:31" x14ac:dyDescent="0.25">
      <c r="A69" s="262"/>
      <c r="B69" s="262"/>
      <c r="C69" s="262"/>
      <c r="D69" s="263"/>
      <c r="E69" s="263"/>
      <c r="F69" s="263"/>
      <c r="G69" s="262"/>
      <c r="H69" s="268"/>
      <c r="I69" s="263"/>
      <c r="J69" s="263"/>
      <c r="K69" s="263"/>
      <c r="L69" s="262"/>
      <c r="M69" s="262"/>
      <c r="W69" s="215" t="s">
        <v>122</v>
      </c>
      <c r="X69" s="96"/>
      <c r="Y69" s="244"/>
      <c r="Z69" s="244"/>
      <c r="AA69" s="96"/>
      <c r="AB69" s="216"/>
      <c r="AC69" s="244"/>
      <c r="AD69" s="2" t="e">
        <f>#REF!-#REF!</f>
        <v>#REF!</v>
      </c>
      <c r="AE69" s="138" t="e">
        <f>#REF!/AC69-1</f>
        <v>#REF!</v>
      </c>
    </row>
    <row r="70" spans="1:31" x14ac:dyDescent="0.25">
      <c r="A70" s="262"/>
      <c r="B70" s="262"/>
      <c r="C70" s="262"/>
      <c r="D70" s="263"/>
      <c r="E70" s="263"/>
      <c r="F70" s="263"/>
      <c r="G70" s="262"/>
      <c r="H70" s="268"/>
      <c r="I70" s="263"/>
      <c r="J70" s="263"/>
      <c r="K70" s="263"/>
      <c r="L70" s="262"/>
      <c r="M70" s="262"/>
    </row>
    <row r="71" spans="1:31" x14ac:dyDescent="0.25">
      <c r="A71" s="262"/>
      <c r="B71" s="262"/>
      <c r="C71" s="262"/>
      <c r="D71" s="263"/>
      <c r="E71" s="263"/>
      <c r="F71" s="263"/>
      <c r="G71" s="262"/>
      <c r="H71" s="268"/>
      <c r="I71" s="263"/>
      <c r="J71" s="263"/>
      <c r="K71" s="263"/>
      <c r="L71" s="262"/>
      <c r="M71" s="262"/>
    </row>
    <row r="72" spans="1:31" x14ac:dyDescent="0.25">
      <c r="A72" s="262"/>
      <c r="B72" s="262"/>
      <c r="C72" s="262"/>
      <c r="D72" s="263"/>
      <c r="E72" s="263"/>
      <c r="F72" s="263"/>
      <c r="G72" s="262"/>
      <c r="H72" s="268"/>
      <c r="I72" s="263"/>
      <c r="J72" s="263"/>
      <c r="K72" s="263"/>
      <c r="L72" s="262"/>
      <c r="M72" s="262"/>
    </row>
    <row r="73" spans="1:31" x14ac:dyDescent="0.25">
      <c r="A73" s="262"/>
      <c r="B73" s="262"/>
      <c r="C73" s="262"/>
      <c r="D73" s="263"/>
      <c r="E73" s="263"/>
      <c r="F73" s="263"/>
      <c r="G73" s="262"/>
      <c r="H73" s="268"/>
      <c r="I73" s="263"/>
      <c r="J73" s="263"/>
      <c r="K73" s="263"/>
      <c r="L73" s="262"/>
      <c r="M73" s="262"/>
    </row>
    <row r="74" spans="1:31" x14ac:dyDescent="0.25">
      <c r="A74" s="262"/>
      <c r="B74" s="262"/>
      <c r="C74" s="262"/>
      <c r="D74" s="263"/>
      <c r="E74" s="263"/>
      <c r="F74" s="263"/>
      <c r="G74" s="262"/>
      <c r="H74" s="268"/>
      <c r="I74" s="263"/>
      <c r="J74" s="263"/>
      <c r="K74" s="263"/>
      <c r="L74" s="262"/>
      <c r="M74" s="262"/>
    </row>
    <row r="75" spans="1:31" x14ac:dyDescent="0.25">
      <c r="A75" s="262"/>
      <c r="B75" s="262"/>
      <c r="C75" s="262"/>
      <c r="D75" s="263"/>
      <c r="E75" s="263"/>
      <c r="F75" s="263"/>
      <c r="G75" s="262"/>
      <c r="H75" s="268"/>
      <c r="I75" s="263"/>
      <c r="J75" s="263"/>
      <c r="K75" s="263"/>
      <c r="L75" s="262"/>
      <c r="M75" s="262"/>
    </row>
    <row r="76" spans="1:31" x14ac:dyDescent="0.25">
      <c r="A76" s="262"/>
      <c r="B76" s="262"/>
      <c r="C76" s="262"/>
      <c r="D76" s="263"/>
      <c r="E76" s="263"/>
      <c r="F76" s="263"/>
      <c r="G76" s="262"/>
      <c r="H76" s="268"/>
      <c r="I76" s="263"/>
      <c r="J76" s="263"/>
      <c r="K76" s="263"/>
      <c r="L76" s="262"/>
      <c r="M76" s="262"/>
    </row>
    <row r="77" spans="1:31" x14ac:dyDescent="0.25">
      <c r="A77" s="262"/>
      <c r="B77" s="262"/>
      <c r="C77" s="262"/>
      <c r="D77" s="263"/>
      <c r="E77" s="263"/>
      <c r="F77" s="263"/>
      <c r="G77" s="262"/>
      <c r="H77" s="268"/>
      <c r="I77" s="263"/>
      <c r="J77" s="263"/>
      <c r="K77" s="263"/>
      <c r="L77" s="262"/>
      <c r="M77" s="262"/>
    </row>
    <row r="78" spans="1:31" x14ac:dyDescent="0.25">
      <c r="A78" s="262"/>
      <c r="B78" s="262"/>
      <c r="C78" s="262"/>
      <c r="D78" s="263"/>
      <c r="E78" s="263"/>
      <c r="F78" s="263"/>
      <c r="G78" s="262"/>
      <c r="H78" s="268"/>
      <c r="I78" s="263"/>
      <c r="J78" s="263"/>
      <c r="K78" s="263"/>
      <c r="L78" s="262"/>
      <c r="M78" s="262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0</v>
      </c>
    </row>
    <row r="80" spans="1:31" ht="15.75" thickBot="1" x14ac:dyDescent="0.3">
      <c r="A80" s="491" t="s">
        <v>204</v>
      </c>
      <c r="B80" s="492"/>
      <c r="C80" s="493">
        <f>SumByColor($A$19,C63:C78)</f>
        <v>0</v>
      </c>
      <c r="D80" s="493"/>
      <c r="E80" s="493"/>
      <c r="F80" s="494">
        <f>SumByColor($A$19,F63:F78)</f>
        <v>0</v>
      </c>
      <c r="G80" s="493"/>
      <c r="H80" s="493">
        <f>SumByColor($A$19,H63:H78)</f>
        <v>0</v>
      </c>
      <c r="I80" s="493"/>
      <c r="J80" s="493"/>
      <c r="K80" s="494">
        <f>SumByColor($A$19,K63:K78)</f>
        <v>0</v>
      </c>
      <c r="L80" s="493"/>
      <c r="M80" s="49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5" priority="27">
      <formula>F40&gt;0</formula>
    </cfRule>
    <cfRule type="expression" dxfId="364" priority="28">
      <formula>F40&lt;0</formula>
    </cfRule>
  </conditionalFormatting>
  <conditionalFormatting sqref="F40:F45">
    <cfRule type="expression" dxfId="363" priority="29">
      <formula>F40&gt;0</formula>
    </cfRule>
    <cfRule type="expression" dxfId="362" priority="30">
      <formula>F40&lt;0</formula>
    </cfRule>
  </conditionalFormatting>
  <conditionalFormatting sqref="H40:H45">
    <cfRule type="expression" dxfId="361" priority="25">
      <formula>H40&gt;0</formula>
    </cfRule>
    <cfRule type="expression" dxfId="360" priority="26">
      <formula>H40&lt;0</formula>
    </cfRule>
  </conditionalFormatting>
  <conditionalFormatting sqref="F23:F39">
    <cfRule type="expression" dxfId="359" priority="11">
      <formula>F23&gt;0</formula>
    </cfRule>
    <cfRule type="expression" dxfId="358" priority="12">
      <formula>F23&lt;0</formula>
    </cfRule>
  </conditionalFormatting>
  <conditionalFormatting sqref="H23:H39">
    <cfRule type="expression" dxfId="357" priority="9">
      <formula>H23&gt;0</formula>
    </cfRule>
    <cfRule type="expression" dxfId="356" priority="10">
      <formula>H23&lt;0</formula>
    </cfRule>
  </conditionalFormatting>
  <conditionalFormatting sqref="Q7">
    <cfRule type="expression" dxfId="355" priority="7">
      <formula>Q7&gt;0</formula>
    </cfRule>
    <cfRule type="expression" dxfId="354" priority="8">
      <formula>Q7&lt;0</formula>
    </cfRule>
  </conditionalFormatting>
  <conditionalFormatting sqref="Q8">
    <cfRule type="expression" dxfId="353" priority="5">
      <formula>Q8&gt;0</formula>
    </cfRule>
    <cfRule type="expression" dxfId="3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42606</v>
      </c>
      <c r="X2" s="41">
        <v>64.95</v>
      </c>
      <c r="Y2" s="41">
        <v>65.489999999999995</v>
      </c>
      <c r="Z2" s="41">
        <v>64.88</v>
      </c>
      <c r="AA2" s="41">
        <v>64.959999999999994</v>
      </c>
      <c r="AB2" s="104">
        <v>501800</v>
      </c>
      <c r="AC2" s="9">
        <v>64.959999999999994</v>
      </c>
      <c r="AD2" s="2">
        <f>Y2-Z2</f>
        <v>0.60999999999999943</v>
      </c>
      <c r="AE2" s="138">
        <f>AC2/AC3-1</f>
        <v>-3.0693677102516803E-3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64.959999999999994</v>
      </c>
      <c r="W3" s="123">
        <v>42605</v>
      </c>
      <c r="X3" s="41">
        <v>65.27</v>
      </c>
      <c r="Y3" s="41">
        <v>65.400000000000006</v>
      </c>
      <c r="Z3" s="41">
        <v>64.739999999999995</v>
      </c>
      <c r="AA3" s="41">
        <v>65.16</v>
      </c>
      <c r="AB3" s="104">
        <v>510500</v>
      </c>
      <c r="AC3" s="9">
        <v>65.16</v>
      </c>
      <c r="AD3" s="2">
        <f t="shared" ref="AD3:AD66" si="0">Y3-Z3</f>
        <v>0.6600000000000108</v>
      </c>
      <c r="AE3" s="138">
        <f t="shared" ref="AE3:AE66" si="1">AC3/AC4-1</f>
        <v>3.696857670979492E-3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64.959999999999994</v>
      </c>
      <c r="T4" s="1"/>
      <c r="W4" s="123">
        <v>42604</v>
      </c>
      <c r="X4" s="41">
        <v>64.36</v>
      </c>
      <c r="Y4" s="41">
        <v>65.11</v>
      </c>
      <c r="Z4" s="41">
        <v>64.33</v>
      </c>
      <c r="AA4" s="41">
        <v>64.92</v>
      </c>
      <c r="AB4" s="104">
        <v>506900</v>
      </c>
      <c r="AC4" s="9">
        <v>64.92</v>
      </c>
      <c r="AD4" s="2">
        <f t="shared" si="0"/>
        <v>0.78000000000000114</v>
      </c>
      <c r="AE4" s="138">
        <f t="shared" si="1"/>
        <v>1.6972689399783469E-3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42601</v>
      </c>
      <c r="X5" s="41">
        <v>64.41</v>
      </c>
      <c r="Y5" s="41">
        <v>64.98</v>
      </c>
      <c r="Z5" s="41">
        <v>64.239999999999995</v>
      </c>
      <c r="AA5" s="41">
        <v>64.81</v>
      </c>
      <c r="AB5" s="104">
        <v>723800</v>
      </c>
      <c r="AC5" s="9">
        <v>64.81</v>
      </c>
      <c r="AD5" s="2">
        <f t="shared" si="0"/>
        <v>0.74000000000000909</v>
      </c>
      <c r="AE5" s="138">
        <f t="shared" si="1"/>
        <v>1.0812480691999582E-3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42600</v>
      </c>
      <c r="X6" s="41">
        <v>64.290000000000006</v>
      </c>
      <c r="Y6" s="41">
        <v>64.98</v>
      </c>
      <c r="Z6" s="41">
        <v>64.260000000000005</v>
      </c>
      <c r="AA6" s="41">
        <v>64.739999999999995</v>
      </c>
      <c r="AB6" s="104">
        <v>586000</v>
      </c>
      <c r="AC6" s="9">
        <v>64.739999999999995</v>
      </c>
      <c r="AD6" s="2">
        <f t="shared" si="0"/>
        <v>0.71999999999999886</v>
      </c>
      <c r="AE6" s="138">
        <f t="shared" si="1"/>
        <v>7.7833125778330459E-3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42599</v>
      </c>
      <c r="X7" s="41">
        <v>63.36</v>
      </c>
      <c r="Y7" s="41">
        <v>64.430000000000007</v>
      </c>
      <c r="Z7" s="41">
        <v>63.2</v>
      </c>
      <c r="AA7" s="41">
        <v>64.239999999999995</v>
      </c>
      <c r="AB7" s="104">
        <v>644400</v>
      </c>
      <c r="AC7" s="9">
        <v>64.239999999999995</v>
      </c>
      <c r="AD7" s="2">
        <f t="shared" si="0"/>
        <v>1.230000000000004</v>
      </c>
      <c r="AE7" s="138">
        <f t="shared" si="1"/>
        <v>1.261034047919285E-2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42598</v>
      </c>
      <c r="X8" s="41">
        <v>63.4</v>
      </c>
      <c r="Y8" s="41">
        <v>63.71</v>
      </c>
      <c r="Z8" s="41">
        <v>63.22</v>
      </c>
      <c r="AA8" s="41">
        <v>63.44</v>
      </c>
      <c r="AB8" s="104">
        <v>601800</v>
      </c>
      <c r="AC8" s="9">
        <v>63.44</v>
      </c>
      <c r="AD8" s="2">
        <f t="shared" si="0"/>
        <v>0.49000000000000199</v>
      </c>
      <c r="AE8" s="138">
        <f t="shared" si="1"/>
        <v>1.2626262626262985E-3</v>
      </c>
      <c r="AL8" s="234"/>
      <c r="AO8" s="234"/>
    </row>
    <row r="9" spans="1:42" x14ac:dyDescent="0.25">
      <c r="O9" s="11" t="s">
        <v>225</v>
      </c>
      <c r="Q9" s="138">
        <f>IF(Q2=0, 0, Q8/Q6)</f>
        <v>0</v>
      </c>
      <c r="W9" s="123">
        <v>42597</v>
      </c>
      <c r="X9" s="41">
        <v>63.18</v>
      </c>
      <c r="Y9" s="41">
        <v>63.82</v>
      </c>
      <c r="Z9" s="41">
        <v>63.14</v>
      </c>
      <c r="AA9" s="41">
        <v>63.36</v>
      </c>
      <c r="AB9" s="104">
        <v>519300</v>
      </c>
      <c r="AC9" s="9">
        <v>63.36</v>
      </c>
      <c r="AD9" s="2">
        <f t="shared" si="0"/>
        <v>0.67999999999999972</v>
      </c>
      <c r="AE9" s="138">
        <f t="shared" si="1"/>
        <v>4.2796005706133844E-3</v>
      </c>
      <c r="AL9" s="234"/>
      <c r="AO9" s="234"/>
    </row>
    <row r="10" spans="1:42" x14ac:dyDescent="0.25">
      <c r="O10" s="11" t="s">
        <v>224</v>
      </c>
      <c r="P10" s="34"/>
      <c r="Q10" s="2">
        <f>M36</f>
        <v>121.94999999999982</v>
      </c>
      <c r="W10" s="123">
        <v>42594</v>
      </c>
      <c r="X10" s="41">
        <v>63.38</v>
      </c>
      <c r="Y10" s="41">
        <v>63.53</v>
      </c>
      <c r="Z10" s="41">
        <v>62.81</v>
      </c>
      <c r="AA10" s="41">
        <v>63.09</v>
      </c>
      <c r="AB10" s="104">
        <v>620700</v>
      </c>
      <c r="AC10" s="9">
        <v>63.09</v>
      </c>
      <c r="AD10" s="2">
        <f t="shared" si="0"/>
        <v>0.71999999999999886</v>
      </c>
      <c r="AE10" s="138">
        <f t="shared" si="1"/>
        <v>-6.9258617975759273E-3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T11" s="11"/>
      <c r="W11" s="123">
        <v>42593</v>
      </c>
      <c r="X11" s="41">
        <v>63.45</v>
      </c>
      <c r="Y11" s="41">
        <v>63.8</v>
      </c>
      <c r="Z11" s="41">
        <v>62.91</v>
      </c>
      <c r="AA11" s="41">
        <v>63.53</v>
      </c>
      <c r="AB11" s="104">
        <v>614300</v>
      </c>
      <c r="AC11" s="9">
        <v>63.53</v>
      </c>
      <c r="AD11" s="2">
        <f t="shared" si="0"/>
        <v>0.89000000000000057</v>
      </c>
      <c r="AE11" s="138">
        <f t="shared" si="1"/>
        <v>1.3237639553429048E-2</v>
      </c>
      <c r="AL11" s="234"/>
      <c r="AO11" s="234"/>
    </row>
    <row r="12" spans="1:42" x14ac:dyDescent="0.25">
      <c r="W12" s="123">
        <v>42592</v>
      </c>
      <c r="X12" s="41">
        <v>63.11</v>
      </c>
      <c r="Y12" s="41">
        <v>63.36</v>
      </c>
      <c r="Z12" s="41">
        <v>62.45</v>
      </c>
      <c r="AA12" s="41">
        <v>62.7</v>
      </c>
      <c r="AB12" s="104">
        <v>856200</v>
      </c>
      <c r="AC12" s="9">
        <v>62.7</v>
      </c>
      <c r="AD12" s="2">
        <f t="shared" si="0"/>
        <v>0.90999999999999659</v>
      </c>
      <c r="AE12" s="138">
        <f t="shared" si="1"/>
        <v>-6.3755180108382437E-4</v>
      </c>
      <c r="AL12" s="234"/>
      <c r="AO12" s="234"/>
    </row>
    <row r="13" spans="1:42" x14ac:dyDescent="0.25">
      <c r="W13" s="123">
        <v>42591</v>
      </c>
      <c r="X13" s="41">
        <v>62.47</v>
      </c>
      <c r="Y13" s="41">
        <v>63.32</v>
      </c>
      <c r="Z13" s="41">
        <v>62.47</v>
      </c>
      <c r="AA13" s="41">
        <v>62.74</v>
      </c>
      <c r="AB13" s="104">
        <v>894600</v>
      </c>
      <c r="AC13" s="9">
        <v>62.74</v>
      </c>
      <c r="AD13" s="2">
        <f t="shared" si="0"/>
        <v>0.85000000000000142</v>
      </c>
      <c r="AE13" s="138">
        <f t="shared" si="1"/>
        <v>7.2242735591587781E-3</v>
      </c>
    </row>
    <row r="14" spans="1:42" x14ac:dyDescent="0.25">
      <c r="W14" s="123">
        <v>42590</v>
      </c>
      <c r="X14" s="41">
        <v>62.1</v>
      </c>
      <c r="Y14" s="41">
        <v>62.45</v>
      </c>
      <c r="Z14" s="41">
        <v>61.95</v>
      </c>
      <c r="AA14" s="41">
        <v>62.29</v>
      </c>
      <c r="AB14" s="104">
        <v>770200</v>
      </c>
      <c r="AC14" s="9">
        <v>62.29</v>
      </c>
      <c r="AD14" s="2">
        <f t="shared" si="0"/>
        <v>0.5</v>
      </c>
      <c r="AE14" s="138">
        <f t="shared" si="1"/>
        <v>5.4882970137206666E-3</v>
      </c>
    </row>
    <row r="15" spans="1:42" x14ac:dyDescent="0.25">
      <c r="V15" s="2"/>
      <c r="W15" s="123">
        <v>42587</v>
      </c>
      <c r="X15" s="41">
        <v>61.63</v>
      </c>
      <c r="Y15" s="41">
        <v>62.21</v>
      </c>
      <c r="Z15" s="41">
        <v>61.54</v>
      </c>
      <c r="AA15" s="41">
        <v>61.95</v>
      </c>
      <c r="AB15" s="104">
        <v>903700</v>
      </c>
      <c r="AC15" s="9">
        <v>61.95</v>
      </c>
      <c r="AD15" s="2">
        <f t="shared" si="0"/>
        <v>0.67000000000000171</v>
      </c>
      <c r="AE15" s="138">
        <f t="shared" si="1"/>
        <v>2.4271844660195274E-3</v>
      </c>
      <c r="AL15" s="234"/>
      <c r="AO15" s="234"/>
      <c r="AP15" s="234"/>
    </row>
    <row r="16" spans="1:42" x14ac:dyDescent="0.25">
      <c r="V16" s="2"/>
      <c r="W16" s="123">
        <v>42586</v>
      </c>
      <c r="X16" s="41">
        <v>62.05</v>
      </c>
      <c r="Y16" s="41">
        <v>62.16</v>
      </c>
      <c r="Z16" s="41">
        <v>61.4</v>
      </c>
      <c r="AA16" s="41">
        <v>61.8</v>
      </c>
      <c r="AB16" s="104">
        <v>762200</v>
      </c>
      <c r="AC16" s="9">
        <v>61.8</v>
      </c>
      <c r="AD16" s="2">
        <f t="shared" si="0"/>
        <v>0.75999999999999801</v>
      </c>
      <c r="AE16" s="138">
        <f t="shared" si="1"/>
        <v>-7.3883713459684808E-3</v>
      </c>
    </row>
    <row r="17" spans="1:42" x14ac:dyDescent="0.25">
      <c r="V17" s="2"/>
      <c r="W17" s="123">
        <v>42585</v>
      </c>
      <c r="X17" s="41">
        <v>61.88</v>
      </c>
      <c r="Y17" s="41">
        <v>62.66</v>
      </c>
      <c r="Z17" s="41">
        <v>61.71</v>
      </c>
      <c r="AA17" s="41">
        <v>62.26</v>
      </c>
      <c r="AB17" s="104">
        <v>982400</v>
      </c>
      <c r="AC17" s="9">
        <v>62.26</v>
      </c>
      <c r="AD17" s="2">
        <f t="shared" si="0"/>
        <v>0.94999999999999574</v>
      </c>
      <c r="AE17" s="138">
        <f t="shared" si="1"/>
        <v>7.1174377224199059E-3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42584</v>
      </c>
      <c r="X18" s="41">
        <v>63.77</v>
      </c>
      <c r="Y18" s="41">
        <v>64.27</v>
      </c>
      <c r="Z18" s="41">
        <v>61.71</v>
      </c>
      <c r="AA18" s="41">
        <v>61.82</v>
      </c>
      <c r="AB18" s="104">
        <v>1317800</v>
      </c>
      <c r="AC18" s="9">
        <v>61.82</v>
      </c>
      <c r="AD18" s="2">
        <f t="shared" si="0"/>
        <v>2.5599999999999952</v>
      </c>
      <c r="AE18" s="138">
        <f t="shared" si="1"/>
        <v>-1.4192313825546199E-2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42583</v>
      </c>
      <c r="X19" s="41">
        <v>62.8</v>
      </c>
      <c r="Y19" s="41">
        <v>63.14</v>
      </c>
      <c r="Z19" s="41">
        <v>61.9</v>
      </c>
      <c r="AA19" s="41">
        <v>62.71</v>
      </c>
      <c r="AB19" s="104">
        <v>878200</v>
      </c>
      <c r="AC19" s="9">
        <v>62.71</v>
      </c>
      <c r="AD19" s="2">
        <f t="shared" si="0"/>
        <v>1.240000000000002</v>
      </c>
      <c r="AE19" s="138">
        <f t="shared" si="1"/>
        <v>-7.9101408005062268E-3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42580</v>
      </c>
      <c r="X20" s="41">
        <v>63.7</v>
      </c>
      <c r="Y20" s="41">
        <v>63.89</v>
      </c>
      <c r="Z20" s="41">
        <v>63.18</v>
      </c>
      <c r="AA20" s="41">
        <v>63.21</v>
      </c>
      <c r="AB20" s="104">
        <v>981800</v>
      </c>
      <c r="AC20" s="9">
        <v>63.21</v>
      </c>
      <c r="AD20" s="2">
        <f t="shared" si="0"/>
        <v>0.71000000000000085</v>
      </c>
      <c r="AE20" s="138">
        <f t="shared" si="1"/>
        <v>-5.5066079295154058E-3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42579</v>
      </c>
      <c r="X21" s="41">
        <v>63.74</v>
      </c>
      <c r="Y21" s="41">
        <v>64.22</v>
      </c>
      <c r="Z21" s="41">
        <v>63.48</v>
      </c>
      <c r="AA21" s="41">
        <v>63.56</v>
      </c>
      <c r="AB21" s="104">
        <v>792100</v>
      </c>
      <c r="AC21" s="9">
        <v>63.56</v>
      </c>
      <c r="AD21" s="2">
        <f t="shared" si="0"/>
        <v>0.74000000000000199</v>
      </c>
      <c r="AE21" s="138">
        <f t="shared" si="1"/>
        <v>-1.4139827179889819E-3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42578</v>
      </c>
      <c r="X22" s="41">
        <v>63.41</v>
      </c>
      <c r="Y22" s="41">
        <v>64.099999999999994</v>
      </c>
      <c r="Z22" s="41">
        <v>63.29</v>
      </c>
      <c r="AA22" s="41">
        <v>63.65</v>
      </c>
      <c r="AB22" s="104">
        <v>1232100</v>
      </c>
      <c r="AC22" s="9">
        <v>63.65</v>
      </c>
      <c r="AD22" s="2">
        <f t="shared" si="0"/>
        <v>0.80999999999999517</v>
      </c>
      <c r="AE22" s="138">
        <f t="shared" si="1"/>
        <v>5.0528975209220839E-3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42577</v>
      </c>
      <c r="X23" s="41">
        <v>64.400000000000006</v>
      </c>
      <c r="Y23" s="41">
        <v>64.73</v>
      </c>
      <c r="Z23" s="41">
        <v>62.67</v>
      </c>
      <c r="AA23" s="41">
        <v>63.33</v>
      </c>
      <c r="AB23" s="104">
        <v>1708100</v>
      </c>
      <c r="AC23" s="9">
        <v>63.33</v>
      </c>
      <c r="AD23" s="2">
        <f t="shared" si="0"/>
        <v>2.0600000000000023</v>
      </c>
      <c r="AE23" s="138">
        <f t="shared" si="1"/>
        <v>-2.2057665038600627E-3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42576</v>
      </c>
      <c r="X24" s="41">
        <v>63.02</v>
      </c>
      <c r="Y24" s="41">
        <v>63.54</v>
      </c>
      <c r="Z24" s="41">
        <v>62.7</v>
      </c>
      <c r="AA24" s="41">
        <v>63.47</v>
      </c>
      <c r="AB24" s="104">
        <v>2205500</v>
      </c>
      <c r="AC24" s="9">
        <v>63.47</v>
      </c>
      <c r="AD24" s="2">
        <f t="shared" si="0"/>
        <v>0.83999999999999631</v>
      </c>
      <c r="AE24" s="138">
        <f t="shared" si="1"/>
        <v>2.2106426654033839E-3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42573</v>
      </c>
      <c r="X25" s="41">
        <v>63.17</v>
      </c>
      <c r="Y25" s="41">
        <v>63.38</v>
      </c>
      <c r="Z25" s="41">
        <v>62.77</v>
      </c>
      <c r="AA25" s="41">
        <v>63.33</v>
      </c>
      <c r="AB25" s="104">
        <v>736700</v>
      </c>
      <c r="AC25" s="9">
        <v>63.33</v>
      </c>
      <c r="AD25" s="2">
        <f t="shared" si="0"/>
        <v>0.60999999999999943</v>
      </c>
      <c r="AE25" s="138">
        <f t="shared" si="1"/>
        <v>5.8767471410419159E-3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42572</v>
      </c>
      <c r="X26" s="41">
        <v>63.31</v>
      </c>
      <c r="Y26" s="41">
        <v>63.57</v>
      </c>
      <c r="Z26" s="41">
        <v>62.53</v>
      </c>
      <c r="AA26" s="41">
        <v>62.96</v>
      </c>
      <c r="AB26" s="104">
        <v>810400</v>
      </c>
      <c r="AC26" s="9">
        <v>62.96</v>
      </c>
      <c r="AD26" s="2">
        <f t="shared" si="0"/>
        <v>1.0399999999999991</v>
      </c>
      <c r="AE26" s="138">
        <f t="shared" si="1"/>
        <v>-1.0529624391010572E-2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42571</v>
      </c>
      <c r="X27" s="41">
        <v>62.43</v>
      </c>
      <c r="Y27" s="41">
        <v>63.77</v>
      </c>
      <c r="Z27" s="41">
        <v>62.35</v>
      </c>
      <c r="AA27" s="41">
        <v>63.63</v>
      </c>
      <c r="AB27" s="104">
        <v>1184700</v>
      </c>
      <c r="AC27" s="9">
        <v>63.63</v>
      </c>
      <c r="AD27" s="2">
        <f t="shared" si="0"/>
        <v>1.4200000000000017</v>
      </c>
      <c r="AE27" s="138">
        <f t="shared" si="1"/>
        <v>1.6778523489932917E-2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42570</v>
      </c>
      <c r="X28" s="41">
        <v>62.3</v>
      </c>
      <c r="Y28" s="41">
        <v>62.7</v>
      </c>
      <c r="Z28" s="41">
        <v>62.14</v>
      </c>
      <c r="AA28" s="41">
        <v>62.58</v>
      </c>
      <c r="AB28" s="104">
        <v>1092300</v>
      </c>
      <c r="AC28" s="9">
        <v>62.58</v>
      </c>
      <c r="AD28" s="2">
        <f t="shared" si="0"/>
        <v>0.56000000000000227</v>
      </c>
      <c r="AE28" s="138">
        <f t="shared" si="1"/>
        <v>-2.2321428571429047E-3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42569</v>
      </c>
      <c r="X29" s="41">
        <v>62.08</v>
      </c>
      <c r="Y29" s="41">
        <v>62.88</v>
      </c>
      <c r="Z29" s="41">
        <v>62.04</v>
      </c>
      <c r="AA29" s="41">
        <v>62.72</v>
      </c>
      <c r="AB29" s="104">
        <v>782300</v>
      </c>
      <c r="AC29" s="9">
        <v>62.72</v>
      </c>
      <c r="AD29" s="2">
        <f t="shared" si="0"/>
        <v>0.84000000000000341</v>
      </c>
      <c r="AE29" s="138">
        <f t="shared" si="1"/>
        <v>6.9031947343072275E-3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42566</v>
      </c>
      <c r="X30" s="41">
        <v>62.52</v>
      </c>
      <c r="Y30" s="41">
        <v>62.85</v>
      </c>
      <c r="Z30" s="41">
        <v>62.01</v>
      </c>
      <c r="AA30" s="41">
        <v>62.29</v>
      </c>
      <c r="AB30" s="104">
        <v>633400</v>
      </c>
      <c r="AC30" s="9">
        <v>62.29</v>
      </c>
      <c r="AD30" s="2">
        <f t="shared" si="0"/>
        <v>0.84000000000000341</v>
      </c>
      <c r="AE30" s="138">
        <f t="shared" si="1"/>
        <v>-2.2425116130065925E-3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42565</v>
      </c>
      <c r="X31" s="41">
        <v>62.26</v>
      </c>
      <c r="Y31" s="41">
        <v>62.89</v>
      </c>
      <c r="Z31" s="41">
        <v>62.1</v>
      </c>
      <c r="AA31" s="41">
        <v>62.43</v>
      </c>
      <c r="AB31" s="104">
        <v>985900</v>
      </c>
      <c r="AC31" s="9">
        <v>62.43</v>
      </c>
      <c r="AD31" s="2">
        <f t="shared" si="0"/>
        <v>0.78999999999999915</v>
      </c>
      <c r="AE31" s="138">
        <f t="shared" si="1"/>
        <v>1.1339705167665581E-2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42564</v>
      </c>
      <c r="X32" s="41">
        <v>61.29</v>
      </c>
      <c r="Y32" s="41">
        <v>62.03</v>
      </c>
      <c r="Z32" s="41">
        <v>60.88</v>
      </c>
      <c r="AA32" s="41">
        <v>61.73</v>
      </c>
      <c r="AB32" s="104">
        <v>963500</v>
      </c>
      <c r="AC32" s="9">
        <v>61.73</v>
      </c>
      <c r="AD32" s="2">
        <f t="shared" si="0"/>
        <v>1.1499999999999986</v>
      </c>
      <c r="AE32" s="138">
        <f t="shared" si="1"/>
        <v>8.8249714005557145E-3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42563</v>
      </c>
      <c r="X33" s="41">
        <v>60.71</v>
      </c>
      <c r="Y33" s="41">
        <v>61.39</v>
      </c>
      <c r="Z33" s="41">
        <v>60</v>
      </c>
      <c r="AA33" s="41">
        <v>61.19</v>
      </c>
      <c r="AB33" s="104">
        <v>1162500</v>
      </c>
      <c r="AC33" s="9">
        <v>61.19</v>
      </c>
      <c r="AD33" s="2">
        <f t="shared" si="0"/>
        <v>1.3900000000000006</v>
      </c>
      <c r="AE33" s="138">
        <f t="shared" si="1"/>
        <v>2.7885099949605197E-2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42562</v>
      </c>
      <c r="X34" s="41">
        <v>59.91</v>
      </c>
      <c r="Y34" s="41">
        <v>60.2</v>
      </c>
      <c r="Z34" s="41">
        <v>59.51</v>
      </c>
      <c r="AA34" s="41">
        <v>59.53</v>
      </c>
      <c r="AB34" s="104">
        <v>1145200</v>
      </c>
      <c r="AC34" s="9">
        <v>59.53</v>
      </c>
      <c r="AD34" s="2">
        <f t="shared" si="0"/>
        <v>0.69000000000000483</v>
      </c>
      <c r="AE34" s="138">
        <f t="shared" si="1"/>
        <v>-6.3428476047403537E-3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42559</v>
      </c>
      <c r="X35" s="41">
        <v>59.35</v>
      </c>
      <c r="Y35" s="41">
        <v>60.44</v>
      </c>
      <c r="Z35" s="41">
        <v>59.32</v>
      </c>
      <c r="AA35" s="41">
        <v>59.91</v>
      </c>
      <c r="AB35" s="104">
        <v>910700</v>
      </c>
      <c r="AC35" s="9">
        <v>59.91</v>
      </c>
      <c r="AD35" s="2">
        <f t="shared" si="0"/>
        <v>1.1199999999999974</v>
      </c>
      <c r="AE35" s="138">
        <f t="shared" si="1"/>
        <v>1.5423728813559245E-2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224</v>
      </c>
      <c r="M36" s="2">
        <f>K54+M54-F54</f>
        <v>121.94999999999982</v>
      </c>
      <c r="W36" s="123">
        <v>42558</v>
      </c>
      <c r="X36" s="41">
        <v>59.91</v>
      </c>
      <c r="Y36" s="41">
        <v>60</v>
      </c>
      <c r="Z36" s="41">
        <v>58.65</v>
      </c>
      <c r="AA36" s="41">
        <v>59</v>
      </c>
      <c r="AB36" s="104">
        <v>683500</v>
      </c>
      <c r="AC36" s="9">
        <v>59</v>
      </c>
      <c r="AD36" s="2">
        <f t="shared" si="0"/>
        <v>1.3500000000000014</v>
      </c>
      <c r="AE36" s="138">
        <f t="shared" si="1"/>
        <v>-6.3994610980128153E-3</v>
      </c>
    </row>
    <row r="37" spans="1:41" x14ac:dyDescent="0.25">
      <c r="A37" s="391" t="s">
        <v>1</v>
      </c>
      <c r="B37" s="391" t="s">
        <v>2</v>
      </c>
      <c r="C37" s="391" t="s">
        <v>4</v>
      </c>
      <c r="D37" s="392" t="s">
        <v>5</v>
      </c>
      <c r="E37" s="393" t="s">
        <v>94</v>
      </c>
      <c r="F37" s="393" t="s">
        <v>60</v>
      </c>
      <c r="G37" s="391" t="s">
        <v>3</v>
      </c>
      <c r="H37" s="391" t="s">
        <v>6</v>
      </c>
      <c r="I37" s="392" t="s">
        <v>7</v>
      </c>
      <c r="J37" s="393" t="s">
        <v>95</v>
      </c>
      <c r="K37" s="393" t="s">
        <v>61</v>
      </c>
      <c r="L37" s="22" t="s">
        <v>37</v>
      </c>
      <c r="M37" s="22" t="s">
        <v>38</v>
      </c>
      <c r="W37" s="123">
        <v>42557</v>
      </c>
      <c r="X37" s="41">
        <v>58.78</v>
      </c>
      <c r="Y37" s="41">
        <v>59.49</v>
      </c>
      <c r="Z37" s="41">
        <v>58.21</v>
      </c>
      <c r="AA37" s="41">
        <v>59.38</v>
      </c>
      <c r="AB37" s="104">
        <v>495000</v>
      </c>
      <c r="AC37" s="9">
        <v>59.38</v>
      </c>
      <c r="AD37" s="2">
        <f t="shared" si="0"/>
        <v>1.2800000000000011</v>
      </c>
      <c r="AE37" s="138">
        <f t="shared" si="1"/>
        <v>3.0405405405404817E-3</v>
      </c>
    </row>
    <row r="38" spans="1:41" x14ac:dyDescent="0.25">
      <c r="A38" s="394" t="s">
        <v>8</v>
      </c>
      <c r="B38" s="384">
        <v>42375</v>
      </c>
      <c r="C38" s="389">
        <v>40</v>
      </c>
      <c r="D38" s="390">
        <v>52.4</v>
      </c>
      <c r="E38" s="386">
        <v>0</v>
      </c>
      <c r="F38" s="386">
        <f>C38*D38+E38</f>
        <v>2096</v>
      </c>
      <c r="G38" s="384">
        <v>42416</v>
      </c>
      <c r="H38" s="389">
        <v>40</v>
      </c>
      <c r="I38" s="390">
        <v>55.45</v>
      </c>
      <c r="J38" s="386">
        <v>0.05</v>
      </c>
      <c r="K38" s="386">
        <f>H38*I38-J38</f>
        <v>2217.9499999999998</v>
      </c>
      <c r="L38" s="385"/>
      <c r="M38" s="385"/>
      <c r="W38" s="123">
        <v>42556</v>
      </c>
      <c r="X38" s="41">
        <v>59.46</v>
      </c>
      <c r="Y38" s="41">
        <v>60.23</v>
      </c>
      <c r="Z38" s="41">
        <v>59.04</v>
      </c>
      <c r="AA38" s="41">
        <v>59.2</v>
      </c>
      <c r="AB38" s="104">
        <v>962300</v>
      </c>
      <c r="AC38" s="9">
        <v>59.2</v>
      </c>
      <c r="AD38" s="2">
        <f t="shared" si="0"/>
        <v>1.1899999999999977</v>
      </c>
      <c r="AE38" s="138">
        <f t="shared" si="1"/>
        <v>-6.7521944631998565E-4</v>
      </c>
    </row>
    <row r="39" spans="1:41" x14ac:dyDescent="0.25">
      <c r="A39" s="395"/>
      <c r="B39" s="384"/>
      <c r="C39" s="389"/>
      <c r="D39" s="390"/>
      <c r="E39" s="386"/>
      <c r="F39" s="386"/>
      <c r="G39" s="384"/>
      <c r="H39" s="389"/>
      <c r="I39" s="390"/>
      <c r="J39" s="386"/>
      <c r="K39" s="386"/>
      <c r="L39" s="385"/>
      <c r="M39" s="385"/>
      <c r="W39" s="123">
        <v>42552</v>
      </c>
      <c r="X39" s="41">
        <v>59.29</v>
      </c>
      <c r="Y39" s="41">
        <v>59.56</v>
      </c>
      <c r="Z39" s="41">
        <v>58.99</v>
      </c>
      <c r="AA39" s="41">
        <v>59.24</v>
      </c>
      <c r="AB39" s="104">
        <v>345900</v>
      </c>
      <c r="AC39" s="9">
        <v>59.24</v>
      </c>
      <c r="AD39" s="2">
        <f t="shared" si="0"/>
        <v>0.57000000000000028</v>
      </c>
      <c r="AE39" s="138">
        <f t="shared" si="1"/>
        <v>3.0477480528277034E-3</v>
      </c>
    </row>
    <row r="40" spans="1:41" x14ac:dyDescent="0.25">
      <c r="A40" s="385"/>
      <c r="B40" s="384"/>
      <c r="C40" s="389"/>
      <c r="D40" s="390"/>
      <c r="E40" s="386"/>
      <c r="F40" s="386"/>
      <c r="G40" s="384"/>
      <c r="H40" s="389"/>
      <c r="I40" s="390"/>
      <c r="J40" s="386"/>
      <c r="K40" s="386"/>
      <c r="L40" s="385"/>
      <c r="M40" s="385"/>
      <c r="W40" s="123">
        <v>42551</v>
      </c>
      <c r="X40" s="41">
        <v>58.73</v>
      </c>
      <c r="Y40" s="41">
        <v>59.21</v>
      </c>
      <c r="Z40" s="41">
        <v>58.01</v>
      </c>
      <c r="AA40" s="41">
        <v>59.06</v>
      </c>
      <c r="AB40" s="104">
        <v>928600</v>
      </c>
      <c r="AC40" s="9">
        <v>59.06</v>
      </c>
      <c r="AD40" s="2">
        <f t="shared" si="0"/>
        <v>1.2000000000000028</v>
      </c>
      <c r="AE40" s="138">
        <f t="shared" si="1"/>
        <v>9.2276144907723623E-3</v>
      </c>
    </row>
    <row r="41" spans="1:41" x14ac:dyDescent="0.25">
      <c r="A41" s="385"/>
      <c r="B41" s="384"/>
      <c r="C41" s="389"/>
      <c r="D41" s="390"/>
      <c r="E41" s="386"/>
      <c r="F41" s="386"/>
      <c r="G41" s="384"/>
      <c r="H41" s="389"/>
      <c r="I41" s="390"/>
      <c r="J41" s="386"/>
      <c r="K41" s="386"/>
      <c r="L41" s="385"/>
      <c r="M41" s="385"/>
      <c r="W41" s="123">
        <v>42550</v>
      </c>
      <c r="X41" s="41">
        <v>57.86</v>
      </c>
      <c r="Y41" s="41">
        <v>58.64</v>
      </c>
      <c r="Z41" s="41">
        <v>57.46</v>
      </c>
      <c r="AA41" s="41">
        <v>58.52</v>
      </c>
      <c r="AB41" s="104">
        <v>1097100</v>
      </c>
      <c r="AC41" s="9">
        <v>58.52</v>
      </c>
      <c r="AD41" s="2">
        <f t="shared" si="0"/>
        <v>1.1799999999999997</v>
      </c>
      <c r="AE41" s="138">
        <f t="shared" si="1"/>
        <v>1.7562163102069261E-2</v>
      </c>
      <c r="AL41" s="234"/>
      <c r="AO41" s="234"/>
    </row>
    <row r="42" spans="1:41" ht="20.25" thickBot="1" x14ac:dyDescent="0.35">
      <c r="A42" s="385"/>
      <c r="B42" s="384"/>
      <c r="C42" s="389"/>
      <c r="D42" s="390"/>
      <c r="E42" s="386"/>
      <c r="F42" s="386"/>
      <c r="G42" s="384"/>
      <c r="H42" s="389"/>
      <c r="I42" s="390"/>
      <c r="J42" s="386"/>
      <c r="K42" s="386"/>
      <c r="L42" s="385"/>
      <c r="M42" s="385"/>
      <c r="O42" s="378" t="s">
        <v>78</v>
      </c>
      <c r="P42" s="378"/>
      <c r="T42" s="105" t="s">
        <v>92</v>
      </c>
      <c r="U42" s="109"/>
      <c r="W42" s="123">
        <v>42549</v>
      </c>
      <c r="X42" s="41">
        <v>56.99</v>
      </c>
      <c r="Y42" s="41">
        <v>57.69</v>
      </c>
      <c r="Z42" s="41">
        <v>56.51</v>
      </c>
      <c r="AA42" s="41">
        <v>57.51</v>
      </c>
      <c r="AB42" s="104">
        <v>988100</v>
      </c>
      <c r="AC42" s="9">
        <v>57.51</v>
      </c>
      <c r="AD42" s="2">
        <f t="shared" si="0"/>
        <v>1.1799999999999997</v>
      </c>
      <c r="AE42" s="138">
        <f t="shared" si="1"/>
        <v>1.9680851063829774E-2</v>
      </c>
    </row>
    <row r="43" spans="1:41" ht="15.75" thickTop="1" x14ac:dyDescent="0.25">
      <c r="A43" s="385"/>
      <c r="B43" s="384"/>
      <c r="C43" s="389"/>
      <c r="D43" s="390"/>
      <c r="E43" s="386"/>
      <c r="F43" s="386"/>
      <c r="G43" s="384"/>
      <c r="H43" s="389"/>
      <c r="I43" s="390"/>
      <c r="J43" s="386"/>
      <c r="K43" s="386"/>
      <c r="L43" s="385"/>
      <c r="M43" s="385"/>
      <c r="O43" s="83">
        <v>1.1000000000000001</v>
      </c>
      <c r="P43" s="83">
        <f t="shared" ref="P43:P63" si="2">O43*$Q$4</f>
        <v>71.456000000000003</v>
      </c>
      <c r="T43" s="139" t="s">
        <v>98</v>
      </c>
      <c r="U43" s="140">
        <v>65.16</v>
      </c>
      <c r="W43" s="123">
        <v>42548</v>
      </c>
      <c r="X43" s="41">
        <v>56.4</v>
      </c>
      <c r="Y43" s="41">
        <v>56.78</v>
      </c>
      <c r="Z43" s="41">
        <v>55.73</v>
      </c>
      <c r="AA43" s="41">
        <v>56.4</v>
      </c>
      <c r="AB43" s="104">
        <v>1199600</v>
      </c>
      <c r="AC43" s="9">
        <v>56.4</v>
      </c>
      <c r="AD43" s="2">
        <f t="shared" si="0"/>
        <v>1.0500000000000043</v>
      </c>
      <c r="AE43" s="138">
        <f t="shared" si="1"/>
        <v>-1.0699877214523812E-2</v>
      </c>
    </row>
    <row r="44" spans="1:41" x14ac:dyDescent="0.25">
      <c r="A44" s="385"/>
      <c r="B44" s="384"/>
      <c r="C44" s="389"/>
      <c r="D44" s="390"/>
      <c r="E44" s="386"/>
      <c r="F44" s="386"/>
      <c r="G44" s="384"/>
      <c r="H44" s="389"/>
      <c r="I44" s="390"/>
      <c r="J44" s="386"/>
      <c r="K44" s="386"/>
      <c r="L44" s="385"/>
      <c r="M44" s="385"/>
      <c r="O44" s="83">
        <v>1.0900000000000001</v>
      </c>
      <c r="P44" s="83">
        <f t="shared" si="2"/>
        <v>70.806399999999996</v>
      </c>
      <c r="T44" s="108" t="s">
        <v>99</v>
      </c>
      <c r="U44" s="106">
        <v>64.95</v>
      </c>
      <c r="W44" s="123">
        <v>42545</v>
      </c>
      <c r="X44" s="41">
        <v>57.19</v>
      </c>
      <c r="Y44" s="41">
        <v>58.11</v>
      </c>
      <c r="Z44" s="41">
        <v>56.85</v>
      </c>
      <c r="AA44" s="41">
        <v>57.01</v>
      </c>
      <c r="AB44" s="104">
        <v>1140600</v>
      </c>
      <c r="AC44" s="9">
        <v>57.01</v>
      </c>
      <c r="AD44" s="2">
        <f t="shared" si="0"/>
        <v>1.259999999999998</v>
      </c>
      <c r="AE44" s="138">
        <f t="shared" si="1"/>
        <v>-4.3135280295401146E-2</v>
      </c>
    </row>
    <row r="45" spans="1:41" x14ac:dyDescent="0.25">
      <c r="A45" s="385"/>
      <c r="B45" s="385"/>
      <c r="C45" s="385"/>
      <c r="D45" s="390"/>
      <c r="E45" s="386"/>
      <c r="F45" s="386"/>
      <c r="G45" s="385"/>
      <c r="H45" s="385"/>
      <c r="I45" s="390"/>
      <c r="J45" s="386"/>
      <c r="K45" s="386"/>
      <c r="L45" s="385"/>
      <c r="M45" s="385"/>
      <c r="O45" s="83">
        <v>1.08</v>
      </c>
      <c r="P45" s="83">
        <f t="shared" si="2"/>
        <v>70.156800000000004</v>
      </c>
      <c r="Q45" s="2"/>
      <c r="T45" s="108" t="s">
        <v>100</v>
      </c>
      <c r="U45" s="106" t="s">
        <v>454</v>
      </c>
      <c r="W45" s="123">
        <v>42544</v>
      </c>
      <c r="X45" s="41">
        <v>59.7</v>
      </c>
      <c r="Y45" s="41">
        <v>60.07</v>
      </c>
      <c r="Z45" s="41">
        <v>59.42</v>
      </c>
      <c r="AA45" s="41">
        <v>59.58</v>
      </c>
      <c r="AB45" s="104">
        <v>580600</v>
      </c>
      <c r="AC45" s="9">
        <v>59.58</v>
      </c>
      <c r="AD45" s="2">
        <f t="shared" si="0"/>
        <v>0.64999999999999858</v>
      </c>
      <c r="AE45" s="138">
        <f t="shared" si="1"/>
        <v>9.4883090477804188E-3</v>
      </c>
      <c r="AL45" s="234"/>
      <c r="AO45" s="234"/>
    </row>
    <row r="46" spans="1:41" x14ac:dyDescent="0.25">
      <c r="A46" s="385"/>
      <c r="B46" s="385"/>
      <c r="C46" s="385"/>
      <c r="D46" s="390"/>
      <c r="E46" s="386"/>
      <c r="F46" s="386"/>
      <c r="G46" s="385"/>
      <c r="H46" s="385"/>
      <c r="I46" s="390"/>
      <c r="J46" s="386"/>
      <c r="K46" s="386"/>
      <c r="L46" s="385"/>
      <c r="M46" s="385"/>
      <c r="O46" s="83">
        <v>1.07</v>
      </c>
      <c r="P46" s="83">
        <f t="shared" si="2"/>
        <v>69.507199999999997</v>
      </c>
      <c r="Q46" s="2"/>
      <c r="T46" s="108" t="s">
        <v>101</v>
      </c>
      <c r="U46" s="106" t="s">
        <v>455</v>
      </c>
      <c r="W46" s="123">
        <v>42543</v>
      </c>
      <c r="X46" s="41">
        <v>58.11</v>
      </c>
      <c r="Y46" s="41">
        <v>59.1</v>
      </c>
      <c r="Z46" s="41">
        <v>58.11</v>
      </c>
      <c r="AA46" s="41">
        <v>59.02</v>
      </c>
      <c r="AB46" s="104">
        <v>695400</v>
      </c>
      <c r="AC46" s="9">
        <v>59.02</v>
      </c>
      <c r="AD46" s="2">
        <f t="shared" si="0"/>
        <v>0.99000000000000199</v>
      </c>
      <c r="AE46" s="138">
        <f t="shared" si="1"/>
        <v>1.0616438356164437E-2</v>
      </c>
    </row>
    <row r="47" spans="1:41" x14ac:dyDescent="0.25">
      <c r="A47" s="385"/>
      <c r="B47" s="385"/>
      <c r="C47" s="385"/>
      <c r="D47" s="390"/>
      <c r="E47" s="386"/>
      <c r="F47" s="386"/>
      <c r="G47" s="385"/>
      <c r="H47" s="385"/>
      <c r="I47" s="390"/>
      <c r="J47" s="386"/>
      <c r="K47" s="386"/>
      <c r="L47" s="385"/>
      <c r="M47" s="385"/>
      <c r="O47" s="83">
        <v>1.06</v>
      </c>
      <c r="P47" s="83">
        <f t="shared" si="2"/>
        <v>68.857599999999991</v>
      </c>
      <c r="Q47" s="2"/>
      <c r="T47" s="108" t="s">
        <v>102</v>
      </c>
      <c r="U47" s="106">
        <v>63.39</v>
      </c>
      <c r="W47" s="123">
        <v>42542</v>
      </c>
      <c r="X47" s="41">
        <v>57.92</v>
      </c>
      <c r="Y47" s="41">
        <v>58.9</v>
      </c>
      <c r="Z47" s="41">
        <v>57.54</v>
      </c>
      <c r="AA47" s="41">
        <v>58.4</v>
      </c>
      <c r="AB47" s="104">
        <v>1250600</v>
      </c>
      <c r="AC47" s="9">
        <v>58.4</v>
      </c>
      <c r="AD47" s="2">
        <f t="shared" si="0"/>
        <v>1.3599999999999994</v>
      </c>
      <c r="AE47" s="138">
        <f t="shared" si="1"/>
        <v>-8.6572738075029187E-3</v>
      </c>
    </row>
    <row r="48" spans="1:41" x14ac:dyDescent="0.25">
      <c r="A48" s="385"/>
      <c r="B48" s="385"/>
      <c r="C48" s="385"/>
      <c r="D48" s="390"/>
      <c r="E48" s="386"/>
      <c r="F48" s="386"/>
      <c r="G48" s="385"/>
      <c r="H48" s="385"/>
      <c r="I48" s="390"/>
      <c r="J48" s="386"/>
      <c r="K48" s="386"/>
      <c r="L48" s="385"/>
      <c r="M48" s="385"/>
      <c r="O48" s="83">
        <v>1.05</v>
      </c>
      <c r="P48" s="83">
        <f t="shared" si="2"/>
        <v>68.207999999999998</v>
      </c>
      <c r="Q48" s="2"/>
      <c r="T48" s="108" t="s">
        <v>103</v>
      </c>
      <c r="U48" s="106">
        <v>1.2538</v>
      </c>
      <c r="W48" s="123">
        <v>42541</v>
      </c>
      <c r="X48" s="41">
        <v>59.26</v>
      </c>
      <c r="Y48" s="41">
        <v>59.49</v>
      </c>
      <c r="Z48" s="41">
        <v>58.79</v>
      </c>
      <c r="AA48" s="41">
        <v>58.91</v>
      </c>
      <c r="AB48" s="104">
        <v>986900</v>
      </c>
      <c r="AC48" s="9">
        <v>58.91</v>
      </c>
      <c r="AD48" s="2">
        <f t="shared" si="0"/>
        <v>0.70000000000000284</v>
      </c>
      <c r="AE48" s="138">
        <f t="shared" si="1"/>
        <v>8.9056345264599823E-3</v>
      </c>
    </row>
    <row r="49" spans="1:42" x14ac:dyDescent="0.25">
      <c r="A49" s="385"/>
      <c r="B49" s="385"/>
      <c r="C49" s="385"/>
      <c r="D49" s="390"/>
      <c r="E49" s="386"/>
      <c r="F49" s="386"/>
      <c r="G49" s="385"/>
      <c r="H49" s="385"/>
      <c r="I49" s="390"/>
      <c r="J49" s="386"/>
      <c r="K49" s="386"/>
      <c r="L49" s="385"/>
      <c r="M49" s="385"/>
      <c r="O49" s="83">
        <v>1.04</v>
      </c>
      <c r="P49" s="83">
        <f t="shared" si="2"/>
        <v>67.558399999999992</v>
      </c>
      <c r="Q49" s="2"/>
      <c r="T49" s="108" t="s">
        <v>104</v>
      </c>
      <c r="U49" s="106" t="s">
        <v>130</v>
      </c>
      <c r="W49" s="123">
        <v>42538</v>
      </c>
      <c r="X49" s="41">
        <v>58.15</v>
      </c>
      <c r="Y49" s="41">
        <v>58.94</v>
      </c>
      <c r="Z49" s="41">
        <v>58.03</v>
      </c>
      <c r="AA49" s="41">
        <v>58.39</v>
      </c>
      <c r="AB49" s="104">
        <v>973500</v>
      </c>
      <c r="AC49" s="9">
        <v>58.39</v>
      </c>
      <c r="AD49" s="2">
        <f t="shared" si="0"/>
        <v>0.90999999999999659</v>
      </c>
      <c r="AE49" s="138">
        <f t="shared" si="1"/>
        <v>6.8977409898258735E-3</v>
      </c>
    </row>
    <row r="50" spans="1:42" x14ac:dyDescent="0.25">
      <c r="A50" s="385"/>
      <c r="B50" s="385"/>
      <c r="C50" s="385"/>
      <c r="D50" s="390"/>
      <c r="E50" s="386"/>
      <c r="F50" s="386"/>
      <c r="G50" s="385"/>
      <c r="H50" s="385"/>
      <c r="I50" s="390"/>
      <c r="J50" s="386"/>
      <c r="K50" s="386"/>
      <c r="L50" s="385"/>
      <c r="M50" s="385"/>
      <c r="O50" s="83">
        <v>1.03</v>
      </c>
      <c r="P50" s="83">
        <f t="shared" si="2"/>
        <v>66.908799999999999</v>
      </c>
      <c r="Q50" s="2"/>
      <c r="T50" s="108"/>
      <c r="U50" s="106"/>
      <c r="W50" s="123">
        <v>42537</v>
      </c>
      <c r="X50" s="41">
        <v>57.32</v>
      </c>
      <c r="Y50" s="41">
        <v>58.07</v>
      </c>
      <c r="Z50" s="41">
        <v>56.29</v>
      </c>
      <c r="AA50" s="41">
        <v>57.99</v>
      </c>
      <c r="AB50" s="104">
        <v>1628600</v>
      </c>
      <c r="AC50" s="9">
        <v>57.99</v>
      </c>
      <c r="AD50" s="2">
        <f t="shared" si="0"/>
        <v>1.7800000000000011</v>
      </c>
      <c r="AE50" s="138">
        <f t="shared" si="1"/>
        <v>-1.7214666896195885E-3</v>
      </c>
    </row>
    <row r="51" spans="1:42" x14ac:dyDescent="0.25">
      <c r="A51" s="385"/>
      <c r="B51" s="385"/>
      <c r="C51" s="385"/>
      <c r="D51" s="390"/>
      <c r="E51" s="386"/>
      <c r="F51" s="386"/>
      <c r="G51" s="385"/>
      <c r="H51" s="385"/>
      <c r="I51" s="390"/>
      <c r="J51" s="386"/>
      <c r="K51" s="386"/>
      <c r="L51" s="385"/>
      <c r="M51" s="385"/>
      <c r="O51" s="83">
        <v>1.02</v>
      </c>
      <c r="P51" s="83">
        <f t="shared" si="2"/>
        <v>66.259199999999993</v>
      </c>
      <c r="Q51" s="2"/>
      <c r="T51" s="108" t="s">
        <v>105</v>
      </c>
      <c r="U51" s="106" t="s">
        <v>456</v>
      </c>
      <c r="W51" s="123">
        <v>42536</v>
      </c>
      <c r="X51" s="41">
        <v>58.05</v>
      </c>
      <c r="Y51" s="41">
        <v>58.73</v>
      </c>
      <c r="Z51" s="41">
        <v>57.97</v>
      </c>
      <c r="AA51" s="41">
        <v>58.09</v>
      </c>
      <c r="AB51" s="104">
        <v>1086400</v>
      </c>
      <c r="AC51" s="9">
        <v>58.09</v>
      </c>
      <c r="AD51" s="2">
        <f t="shared" si="0"/>
        <v>0.75999999999999801</v>
      </c>
      <c r="AE51" s="138">
        <f>AC51/AC52-1</f>
        <v>-4.7969847524411691E-3</v>
      </c>
    </row>
    <row r="52" spans="1:42" x14ac:dyDescent="0.25">
      <c r="A52" s="385"/>
      <c r="B52" s="385"/>
      <c r="C52" s="385"/>
      <c r="D52" s="390"/>
      <c r="E52" s="386"/>
      <c r="F52" s="386"/>
      <c r="G52" s="385"/>
      <c r="H52" s="385"/>
      <c r="I52" s="390"/>
      <c r="J52" s="386"/>
      <c r="K52" s="386"/>
      <c r="L52" s="385"/>
      <c r="M52" s="385"/>
      <c r="O52" s="83">
        <v>1.01</v>
      </c>
      <c r="P52" s="83">
        <f t="shared" si="2"/>
        <v>65.6096</v>
      </c>
      <c r="Q52" s="2"/>
      <c r="T52" s="108" t="s">
        <v>106</v>
      </c>
      <c r="U52" s="106" t="s">
        <v>215</v>
      </c>
      <c r="W52" s="123">
        <v>42535</v>
      </c>
      <c r="X52" s="41">
        <v>58.31</v>
      </c>
      <c r="Y52" s="41">
        <v>58.75</v>
      </c>
      <c r="Z52" s="41">
        <v>58.11</v>
      </c>
      <c r="AA52" s="41">
        <v>58.37</v>
      </c>
      <c r="AB52" s="104">
        <v>728300</v>
      </c>
      <c r="AC52" s="9">
        <v>58.37</v>
      </c>
      <c r="AD52" s="2">
        <f t="shared" si="0"/>
        <v>0.64000000000000057</v>
      </c>
      <c r="AE52" s="138">
        <f t="shared" si="1"/>
        <v>-2.5632262474368783E-3</v>
      </c>
    </row>
    <row r="53" spans="1:42" x14ac:dyDescent="0.25">
      <c r="A53" s="385"/>
      <c r="B53" s="385"/>
      <c r="C53" s="385"/>
      <c r="D53" s="390"/>
      <c r="E53" s="386"/>
      <c r="F53" s="386"/>
      <c r="G53" s="385"/>
      <c r="H53" s="385"/>
      <c r="I53" s="390"/>
      <c r="J53" s="386"/>
      <c r="K53" s="386"/>
      <c r="L53" s="385"/>
      <c r="M53" s="385"/>
      <c r="O53" s="83">
        <v>1</v>
      </c>
      <c r="P53" s="83">
        <f t="shared" si="2"/>
        <v>64.959999999999994</v>
      </c>
      <c r="Q53" s="2"/>
      <c r="T53" s="108" t="s">
        <v>107</v>
      </c>
      <c r="U53" s="107">
        <v>501825</v>
      </c>
      <c r="W53" s="123">
        <v>42534</v>
      </c>
      <c r="X53" s="41">
        <v>58.86</v>
      </c>
      <c r="Y53" s="41">
        <v>59.02</v>
      </c>
      <c r="Z53" s="41">
        <v>58.41</v>
      </c>
      <c r="AA53" s="41">
        <v>58.52</v>
      </c>
      <c r="AB53" s="104">
        <v>1012900</v>
      </c>
      <c r="AC53" s="9">
        <v>58.52</v>
      </c>
      <c r="AD53" s="2">
        <f t="shared" si="0"/>
        <v>0.61000000000000654</v>
      </c>
      <c r="AE53" s="138">
        <f t="shared" si="1"/>
        <v>-1.1319479641831331E-2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64.310399999999987</v>
      </c>
      <c r="Q54" s="2"/>
      <c r="T54" s="108" t="s">
        <v>110</v>
      </c>
      <c r="U54" s="107">
        <v>904258</v>
      </c>
      <c r="W54" s="123">
        <v>42531</v>
      </c>
      <c r="X54" s="41">
        <v>59.7</v>
      </c>
      <c r="Y54" s="41">
        <v>59.94</v>
      </c>
      <c r="Z54" s="41">
        <v>58.93</v>
      </c>
      <c r="AA54" s="41">
        <v>59.19</v>
      </c>
      <c r="AB54" s="104">
        <v>753800</v>
      </c>
      <c r="AC54" s="9">
        <v>59.19</v>
      </c>
      <c r="AD54" s="2">
        <f t="shared" si="0"/>
        <v>1.009999999999998</v>
      </c>
      <c r="AE54" s="138">
        <f t="shared" si="1"/>
        <v>-1.6940707523667164E-2</v>
      </c>
    </row>
    <row r="55" spans="1:42" x14ac:dyDescent="0.25">
      <c r="O55" s="83">
        <v>0.98</v>
      </c>
      <c r="P55" s="83">
        <f t="shared" si="2"/>
        <v>63.660799999999995</v>
      </c>
      <c r="T55" s="108" t="s">
        <v>108</v>
      </c>
      <c r="U55" s="106" t="s">
        <v>457</v>
      </c>
      <c r="W55" s="123">
        <v>42530</v>
      </c>
      <c r="X55" s="41">
        <v>60.33</v>
      </c>
      <c r="Y55" s="41">
        <v>60.39</v>
      </c>
      <c r="Z55" s="41">
        <v>59.8</v>
      </c>
      <c r="AA55" s="41">
        <v>60.21</v>
      </c>
      <c r="AB55" s="104">
        <v>561900</v>
      </c>
      <c r="AC55" s="9">
        <v>60.21</v>
      </c>
      <c r="AD55" s="2">
        <f t="shared" si="0"/>
        <v>0.59000000000000341</v>
      </c>
      <c r="AE55" s="138">
        <f t="shared" si="1"/>
        <v>-8.3992094861660149E-3</v>
      </c>
    </row>
    <row r="56" spans="1:42" x14ac:dyDescent="0.25">
      <c r="O56" s="83">
        <v>0.97</v>
      </c>
      <c r="P56" s="83">
        <f t="shared" si="2"/>
        <v>63.011199999999995</v>
      </c>
      <c r="T56" s="108" t="s">
        <v>111</v>
      </c>
      <c r="U56" s="106">
        <v>18.57</v>
      </c>
      <c r="W56" s="123">
        <v>42529</v>
      </c>
      <c r="X56" s="41">
        <v>61.13</v>
      </c>
      <c r="Y56" s="41">
        <v>61.4</v>
      </c>
      <c r="Z56" s="41">
        <v>60.62</v>
      </c>
      <c r="AA56" s="41">
        <v>60.72</v>
      </c>
      <c r="AB56" s="104">
        <v>973700</v>
      </c>
      <c r="AC56" s="9">
        <v>60.72</v>
      </c>
      <c r="AD56" s="2">
        <f t="shared" si="0"/>
        <v>0.78000000000000114</v>
      </c>
      <c r="AE56" s="138">
        <f t="shared" si="1"/>
        <v>1.980198019801982E-3</v>
      </c>
    </row>
    <row r="57" spans="1:42" x14ac:dyDescent="0.25">
      <c r="O57" s="83">
        <v>0.96</v>
      </c>
      <c r="P57" s="83">
        <f t="shared" si="2"/>
        <v>62.361599999999989</v>
      </c>
      <c r="T57" s="108" t="s">
        <v>112</v>
      </c>
      <c r="U57" s="106">
        <v>3.5</v>
      </c>
      <c r="W57" s="123">
        <v>42528</v>
      </c>
      <c r="X57" s="41">
        <v>60.43</v>
      </c>
      <c r="Y57" s="41">
        <v>60.7</v>
      </c>
      <c r="Z57" s="41">
        <v>60.21</v>
      </c>
      <c r="AA57" s="41">
        <v>60.6</v>
      </c>
      <c r="AB57" s="104">
        <v>836200</v>
      </c>
      <c r="AC57" s="9">
        <v>60.6</v>
      </c>
      <c r="AD57" s="2">
        <f t="shared" si="0"/>
        <v>0.49000000000000199</v>
      </c>
      <c r="AE57" s="138" t="e">
        <f t="shared" si="1"/>
        <v>#DIV/0!</v>
      </c>
      <c r="AL57" s="234"/>
      <c r="AO57" s="234"/>
    </row>
    <row r="58" spans="1:42" x14ac:dyDescent="0.25">
      <c r="O58" s="83">
        <v>0.95</v>
      </c>
      <c r="P58" s="83">
        <f t="shared" si="2"/>
        <v>61.711999999999989</v>
      </c>
      <c r="T58" s="108" t="s">
        <v>109</v>
      </c>
      <c r="U58" s="106" t="s">
        <v>391</v>
      </c>
      <c r="W58" s="123">
        <v>42528</v>
      </c>
      <c r="X58" s="41" t="s">
        <v>250</v>
      </c>
      <c r="Y58" s="41"/>
      <c r="Z58" s="41"/>
      <c r="AA58" s="41"/>
      <c r="AB58" s="104"/>
      <c r="AC58" s="9"/>
      <c r="AD58" s="2">
        <f t="shared" si="0"/>
        <v>0</v>
      </c>
      <c r="AE58" s="138">
        <f t="shared" si="1"/>
        <v>-1</v>
      </c>
    </row>
    <row r="59" spans="1:42" x14ac:dyDescent="0.25">
      <c r="O59" s="83">
        <v>0.94</v>
      </c>
      <c r="P59" s="83">
        <f t="shared" si="2"/>
        <v>61.06239999999999</v>
      </c>
      <c r="W59" s="123">
        <v>42527</v>
      </c>
      <c r="X59" s="41">
        <v>60.11</v>
      </c>
      <c r="Y59" s="41">
        <v>60.6</v>
      </c>
      <c r="Z59" s="41">
        <v>59.93</v>
      </c>
      <c r="AA59" s="41">
        <v>60.42</v>
      </c>
      <c r="AB59" s="104">
        <v>613000</v>
      </c>
      <c r="AC59" s="9">
        <v>60.13</v>
      </c>
      <c r="AD59" s="2">
        <f t="shared" si="0"/>
        <v>0.67000000000000171</v>
      </c>
      <c r="AE59" s="138">
        <f t="shared" si="1"/>
        <v>7.5402144772118707E-3</v>
      </c>
      <c r="AL59" s="234"/>
    </row>
    <row r="60" spans="1:42" x14ac:dyDescent="0.25">
      <c r="O60" s="83">
        <v>0.93</v>
      </c>
      <c r="P60" s="83">
        <f t="shared" si="2"/>
        <v>60.412799999999997</v>
      </c>
      <c r="W60" s="123">
        <v>42524</v>
      </c>
      <c r="X60" s="41">
        <v>59.3</v>
      </c>
      <c r="Y60" s="41">
        <v>60.18</v>
      </c>
      <c r="Z60" s="41">
        <v>58.89</v>
      </c>
      <c r="AA60" s="41">
        <v>59.97</v>
      </c>
      <c r="AB60" s="104">
        <v>902400</v>
      </c>
      <c r="AC60" s="9">
        <v>59.68</v>
      </c>
      <c r="AD60" s="2">
        <f t="shared" si="0"/>
        <v>1.2899999999999991</v>
      </c>
      <c r="AE60" s="138">
        <f t="shared" si="1"/>
        <v>1.9299743808710579E-2</v>
      </c>
    </row>
    <row r="61" spans="1:42" x14ac:dyDescent="0.25">
      <c r="O61" s="83">
        <v>0.92</v>
      </c>
      <c r="P61" s="83">
        <f t="shared" si="2"/>
        <v>59.763199999999998</v>
      </c>
      <c r="W61" s="123">
        <v>42523</v>
      </c>
      <c r="X61" s="41">
        <v>58.69</v>
      </c>
      <c r="Y61" s="41">
        <v>59.12</v>
      </c>
      <c r="Z61" s="41">
        <v>58.63</v>
      </c>
      <c r="AA61" s="41">
        <v>58.84</v>
      </c>
      <c r="AB61" s="104">
        <v>648400</v>
      </c>
      <c r="AC61" s="9">
        <v>58.55</v>
      </c>
      <c r="AD61" s="2">
        <f t="shared" si="0"/>
        <v>0.48999999999999488</v>
      </c>
      <c r="AE61" s="138">
        <f t="shared" si="1"/>
        <v>-4.0823269263480233E-3</v>
      </c>
      <c r="AL61" s="234"/>
      <c r="AO61" s="234"/>
    </row>
    <row r="62" spans="1:42" x14ac:dyDescent="0.25">
      <c r="O62" s="83">
        <v>0.91</v>
      </c>
      <c r="P62" s="83">
        <f t="shared" si="2"/>
        <v>59.113599999999998</v>
      </c>
      <c r="W62" s="123">
        <v>42522</v>
      </c>
      <c r="X62" s="41">
        <v>59.18</v>
      </c>
      <c r="Y62" s="41">
        <v>59.22</v>
      </c>
      <c r="Z62" s="41">
        <v>58.56</v>
      </c>
      <c r="AA62" s="41">
        <v>59.08</v>
      </c>
      <c r="AB62" s="104">
        <v>1018500</v>
      </c>
      <c r="AC62" s="9">
        <v>58.79</v>
      </c>
      <c r="AD62" s="2">
        <f t="shared" si="0"/>
        <v>0.65999999999999659</v>
      </c>
      <c r="AE62" s="138">
        <f t="shared" si="1"/>
        <v>-3.5593220338983045E-3</v>
      </c>
    </row>
    <row r="63" spans="1:42" x14ac:dyDescent="0.25">
      <c r="O63" s="83">
        <v>0.9</v>
      </c>
      <c r="P63" s="83">
        <f t="shared" si="2"/>
        <v>58.463999999999999</v>
      </c>
      <c r="W63" s="123">
        <v>42521</v>
      </c>
      <c r="X63" s="41">
        <v>60.06</v>
      </c>
      <c r="Y63" s="41">
        <v>60.26</v>
      </c>
      <c r="Z63" s="41">
        <v>59.09</v>
      </c>
      <c r="AA63" s="41">
        <v>59.29</v>
      </c>
      <c r="AB63" s="104">
        <v>1063900</v>
      </c>
      <c r="AC63" s="9">
        <v>59</v>
      </c>
      <c r="AD63" s="2">
        <f t="shared" si="0"/>
        <v>1.1699999999999946</v>
      </c>
      <c r="AE63" s="138">
        <f t="shared" si="1"/>
        <v>-1.2056262558606812E-2</v>
      </c>
      <c r="AL63" s="234"/>
      <c r="AO63" s="234"/>
      <c r="AP63" s="234"/>
    </row>
    <row r="64" spans="1:42" x14ac:dyDescent="0.25">
      <c r="W64" s="123">
        <v>42517</v>
      </c>
      <c r="X64" s="41">
        <v>59.84</v>
      </c>
      <c r="Y64" s="41">
        <v>60.19</v>
      </c>
      <c r="Z64" s="41">
        <v>59.72</v>
      </c>
      <c r="AA64" s="41">
        <v>60.01</v>
      </c>
      <c r="AB64" s="104">
        <v>854900</v>
      </c>
      <c r="AC64" s="9">
        <v>59.72</v>
      </c>
      <c r="AD64" s="2">
        <f t="shared" si="0"/>
        <v>0.46999999999999886</v>
      </c>
      <c r="AE64" s="138">
        <f t="shared" si="1"/>
        <v>-3.8365304420351354E-3</v>
      </c>
    </row>
    <row r="65" spans="23:41" x14ac:dyDescent="0.25">
      <c r="W65" s="123">
        <v>42516</v>
      </c>
      <c r="X65" s="41">
        <v>59.68</v>
      </c>
      <c r="Y65" s="41">
        <v>60.4</v>
      </c>
      <c r="Z65" s="41">
        <v>59.4</v>
      </c>
      <c r="AA65" s="41">
        <v>60.24</v>
      </c>
      <c r="AB65" s="104">
        <v>1333400</v>
      </c>
      <c r="AC65" s="9">
        <v>59.95</v>
      </c>
      <c r="AD65" s="2">
        <f t="shared" si="0"/>
        <v>1</v>
      </c>
      <c r="AE65" s="138">
        <f t="shared" si="1"/>
        <v>1.8172554347826164E-2</v>
      </c>
      <c r="AL65" s="234"/>
      <c r="AO65" s="234"/>
    </row>
    <row r="66" spans="23:41" x14ac:dyDescent="0.25">
      <c r="W66" s="123">
        <v>42515</v>
      </c>
      <c r="X66" s="41">
        <v>58.38</v>
      </c>
      <c r="Y66" s="41">
        <v>59.31</v>
      </c>
      <c r="Z66" s="41">
        <v>58.37</v>
      </c>
      <c r="AA66" s="41">
        <v>59.17</v>
      </c>
      <c r="AB66" s="104">
        <v>1006500</v>
      </c>
      <c r="AC66" s="9">
        <v>58.88</v>
      </c>
      <c r="AD66" s="2">
        <f t="shared" si="0"/>
        <v>0.94000000000000483</v>
      </c>
      <c r="AE66" s="138">
        <f t="shared" si="1"/>
        <v>1.5697774711057599E-2</v>
      </c>
    </row>
    <row r="67" spans="23:41" x14ac:dyDescent="0.25">
      <c r="W67" s="123">
        <v>42514</v>
      </c>
      <c r="X67" s="41">
        <v>58.55</v>
      </c>
      <c r="Y67" s="41">
        <v>59.11</v>
      </c>
      <c r="Z67" s="41">
        <v>58.11</v>
      </c>
      <c r="AA67" s="41">
        <v>58.25</v>
      </c>
      <c r="AB67" s="104">
        <v>1389500</v>
      </c>
      <c r="AC67" s="9">
        <v>57.97</v>
      </c>
      <c r="AD67" s="2">
        <f>Y67-Z67</f>
        <v>1</v>
      </c>
      <c r="AE67" s="138">
        <f>AC67/AC68-1</f>
        <v>3.1147257310952803E-3</v>
      </c>
      <c r="AL67" s="234"/>
    </row>
    <row r="68" spans="23:41" x14ac:dyDescent="0.25">
      <c r="W68" s="123">
        <v>42513</v>
      </c>
      <c r="X68" s="41">
        <v>58.28</v>
      </c>
      <c r="Y68" s="41">
        <v>58.43</v>
      </c>
      <c r="Z68" s="41">
        <v>57.86</v>
      </c>
      <c r="AA68" s="41">
        <v>58.07</v>
      </c>
      <c r="AB68" s="104">
        <v>490800</v>
      </c>
      <c r="AC68" s="9">
        <v>57.79</v>
      </c>
      <c r="AD68" s="2">
        <f>Y68-Z68</f>
        <v>0.57000000000000028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7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7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291</v>
      </c>
      <c r="W2" s="94">
        <v>42606</v>
      </c>
      <c r="X2" s="10">
        <v>48.5</v>
      </c>
      <c r="Y2" s="10">
        <v>48.77</v>
      </c>
      <c r="Z2" s="10">
        <v>48.35</v>
      </c>
      <c r="AA2" s="10">
        <v>48.63</v>
      </c>
      <c r="AB2" s="95">
        <v>16229700</v>
      </c>
      <c r="AC2" s="10">
        <v>48.63</v>
      </c>
      <c r="AD2" s="2">
        <f>Y2-Z2</f>
        <v>0.42000000000000171</v>
      </c>
      <c r="AE2" s="138">
        <f>AC2/AC3-1</f>
        <v>4.5445155959513706E-3</v>
      </c>
    </row>
    <row r="3" spans="1:40" x14ac:dyDescent="0.25">
      <c r="A3" s="23" t="s">
        <v>71</v>
      </c>
      <c r="B3" s="47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77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0">
        <f>IF(Q2=0, Q4, (F18-K18-M18)/Q2)</f>
        <v>46.026249999999955</v>
      </c>
      <c r="T3" s="121"/>
      <c r="W3" s="94">
        <v>42605</v>
      </c>
      <c r="X3" s="10">
        <v>48.64</v>
      </c>
      <c r="Y3" s="10">
        <v>48.75</v>
      </c>
      <c r="Z3" s="10">
        <v>48.39</v>
      </c>
      <c r="AA3" s="10">
        <v>48.41</v>
      </c>
      <c r="AB3" s="95">
        <v>15430200</v>
      </c>
      <c r="AC3" s="10">
        <v>48.41</v>
      </c>
      <c r="AD3" s="2">
        <f>Y3-Z3</f>
        <v>0.35999999999999943</v>
      </c>
      <c r="AE3" s="138">
        <f>AC3/AC4-1</f>
        <v>-4.5239564055111758E-3</v>
      </c>
      <c r="AN3" s="234"/>
    </row>
    <row r="4" spans="1:40" x14ac:dyDescent="0.25">
      <c r="B4" s="47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77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48.63</v>
      </c>
      <c r="T4" s="121"/>
      <c r="W4" s="94">
        <v>42604</v>
      </c>
      <c r="X4" s="10">
        <v>48.64</v>
      </c>
      <c r="Y4" s="10">
        <v>48.74</v>
      </c>
      <c r="Z4" s="10">
        <v>48.5</v>
      </c>
      <c r="AA4" s="10">
        <v>48.63</v>
      </c>
      <c r="AB4" s="95">
        <v>9212600</v>
      </c>
      <c r="AC4" s="10">
        <v>48.63</v>
      </c>
      <c r="AD4" s="2">
        <f t="shared" ref="AD4:AD67" si="2">Y4-Z4</f>
        <v>0.24000000000000199</v>
      </c>
      <c r="AE4" s="138">
        <f t="shared" ref="AE4:AE67" si="3">AC4/AC5-1</f>
        <v>-4.1109969167518745E-4</v>
      </c>
      <c r="AK4" s="234"/>
      <c r="AN4" s="234"/>
    </row>
    <row r="5" spans="1:40" x14ac:dyDescent="0.25">
      <c r="B5" s="47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77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3890.4</v>
      </c>
      <c r="W5" s="94">
        <v>42601</v>
      </c>
      <c r="X5" s="10">
        <v>48.44</v>
      </c>
      <c r="Y5" s="10">
        <v>48.73</v>
      </c>
      <c r="Z5" s="10">
        <v>48.2</v>
      </c>
      <c r="AA5" s="10">
        <v>48.65</v>
      </c>
      <c r="AB5" s="95">
        <v>12557700</v>
      </c>
      <c r="AC5" s="10">
        <v>48.65</v>
      </c>
      <c r="AD5" s="2">
        <f t="shared" si="2"/>
        <v>0.52999999999999403</v>
      </c>
      <c r="AE5" s="138">
        <f t="shared" si="3"/>
        <v>2.4726973006388153E-3</v>
      </c>
      <c r="AK5" s="234"/>
      <c r="AN5" s="234"/>
    </row>
    <row r="6" spans="1:40" x14ac:dyDescent="0.25">
      <c r="B6" s="47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77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42600</v>
      </c>
      <c r="X6" s="10">
        <v>48.5</v>
      </c>
      <c r="Y6" s="10">
        <v>48.66</v>
      </c>
      <c r="Z6" s="10">
        <v>48.33</v>
      </c>
      <c r="AA6" s="10">
        <v>48.53</v>
      </c>
      <c r="AB6" s="95">
        <v>12189200</v>
      </c>
      <c r="AC6" s="10">
        <v>48.53</v>
      </c>
      <c r="AD6" s="2">
        <f t="shared" si="2"/>
        <v>0.32999999999999829</v>
      </c>
      <c r="AE6" s="138">
        <f t="shared" si="3"/>
        <v>-1.6457519029006162E-3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77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187</v>
      </c>
      <c r="P7"/>
      <c r="Q7" s="2">
        <f>Q10+Q8</f>
        <v>208.30000000000337</v>
      </c>
      <c r="R7">
        <v>80</v>
      </c>
      <c r="T7" s="85"/>
      <c r="W7" s="94">
        <v>42599</v>
      </c>
      <c r="X7" s="10">
        <v>48.37</v>
      </c>
      <c r="Y7" s="10">
        <v>48.66</v>
      </c>
      <c r="Z7" s="10">
        <v>48.31</v>
      </c>
      <c r="AA7" s="10">
        <v>48.61</v>
      </c>
      <c r="AB7" s="95">
        <v>13062900</v>
      </c>
      <c r="AC7" s="10">
        <v>48.61</v>
      </c>
      <c r="AD7" s="2">
        <f t="shared" si="2"/>
        <v>0.34999999999999432</v>
      </c>
      <c r="AE7" s="138">
        <f t="shared" si="3"/>
        <v>3.5094962840627186E-3</v>
      </c>
      <c r="AK7" s="234"/>
      <c r="AN7" s="234"/>
    </row>
    <row r="8" spans="1:40" x14ac:dyDescent="0.25">
      <c r="B8" s="477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77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190</v>
      </c>
      <c r="Q8" s="2">
        <f>K18+M18-F18+Q2*Q4</f>
        <v>208.30000000000337</v>
      </c>
      <c r="W8" s="94">
        <v>42598</v>
      </c>
      <c r="X8" s="10">
        <v>48.16</v>
      </c>
      <c r="Y8" s="10">
        <v>48.6</v>
      </c>
      <c r="Z8" s="10">
        <v>48.06</v>
      </c>
      <c r="AA8" s="10">
        <v>48.44</v>
      </c>
      <c r="AB8" s="95">
        <v>13957600</v>
      </c>
      <c r="AC8" s="10">
        <v>48.44</v>
      </c>
      <c r="AD8" s="2">
        <f t="shared" si="2"/>
        <v>0.53999999999999915</v>
      </c>
      <c r="AE8" s="138">
        <f t="shared" si="3"/>
        <v>3.5218562253986896E-3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225</v>
      </c>
      <c r="P9"/>
      <c r="Q9" s="138">
        <f>IF(Q2=0, 0, Q8/Q6)</f>
        <v>5.657097851769468E-2</v>
      </c>
      <c r="W9" s="94">
        <v>42597</v>
      </c>
      <c r="X9" s="10">
        <v>48.05</v>
      </c>
      <c r="Y9" s="10">
        <v>48.34</v>
      </c>
      <c r="Z9" s="10">
        <v>48.03</v>
      </c>
      <c r="AA9" s="10">
        <v>48.27</v>
      </c>
      <c r="AB9" s="95">
        <v>11758900</v>
      </c>
      <c r="AC9" s="10">
        <v>48.27</v>
      </c>
      <c r="AD9" s="2">
        <f t="shared" si="2"/>
        <v>0.31000000000000227</v>
      </c>
      <c r="AE9" s="138">
        <f t="shared" si="3"/>
        <v>7.724425887265296E-3</v>
      </c>
      <c r="AK9" s="234"/>
      <c r="AN9" s="234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224</v>
      </c>
      <c r="Q10" s="2">
        <v>0</v>
      </c>
      <c r="W10" s="94">
        <v>42594</v>
      </c>
      <c r="X10" s="10">
        <v>48.05</v>
      </c>
      <c r="Y10" s="10">
        <v>48.08</v>
      </c>
      <c r="Z10" s="10">
        <v>47.83</v>
      </c>
      <c r="AA10" s="10">
        <v>47.9</v>
      </c>
      <c r="AB10" s="95">
        <v>13227500</v>
      </c>
      <c r="AC10" s="10">
        <v>47.9</v>
      </c>
      <c r="AD10" s="2">
        <f t="shared" si="2"/>
        <v>0.25</v>
      </c>
      <c r="AE10" s="138">
        <f t="shared" si="3"/>
        <v>-7.0480928689884426E-3</v>
      </c>
    </row>
    <row r="11" spans="1:40" x14ac:dyDescent="0.25">
      <c r="O11" s="11" t="s">
        <v>184</v>
      </c>
      <c r="Q11" s="138">
        <f>IF(U58="N/A (N/A)", 0, VALUE(TRIM(CLEAN(MID(U58, FIND("(", U58)+1, 5)))))</f>
        <v>3.1199999999999999E-2</v>
      </c>
      <c r="W11" s="94">
        <v>42593</v>
      </c>
      <c r="X11" s="10">
        <v>48.23</v>
      </c>
      <c r="Y11" s="10">
        <v>48.5</v>
      </c>
      <c r="Z11" s="10">
        <v>47.92</v>
      </c>
      <c r="AA11" s="10">
        <v>48.24</v>
      </c>
      <c r="AB11" s="95">
        <v>14614100</v>
      </c>
      <c r="AC11" s="10">
        <v>48.24</v>
      </c>
      <c r="AD11" s="2">
        <f t="shared" si="2"/>
        <v>0.57999999999999829</v>
      </c>
      <c r="AE11" s="138">
        <f t="shared" si="3"/>
        <v>1.2453300124533051E-3</v>
      </c>
      <c r="AK11" s="234"/>
      <c r="AN11" s="234"/>
    </row>
    <row r="12" spans="1:40" x14ac:dyDescent="0.25">
      <c r="W12" s="94">
        <v>42592</v>
      </c>
      <c r="X12" s="10">
        <v>48.82</v>
      </c>
      <c r="Y12" s="10">
        <v>48.93</v>
      </c>
      <c r="Z12" s="10">
        <v>48.08</v>
      </c>
      <c r="AA12" s="10">
        <v>48.18</v>
      </c>
      <c r="AB12" s="95">
        <v>16782700</v>
      </c>
      <c r="AC12" s="10">
        <v>48.18</v>
      </c>
      <c r="AD12" s="2">
        <f t="shared" si="2"/>
        <v>0.85000000000000142</v>
      </c>
      <c r="AE12" s="138">
        <f t="shared" si="3"/>
        <v>-1.5328019619865074E-2</v>
      </c>
    </row>
    <row r="13" spans="1:40" x14ac:dyDescent="0.25">
      <c r="W13" s="94">
        <v>42591</v>
      </c>
      <c r="X13" s="10">
        <v>49.02</v>
      </c>
      <c r="Y13" s="10">
        <v>49.15</v>
      </c>
      <c r="Z13" s="10">
        <v>48.81</v>
      </c>
      <c r="AA13" s="10">
        <v>48.93</v>
      </c>
      <c r="AB13" s="95">
        <v>10449800</v>
      </c>
      <c r="AC13" s="10">
        <v>48.93</v>
      </c>
      <c r="AD13" s="2">
        <f t="shared" si="2"/>
        <v>0.33999999999999631</v>
      </c>
      <c r="AE13" s="138">
        <f t="shared" si="3"/>
        <v>4.0891433244749642E-4</v>
      </c>
      <c r="AK13" s="234"/>
      <c r="AN13" s="234"/>
    </row>
    <row r="14" spans="1:40" x14ac:dyDescent="0.25">
      <c r="T14" s="84"/>
      <c r="U14" s="11"/>
      <c r="W14" s="94">
        <v>42590</v>
      </c>
      <c r="X14" s="10">
        <v>48.78</v>
      </c>
      <c r="Y14" s="10">
        <v>49.05</v>
      </c>
      <c r="Z14" s="10">
        <v>48.74</v>
      </c>
      <c r="AA14" s="10">
        <v>48.91</v>
      </c>
      <c r="AB14" s="95">
        <v>14871600</v>
      </c>
      <c r="AC14" s="10">
        <v>48.91</v>
      </c>
      <c r="AD14" s="2">
        <f t="shared" si="2"/>
        <v>0.30999999999999517</v>
      </c>
      <c r="AE14" s="138">
        <f t="shared" si="3"/>
        <v>4.7247329498767421E-3</v>
      </c>
    </row>
    <row r="15" spans="1:40" x14ac:dyDescent="0.25">
      <c r="W15" s="94">
        <v>42587</v>
      </c>
      <c r="X15" s="10">
        <v>48.39</v>
      </c>
      <c r="Y15" s="10">
        <v>48.7</v>
      </c>
      <c r="Z15" s="10">
        <v>48.13</v>
      </c>
      <c r="AA15" s="10">
        <v>48.68</v>
      </c>
      <c r="AB15" s="95">
        <v>19064700</v>
      </c>
      <c r="AC15" s="10">
        <v>48.68</v>
      </c>
      <c r="AD15" s="2">
        <f t="shared" si="2"/>
        <v>0.57000000000000028</v>
      </c>
      <c r="AE15" s="138">
        <f t="shared" si="3"/>
        <v>1.7558528428093467E-2</v>
      </c>
      <c r="AK15" s="234"/>
      <c r="AN15" s="234"/>
    </row>
    <row r="16" spans="1:40" x14ac:dyDescent="0.25">
      <c r="W16" s="94">
        <v>42586</v>
      </c>
      <c r="X16" s="10">
        <v>47.6</v>
      </c>
      <c r="Y16" s="10">
        <v>48</v>
      </c>
      <c r="Z16" s="10">
        <v>47.57</v>
      </c>
      <c r="AA16" s="10">
        <v>47.84</v>
      </c>
      <c r="AB16" s="95">
        <v>14662600</v>
      </c>
      <c r="AC16" s="10">
        <v>47.84</v>
      </c>
      <c r="AD16" s="2">
        <f t="shared" si="2"/>
        <v>0.42999999999999972</v>
      </c>
      <c r="AE16" s="138">
        <f t="shared" si="3"/>
        <v>5.6758461215051792E-3</v>
      </c>
    </row>
    <row r="17" spans="1:40" x14ac:dyDescent="0.25">
      <c r="H17" s="72"/>
      <c r="W17" s="94">
        <v>42585</v>
      </c>
      <c r="X17" s="10">
        <v>47.33</v>
      </c>
      <c r="Y17" s="10">
        <v>47.64</v>
      </c>
      <c r="Z17" s="10">
        <v>47.33</v>
      </c>
      <c r="AA17" s="10">
        <v>47.57</v>
      </c>
      <c r="AB17" s="95">
        <v>14913500</v>
      </c>
      <c r="AC17" s="10">
        <v>47.57</v>
      </c>
      <c r="AD17" s="2">
        <f t="shared" si="2"/>
        <v>0.31000000000000227</v>
      </c>
      <c r="AE17" s="138" t="e">
        <f t="shared" si="3"/>
        <v>#DIV/0!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42585</v>
      </c>
      <c r="X18" s="10" t="s">
        <v>194</v>
      </c>
      <c r="Y18" s="10"/>
      <c r="Z18" s="10"/>
      <c r="AA18" s="10"/>
      <c r="AB18" s="95"/>
      <c r="AC18" s="10"/>
      <c r="AD18" s="2">
        <f t="shared" si="2"/>
        <v>0</v>
      </c>
      <c r="AE18" s="138">
        <f t="shared" si="3"/>
        <v>-1</v>
      </c>
    </row>
    <row r="19" spans="1:40" ht="15.75" thickBot="1" x14ac:dyDescent="0.3">
      <c r="A19" s="360" t="s">
        <v>204</v>
      </c>
      <c r="B19" s="361"/>
      <c r="C19" s="362">
        <f>SumByColor($A$19,C2:C17)</f>
        <v>200</v>
      </c>
      <c r="D19" s="362"/>
      <c r="E19" s="362"/>
      <c r="F19" s="363">
        <f>SumByColor($A$19,F2:F17)</f>
        <v>9848</v>
      </c>
      <c r="G19" s="362"/>
      <c r="H19" s="362">
        <f>SumByColor($A$19,H2:H17)</f>
        <v>200</v>
      </c>
      <c r="I19" s="362"/>
      <c r="J19" s="362"/>
      <c r="K19" s="363">
        <f>SumByColor($A$19,K2:K17)</f>
        <v>9959</v>
      </c>
      <c r="L19" s="362"/>
      <c r="M19" s="363">
        <f t="shared" ref="M19" si="4">SumByColor($A$19,M2:M17)</f>
        <v>0</v>
      </c>
      <c r="W19" s="94">
        <v>42584</v>
      </c>
      <c r="X19" s="10">
        <v>47.66</v>
      </c>
      <c r="Y19" s="10">
        <v>47.83</v>
      </c>
      <c r="Z19" s="10">
        <v>47.39</v>
      </c>
      <c r="AA19" s="10">
        <v>47.7</v>
      </c>
      <c r="AB19" s="95">
        <v>17033100</v>
      </c>
      <c r="AC19" s="10">
        <v>47.32</v>
      </c>
      <c r="AD19" s="2">
        <f t="shared" si="2"/>
        <v>0.43999999999999773</v>
      </c>
      <c r="AE19" s="138">
        <f t="shared" si="3"/>
        <v>-2.3192072527935537E-3</v>
      </c>
      <c r="AK19" s="234"/>
      <c r="AN19" s="234"/>
    </row>
    <row r="20" spans="1:40" x14ac:dyDescent="0.25">
      <c r="W20" s="94">
        <v>42583</v>
      </c>
      <c r="X20" s="10">
        <v>47.98</v>
      </c>
      <c r="Y20" s="10">
        <v>48.05</v>
      </c>
      <c r="Z20" s="10">
        <v>47.63</v>
      </c>
      <c r="AA20" s="10">
        <v>47.81</v>
      </c>
      <c r="AB20" s="95">
        <v>16026600</v>
      </c>
      <c r="AC20" s="10">
        <v>47.43</v>
      </c>
      <c r="AD20" s="2">
        <f t="shared" si="2"/>
        <v>0.4199999999999946</v>
      </c>
      <c r="AE20" s="138">
        <f t="shared" si="3"/>
        <v>-3.3620508510191494E-3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42580</v>
      </c>
      <c r="X21" s="10">
        <v>47.95</v>
      </c>
      <c r="Y21" s="10">
        <v>48.17</v>
      </c>
      <c r="Z21" s="10">
        <v>47.95</v>
      </c>
      <c r="AA21" s="10">
        <v>47.97</v>
      </c>
      <c r="AB21" s="95">
        <v>13111700</v>
      </c>
      <c r="AC21" s="10">
        <v>47.59</v>
      </c>
      <c r="AD21" s="2">
        <f t="shared" si="2"/>
        <v>0.21999999999999886</v>
      </c>
      <c r="AE21" s="138">
        <f t="shared" si="3"/>
        <v>-3.3507853403140775E-3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1">
        <f t="shared" ref="H22:H44" si="7">(E22-D22)/D22</f>
        <v>-1.9801980198020084E-3</v>
      </c>
      <c r="I22" s="40"/>
      <c r="W22" s="94">
        <v>42579</v>
      </c>
      <c r="X22" s="10">
        <v>47.94</v>
      </c>
      <c r="Y22" s="10">
        <v>48.22</v>
      </c>
      <c r="Z22" s="10">
        <v>47.68</v>
      </c>
      <c r="AA22" s="10">
        <v>48.13</v>
      </c>
      <c r="AB22" s="95">
        <v>12562600</v>
      </c>
      <c r="AC22" s="10">
        <v>47.75</v>
      </c>
      <c r="AD22" s="2">
        <f t="shared" si="2"/>
        <v>0.53999999999999915</v>
      </c>
      <c r="AE22" s="138">
        <f t="shared" si="3"/>
        <v>2.7299454010920599E-3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1">
        <f t="shared" si="7"/>
        <v>-5.74257425742574E-2</v>
      </c>
      <c r="I23" s="40"/>
      <c r="W23" s="94">
        <v>42578</v>
      </c>
      <c r="X23" s="10">
        <v>47.95</v>
      </c>
      <c r="Y23" s="10">
        <v>48.22</v>
      </c>
      <c r="Z23" s="10">
        <v>47.78</v>
      </c>
      <c r="AA23" s="10">
        <v>48</v>
      </c>
      <c r="AB23" s="95">
        <v>17886800</v>
      </c>
      <c r="AC23" s="10">
        <v>47.62</v>
      </c>
      <c r="AD23" s="2">
        <f t="shared" si="2"/>
        <v>0.43999999999999773</v>
      </c>
      <c r="AE23" s="138">
        <f t="shared" si="3"/>
        <v>6.303845345658754E-4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1">
        <f t="shared" si="7"/>
        <v>-2.8029925187032442E-2</v>
      </c>
      <c r="I24" s="40" t="s">
        <v>192</v>
      </c>
      <c r="W24" s="94">
        <v>42577</v>
      </c>
      <c r="X24" s="10">
        <v>48.03</v>
      </c>
      <c r="Y24" s="10">
        <v>48.17</v>
      </c>
      <c r="Z24" s="10">
        <v>47.8</v>
      </c>
      <c r="AA24" s="10">
        <v>47.97</v>
      </c>
      <c r="AB24" s="95">
        <v>16130100</v>
      </c>
      <c r="AC24" s="10">
        <v>47.59</v>
      </c>
      <c r="AD24" s="2">
        <f t="shared" si="2"/>
        <v>0.37000000000000455</v>
      </c>
      <c r="AE24" s="138">
        <f t="shared" si="3"/>
        <v>-3.1420192710515105E-3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1">
        <f t="shared" si="7"/>
        <v>-1.1072319201995006E-2</v>
      </c>
      <c r="I25" s="40"/>
      <c r="W25" s="94">
        <v>42576</v>
      </c>
      <c r="X25" s="10">
        <v>48.24</v>
      </c>
      <c r="Y25" s="10">
        <v>48.26</v>
      </c>
      <c r="Z25" s="10">
        <v>47.85</v>
      </c>
      <c r="AA25" s="10">
        <v>48.12</v>
      </c>
      <c r="AB25" s="95">
        <v>12122200</v>
      </c>
      <c r="AC25" s="10">
        <v>47.74</v>
      </c>
      <c r="AD25" s="2">
        <f t="shared" si="2"/>
        <v>0.40999999999999659</v>
      </c>
      <c r="AE25" s="138">
        <f t="shared" si="3"/>
        <v>-4.1718815185647351E-3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1">
        <f t="shared" si="7"/>
        <v>-2.6633416458852886E-2</v>
      </c>
      <c r="I26" s="40"/>
      <c r="W26" s="94">
        <v>42573</v>
      </c>
      <c r="X26" s="10">
        <v>48.32</v>
      </c>
      <c r="Y26" s="10">
        <v>48.36</v>
      </c>
      <c r="Z26" s="10">
        <v>48.1</v>
      </c>
      <c r="AA26" s="10">
        <v>48.32</v>
      </c>
      <c r="AB26" s="95">
        <v>13588500</v>
      </c>
      <c r="AC26" s="10">
        <v>47.94</v>
      </c>
      <c r="AD26" s="2">
        <f t="shared" si="2"/>
        <v>0.25999999999999801</v>
      </c>
      <c r="AE26" s="138">
        <f t="shared" si="3"/>
        <v>4.1736227045063856E-4</v>
      </c>
    </row>
    <row r="27" spans="1:40" x14ac:dyDescent="0.25">
      <c r="B27" s="193">
        <v>42444</v>
      </c>
      <c r="C27" s="283">
        <v>40</v>
      </c>
      <c r="D27" s="284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1">
        <f t="shared" si="7"/>
        <v>-2.8927680798005611E-3</v>
      </c>
      <c r="I27" s="40"/>
      <c r="W27" s="94">
        <v>42572</v>
      </c>
      <c r="X27" s="10">
        <v>48.65</v>
      </c>
      <c r="Y27" s="10">
        <v>48.81</v>
      </c>
      <c r="Z27" s="10">
        <v>48.29</v>
      </c>
      <c r="AA27" s="10">
        <v>48.3</v>
      </c>
      <c r="AB27" s="95">
        <v>15532000</v>
      </c>
      <c r="AC27" s="10">
        <v>47.92</v>
      </c>
      <c r="AD27" s="2">
        <f t="shared" si="2"/>
        <v>0.52000000000000313</v>
      </c>
      <c r="AE27" s="138">
        <f t="shared" si="3"/>
        <v>-6.2214848610534501E-3</v>
      </c>
    </row>
    <row r="28" spans="1:40" x14ac:dyDescent="0.25">
      <c r="B28" s="193">
        <v>42466</v>
      </c>
      <c r="C28" s="430">
        <v>80</v>
      </c>
      <c r="D28" s="212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1">
        <f t="shared" si="7"/>
        <v>-1.3794164401825536E-2</v>
      </c>
      <c r="I28" s="40"/>
      <c r="W28" s="94">
        <v>42571</v>
      </c>
      <c r="X28" s="10">
        <v>48.59</v>
      </c>
      <c r="Y28" s="10">
        <v>48.69</v>
      </c>
      <c r="Z28" s="10">
        <v>48.4</v>
      </c>
      <c r="AA28" s="10">
        <v>48.61</v>
      </c>
      <c r="AB28" s="95">
        <v>16569900</v>
      </c>
      <c r="AC28" s="10">
        <v>48.22</v>
      </c>
      <c r="AD28" s="2">
        <f t="shared" si="2"/>
        <v>0.28999999999999915</v>
      </c>
      <c r="AE28" s="138">
        <f t="shared" si="3"/>
        <v>5.002084201750856E-3</v>
      </c>
    </row>
    <row r="29" spans="1:40" x14ac:dyDescent="0.25">
      <c r="B29" s="193">
        <v>42469</v>
      </c>
      <c r="C29" s="283">
        <v>80</v>
      </c>
      <c r="D29" s="284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1">
        <f t="shared" si="7"/>
        <v>-3.451105071534788E-2</v>
      </c>
      <c r="I29" s="40"/>
      <c r="W29" s="94">
        <v>42570</v>
      </c>
      <c r="X29" s="10">
        <v>48.08</v>
      </c>
      <c r="Y29" s="10">
        <v>48.55</v>
      </c>
      <c r="Z29" s="10">
        <v>48.05</v>
      </c>
      <c r="AA29" s="10">
        <v>48.37</v>
      </c>
      <c r="AB29" s="95">
        <v>15982900</v>
      </c>
      <c r="AC29" s="10">
        <v>47.98</v>
      </c>
      <c r="AD29" s="2">
        <f t="shared" si="2"/>
        <v>0.5</v>
      </c>
      <c r="AE29" s="138">
        <f t="shared" si="3"/>
        <v>1.670146137787043E-3</v>
      </c>
    </row>
    <row r="30" spans="1:40" x14ac:dyDescent="0.25">
      <c r="B30" s="193">
        <v>42473</v>
      </c>
      <c r="C30" s="283">
        <v>40</v>
      </c>
      <c r="D30" s="284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1">
        <f t="shared" si="7"/>
        <v>8.9307761955717477E-3</v>
      </c>
      <c r="I30" s="40"/>
      <c r="W30" s="94">
        <v>42569</v>
      </c>
      <c r="X30" s="10">
        <v>47.81</v>
      </c>
      <c r="Y30" s="10">
        <v>48.33</v>
      </c>
      <c r="Z30" s="10">
        <v>47.78</v>
      </c>
      <c r="AA30" s="10">
        <v>48.28</v>
      </c>
      <c r="AB30" s="95">
        <v>24139200</v>
      </c>
      <c r="AC30" s="10">
        <v>47.9</v>
      </c>
      <c r="AD30" s="2">
        <f t="shared" si="2"/>
        <v>0.54999999999999716</v>
      </c>
      <c r="AE30" s="138">
        <f t="shared" si="3"/>
        <v>1.2043101626875163E-2</v>
      </c>
    </row>
    <row r="31" spans="1:40" x14ac:dyDescent="0.25">
      <c r="B31" s="193">
        <v>42474</v>
      </c>
      <c r="C31" s="283">
        <v>80</v>
      </c>
      <c r="D31" s="284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1">
        <f t="shared" si="7"/>
        <v>4.4675025219772044E-3</v>
      </c>
      <c r="I31" s="40"/>
      <c r="W31" s="94">
        <v>42566</v>
      </c>
      <c r="X31" s="10">
        <v>48.85</v>
      </c>
      <c r="Y31" s="10">
        <v>48.88</v>
      </c>
      <c r="Z31" s="10">
        <v>47.41</v>
      </c>
      <c r="AA31" s="10">
        <v>47.71</v>
      </c>
      <c r="AB31" s="95">
        <v>35121000</v>
      </c>
      <c r="AC31" s="10">
        <v>47.33</v>
      </c>
      <c r="AD31" s="2">
        <f t="shared" si="2"/>
        <v>1.470000000000006</v>
      </c>
      <c r="AE31" s="138">
        <f t="shared" si="3"/>
        <v>-2.5128733264675573E-2</v>
      </c>
    </row>
    <row r="32" spans="1:40" x14ac:dyDescent="0.25">
      <c r="B32" s="193">
        <v>42484</v>
      </c>
      <c r="C32" s="283">
        <v>80</v>
      </c>
      <c r="D32" s="284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1">
        <f t="shared" si="7"/>
        <v>4.214275420501095E-2</v>
      </c>
      <c r="I32" s="40"/>
      <c r="W32" s="94">
        <v>42565</v>
      </c>
      <c r="X32" s="10">
        <v>49.05</v>
      </c>
      <c r="Y32" s="10">
        <v>49.15</v>
      </c>
      <c r="Z32" s="10">
        <v>48.67</v>
      </c>
      <c r="AA32" s="10">
        <v>48.94</v>
      </c>
      <c r="AB32" s="95">
        <v>17578400</v>
      </c>
      <c r="AC32" s="10">
        <v>48.55</v>
      </c>
      <c r="AD32" s="2">
        <f t="shared" si="2"/>
        <v>0.47999999999999687</v>
      </c>
      <c r="AE32" s="138">
        <f t="shared" si="3"/>
        <v>1.3781582793902514E-2</v>
      </c>
    </row>
    <row r="33" spans="2:31" x14ac:dyDescent="0.25">
      <c r="B33" s="193">
        <v>42487</v>
      </c>
      <c r="C33" s="283">
        <v>40</v>
      </c>
      <c r="D33" s="284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1">
        <f t="shared" si="7"/>
        <v>0.10271347207484251</v>
      </c>
      <c r="I33" s="40"/>
      <c r="W33" s="94">
        <v>42564</v>
      </c>
      <c r="X33" s="10">
        <v>48.31</v>
      </c>
      <c r="Y33" s="10">
        <v>48.47</v>
      </c>
      <c r="Z33" s="10">
        <v>47.98</v>
      </c>
      <c r="AA33" s="10">
        <v>48.27</v>
      </c>
      <c r="AB33" s="95">
        <v>14389600</v>
      </c>
      <c r="AC33" s="10">
        <v>47.89</v>
      </c>
      <c r="AD33" s="2">
        <f t="shared" si="2"/>
        <v>0.49000000000000199</v>
      </c>
      <c r="AE33" s="138">
        <f t="shared" si="3"/>
        <v>-1.4595496246871953E-3</v>
      </c>
    </row>
    <row r="34" spans="2:31" x14ac:dyDescent="0.25">
      <c r="B34" s="193">
        <v>42489</v>
      </c>
      <c r="C34" s="283">
        <v>80</v>
      </c>
      <c r="D34" s="284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1">
        <f t="shared" si="7"/>
        <v>3.9225674987264349E-2</v>
      </c>
      <c r="I34" s="40"/>
      <c r="W34" s="94">
        <v>42563</v>
      </c>
      <c r="X34" s="10">
        <v>48.42</v>
      </c>
      <c r="Y34" s="10">
        <v>48.63</v>
      </c>
      <c r="Z34" s="10">
        <v>48.22</v>
      </c>
      <c r="AA34" s="10">
        <v>48.35</v>
      </c>
      <c r="AB34" s="95">
        <v>15067900</v>
      </c>
      <c r="AC34" s="10">
        <v>47.96</v>
      </c>
      <c r="AD34" s="2">
        <f t="shared" si="2"/>
        <v>0.41000000000000369</v>
      </c>
      <c r="AE34" s="138">
        <f t="shared" si="3"/>
        <v>5.4507337526203958E-3</v>
      </c>
    </row>
    <row r="35" spans="2:31" x14ac:dyDescent="0.25">
      <c r="B35" s="193">
        <v>42502</v>
      </c>
      <c r="C35" s="430">
        <v>80</v>
      </c>
      <c r="D35" s="212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1">
        <f t="shared" si="7"/>
        <v>2.3007267094305967E-2</v>
      </c>
      <c r="I35" s="40"/>
      <c r="W35" s="94">
        <v>42562</v>
      </c>
      <c r="X35" s="10">
        <v>48.1</v>
      </c>
      <c r="Y35" s="10">
        <v>48.45</v>
      </c>
      <c r="Z35" s="10">
        <v>47.94</v>
      </c>
      <c r="AA35" s="10">
        <v>48.08</v>
      </c>
      <c r="AB35" s="95">
        <v>16008700</v>
      </c>
      <c r="AC35" s="10">
        <v>47.7</v>
      </c>
      <c r="AD35" s="2">
        <f t="shared" si="2"/>
        <v>0.51000000000000512</v>
      </c>
      <c r="AE35" s="138">
        <f t="shared" si="3"/>
        <v>6.1168529846025166E-3</v>
      </c>
    </row>
    <row r="36" spans="2:31" x14ac:dyDescent="0.25">
      <c r="B36" s="193">
        <v>42503</v>
      </c>
      <c r="C36" s="283">
        <v>110</v>
      </c>
      <c r="D36" s="284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1">
        <f t="shared" si="7"/>
        <v>1.678009247233617E-2</v>
      </c>
      <c r="I36" s="40"/>
      <c r="W36" s="94">
        <v>42559</v>
      </c>
      <c r="X36" s="10">
        <v>47.45</v>
      </c>
      <c r="Y36" s="10">
        <v>47.92</v>
      </c>
      <c r="Z36" s="10">
        <v>47.45</v>
      </c>
      <c r="AA36" s="10">
        <v>47.79</v>
      </c>
      <c r="AB36" s="95">
        <v>19775700</v>
      </c>
      <c r="AC36" s="10">
        <v>47.41</v>
      </c>
      <c r="AD36" s="2">
        <f t="shared" si="2"/>
        <v>0.46999999999999886</v>
      </c>
      <c r="AE36" s="138">
        <f t="shared" si="3"/>
        <v>2.1107042860219583E-2</v>
      </c>
    </row>
    <row r="37" spans="2:31" x14ac:dyDescent="0.25">
      <c r="B37" s="193">
        <v>42506</v>
      </c>
      <c r="C37" s="283">
        <v>110</v>
      </c>
      <c r="D37" s="284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1">
        <f t="shared" si="7"/>
        <v>3.0546724019700679E-3</v>
      </c>
      <c r="I37" s="40"/>
      <c r="W37" s="94">
        <v>42558</v>
      </c>
      <c r="X37" s="10">
        <v>46.58</v>
      </c>
      <c r="Y37" s="10">
        <v>47.22</v>
      </c>
      <c r="Z37" s="10">
        <v>46.44</v>
      </c>
      <c r="AA37" s="10">
        <v>46.8</v>
      </c>
      <c r="AB37" s="95">
        <v>17946200</v>
      </c>
      <c r="AC37" s="10">
        <v>46.43</v>
      </c>
      <c r="AD37" s="2">
        <f t="shared" si="2"/>
        <v>0.78000000000000114</v>
      </c>
      <c r="AE37" s="138">
        <f t="shared" si="3"/>
        <v>3.241140881590221E-3</v>
      </c>
    </row>
    <row r="38" spans="2:31" x14ac:dyDescent="0.25">
      <c r="B38" s="193">
        <v>42507</v>
      </c>
      <c r="C38" s="480">
        <v>110</v>
      </c>
      <c r="D38" s="481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1">
        <f t="shared" si="7"/>
        <v>-1.0442100888357937E-2</v>
      </c>
      <c r="I38" s="40"/>
      <c r="W38" s="94">
        <v>42557</v>
      </c>
      <c r="X38" s="10">
        <v>45.89</v>
      </c>
      <c r="Y38" s="10">
        <v>46.66</v>
      </c>
      <c r="Z38" s="10">
        <v>45.7</v>
      </c>
      <c r="AA38" s="10">
        <v>46.65</v>
      </c>
      <c r="AB38" s="95">
        <v>19024100</v>
      </c>
      <c r="AC38" s="10">
        <v>46.28</v>
      </c>
      <c r="AD38" s="2">
        <f t="shared" si="2"/>
        <v>0.95999999999999375</v>
      </c>
      <c r="AE38" s="138">
        <f t="shared" si="3"/>
        <v>9.5986038394415552E-3</v>
      </c>
    </row>
    <row r="39" spans="2:31" ht="20.25" thickBot="1" x14ac:dyDescent="0.35">
      <c r="B39" s="193">
        <v>42514</v>
      </c>
      <c r="C39" s="283">
        <v>70</v>
      </c>
      <c r="D39" s="284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1">
        <f t="shared" si="7"/>
        <v>3.6749831422791632E-2</v>
      </c>
      <c r="I39" s="40"/>
      <c r="O39" s="11"/>
      <c r="P39" s="535" t="s">
        <v>78</v>
      </c>
      <c r="Q39" s="535"/>
      <c r="R39" s="34"/>
      <c r="W39" s="94">
        <v>42556</v>
      </c>
      <c r="X39" s="10">
        <v>46.7</v>
      </c>
      <c r="Y39" s="10">
        <v>46.76</v>
      </c>
      <c r="Z39" s="10">
        <v>45.81</v>
      </c>
      <c r="AA39" s="10">
        <v>46.21</v>
      </c>
      <c r="AB39" s="95">
        <v>22213000</v>
      </c>
      <c r="AC39" s="10">
        <v>45.84</v>
      </c>
      <c r="AD39" s="2">
        <f t="shared" si="2"/>
        <v>0.94999999999999574</v>
      </c>
      <c r="AE39" s="138">
        <f t="shared" si="3"/>
        <v>-1.7573939134161831E-2</v>
      </c>
    </row>
    <row r="40" spans="2:31" ht="15.75" thickTop="1" x14ac:dyDescent="0.25">
      <c r="B40" s="193">
        <v>42522</v>
      </c>
      <c r="C40" s="283">
        <v>50</v>
      </c>
      <c r="D40" s="284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1">
        <f t="shared" si="7"/>
        <v>0.10507293481369778</v>
      </c>
      <c r="I40" s="40"/>
      <c r="O40" s="2"/>
      <c r="P40" s="83">
        <v>1.1000000000000001</v>
      </c>
      <c r="Q40" s="83">
        <f>P40*$Q$4</f>
        <v>53.493000000000009</v>
      </c>
      <c r="R40" s="34"/>
      <c r="W40" s="94">
        <v>42552</v>
      </c>
      <c r="X40" s="10">
        <v>47.08</v>
      </c>
      <c r="Y40" s="10">
        <v>47.28</v>
      </c>
      <c r="Z40" s="10">
        <v>46.86</v>
      </c>
      <c r="AA40" s="10">
        <v>47.03</v>
      </c>
      <c r="AB40" s="95">
        <v>19013600</v>
      </c>
      <c r="AC40" s="10">
        <v>46.66</v>
      </c>
      <c r="AD40" s="2">
        <f t="shared" si="2"/>
        <v>0.42000000000000171</v>
      </c>
      <c r="AE40" s="138">
        <f t="shared" si="3"/>
        <v>-6.1767838125666996E-3</v>
      </c>
    </row>
    <row r="41" spans="2:31" x14ac:dyDescent="0.25">
      <c r="B41" s="193">
        <v>42524</v>
      </c>
      <c r="C41" s="430">
        <v>80</v>
      </c>
      <c r="D41" s="212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1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53.006700000000009</v>
      </c>
      <c r="R41" s="34"/>
      <c r="W41" s="94">
        <v>42551</v>
      </c>
      <c r="X41" s="10">
        <v>47.24</v>
      </c>
      <c r="Y41" s="10">
        <v>47.36</v>
      </c>
      <c r="Z41" s="10">
        <v>46.53</v>
      </c>
      <c r="AA41" s="10">
        <v>47.33</v>
      </c>
      <c r="AB41" s="95">
        <v>22538800</v>
      </c>
      <c r="AC41" s="10">
        <v>46.95</v>
      </c>
      <c r="AD41" s="2">
        <f t="shared" si="2"/>
        <v>0.82999999999999829</v>
      </c>
      <c r="AE41" s="138">
        <f t="shared" si="3"/>
        <v>7.5107296137340018E-3</v>
      </c>
    </row>
    <row r="42" spans="2:31" ht="20.25" thickBot="1" x14ac:dyDescent="0.35">
      <c r="B42" s="193">
        <v>42527</v>
      </c>
      <c r="C42" s="283">
        <v>50</v>
      </c>
      <c r="D42" s="284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1">
        <f t="shared" si="7"/>
        <v>0.11714909039415522</v>
      </c>
      <c r="I42" s="40"/>
      <c r="O42" s="2"/>
      <c r="P42" s="83">
        <v>1.08</v>
      </c>
      <c r="Q42" s="83">
        <f t="shared" si="8"/>
        <v>52.520400000000009</v>
      </c>
      <c r="R42" s="34"/>
      <c r="T42" s="91" t="s">
        <v>113</v>
      </c>
      <c r="W42" s="94">
        <v>42550</v>
      </c>
      <c r="X42" s="10">
        <v>46.63</v>
      </c>
      <c r="Y42" s="10">
        <v>46.99</v>
      </c>
      <c r="Z42" s="10">
        <v>46.15</v>
      </c>
      <c r="AA42" s="10">
        <v>46.97</v>
      </c>
      <c r="AB42" s="95">
        <v>20856400</v>
      </c>
      <c r="AC42" s="10">
        <v>46.6</v>
      </c>
      <c r="AD42" s="2">
        <f t="shared" si="2"/>
        <v>0.84000000000000341</v>
      </c>
      <c r="AE42" s="138">
        <f t="shared" si="3"/>
        <v>1.902471025584962E-2</v>
      </c>
    </row>
    <row r="43" spans="2:31" ht="15.75" thickTop="1" x14ac:dyDescent="0.25">
      <c r="B43" s="193">
        <v>42531</v>
      </c>
      <c r="C43" s="283">
        <v>80</v>
      </c>
      <c r="D43" s="284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1">
        <f t="shared" si="7"/>
        <v>4.0948869900771817E-2</v>
      </c>
      <c r="I43" s="40"/>
      <c r="O43" s="2"/>
      <c r="P43" s="83">
        <v>1.07</v>
      </c>
      <c r="Q43" s="83">
        <f t="shared" si="8"/>
        <v>52.034100000000002</v>
      </c>
      <c r="R43" s="83"/>
      <c r="T43" s="97" t="s">
        <v>98</v>
      </c>
      <c r="U43" s="98">
        <v>48.41</v>
      </c>
      <c r="W43" s="94">
        <v>42549</v>
      </c>
      <c r="X43" s="10">
        <v>45.89</v>
      </c>
      <c r="Y43" s="10">
        <v>46.11</v>
      </c>
      <c r="Z43" s="10">
        <v>45.34</v>
      </c>
      <c r="AA43" s="10">
        <v>46.1</v>
      </c>
      <c r="AB43" s="95">
        <v>27525700</v>
      </c>
      <c r="AC43" s="10">
        <v>45.73</v>
      </c>
      <c r="AD43" s="2">
        <f t="shared" si="2"/>
        <v>0.76999999999999602</v>
      </c>
      <c r="AE43" s="138">
        <f t="shared" si="3"/>
        <v>2.4188129899216149E-2</v>
      </c>
    </row>
    <row r="44" spans="2:31" x14ac:dyDescent="0.25">
      <c r="B44" s="193">
        <v>42535</v>
      </c>
      <c r="C44" s="283">
        <v>80</v>
      </c>
      <c r="D44" s="284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1">
        <f t="shared" si="7"/>
        <v>9.5180671002196501E-3</v>
      </c>
      <c r="I44" s="40"/>
      <c r="O44" s="2"/>
      <c r="P44" s="83">
        <v>1.06</v>
      </c>
      <c r="Q44" s="83">
        <f t="shared" si="8"/>
        <v>51.547800000000002</v>
      </c>
      <c r="R44" s="83"/>
      <c r="T44" s="87" t="s">
        <v>99</v>
      </c>
      <c r="U44" s="88">
        <v>48.5</v>
      </c>
      <c r="W44" s="94">
        <v>42548</v>
      </c>
      <c r="X44" s="10">
        <v>45.2</v>
      </c>
      <c r="Y44" s="10">
        <v>45.33</v>
      </c>
      <c r="Z44" s="10">
        <v>44.5</v>
      </c>
      <c r="AA44" s="10">
        <v>45.01</v>
      </c>
      <c r="AB44" s="95">
        <v>35030100</v>
      </c>
      <c r="AC44" s="10">
        <v>44.65</v>
      </c>
      <c r="AD44" s="2">
        <f t="shared" si="2"/>
        <v>0.82999999999999829</v>
      </c>
      <c r="AE44" s="138">
        <f t="shared" si="3"/>
        <v>-1.5435501653803807E-2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1">
        <f t="shared" ref="H45" si="11">(E45-D45)/D45</f>
        <v>-7.2785219001679866E-3</v>
      </c>
      <c r="I45" s="236">
        <v>45</v>
      </c>
      <c r="O45" s="2"/>
      <c r="P45" s="83">
        <v>1.05</v>
      </c>
      <c r="Q45" s="83">
        <f t="shared" si="8"/>
        <v>51.061500000000002</v>
      </c>
      <c r="R45" s="83"/>
      <c r="T45" s="87" t="s">
        <v>100</v>
      </c>
      <c r="U45" s="88" t="s">
        <v>567</v>
      </c>
      <c r="W45" s="94">
        <v>42545</v>
      </c>
      <c r="X45" s="10">
        <v>45.76</v>
      </c>
      <c r="Y45" s="10">
        <v>46.97</v>
      </c>
      <c r="Z45" s="10">
        <v>45.28</v>
      </c>
      <c r="AA45" s="10">
        <v>45.71</v>
      </c>
      <c r="AB45" s="95">
        <v>46744100</v>
      </c>
      <c r="AC45" s="10">
        <v>45.35</v>
      </c>
      <c r="AD45" s="2">
        <f t="shared" si="2"/>
        <v>1.6899999999999977</v>
      </c>
      <c r="AE45" s="138">
        <f t="shared" si="3"/>
        <v>-4.5865768988007538E-2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1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50.575200000000002</v>
      </c>
      <c r="R46" s="83"/>
      <c r="T46" s="87" t="s">
        <v>101</v>
      </c>
      <c r="U46" s="88" t="s">
        <v>568</v>
      </c>
      <c r="W46" s="94">
        <v>42544</v>
      </c>
      <c r="X46" s="10">
        <v>47.64</v>
      </c>
      <c r="Y46" s="10">
        <v>47.91</v>
      </c>
      <c r="Z46" s="10">
        <v>47.39</v>
      </c>
      <c r="AA46" s="10">
        <v>47.91</v>
      </c>
      <c r="AB46" s="95">
        <v>16270000</v>
      </c>
      <c r="AC46" s="10">
        <v>47.53</v>
      </c>
      <c r="AD46" s="2">
        <f t="shared" si="2"/>
        <v>0.51999999999999602</v>
      </c>
      <c r="AE46" s="138">
        <f t="shared" si="3"/>
        <v>1.9957081545064481E-2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1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50.088900000000002</v>
      </c>
      <c r="R47" s="83"/>
      <c r="T47" s="87" t="s">
        <v>102</v>
      </c>
      <c r="U47" s="88">
        <v>53</v>
      </c>
      <c r="W47" s="94">
        <v>42543</v>
      </c>
      <c r="X47" s="10">
        <v>47.15</v>
      </c>
      <c r="Y47" s="10">
        <v>47.58</v>
      </c>
      <c r="Z47" s="10">
        <v>46.93</v>
      </c>
      <c r="AA47" s="10">
        <v>46.97</v>
      </c>
      <c r="AB47" s="95">
        <v>17072100</v>
      </c>
      <c r="AC47" s="10">
        <v>46.6</v>
      </c>
      <c r="AD47" s="2">
        <f t="shared" si="2"/>
        <v>0.64999999999999858</v>
      </c>
      <c r="AE47" s="138">
        <f t="shared" si="3"/>
        <v>-5.3361792956243548E-3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1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49.602600000000002</v>
      </c>
      <c r="R48" s="83"/>
      <c r="T48" s="87" t="s">
        <v>103</v>
      </c>
      <c r="U48" s="88">
        <v>0.89766800000000002</v>
      </c>
      <c r="W48" s="94">
        <v>42542</v>
      </c>
      <c r="X48" s="10">
        <v>47.29</v>
      </c>
      <c r="Y48" s="10">
        <v>47.34</v>
      </c>
      <c r="Z48" s="10">
        <v>46.77</v>
      </c>
      <c r="AA48" s="10">
        <v>47.23</v>
      </c>
      <c r="AB48" s="95">
        <v>11731600</v>
      </c>
      <c r="AC48" s="10">
        <v>46.85</v>
      </c>
      <c r="AD48" s="2">
        <f t="shared" si="2"/>
        <v>0.57000000000000028</v>
      </c>
      <c r="AE48" s="138">
        <f t="shared" si="3"/>
        <v>6.2285223367697373E-3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1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49.116300000000003</v>
      </c>
      <c r="R49" s="83"/>
      <c r="T49" s="87" t="s">
        <v>104</v>
      </c>
      <c r="U49" s="89" t="s">
        <v>297</v>
      </c>
      <c r="W49" s="94">
        <v>42541</v>
      </c>
      <c r="X49" s="10">
        <v>47.49</v>
      </c>
      <c r="Y49" s="10">
        <v>47.9</v>
      </c>
      <c r="Z49" s="10">
        <v>46.92</v>
      </c>
      <c r="AA49" s="10">
        <v>46.93</v>
      </c>
      <c r="AB49" s="95">
        <v>19490100</v>
      </c>
      <c r="AC49" s="10">
        <v>46.56</v>
      </c>
      <c r="AD49" s="2">
        <f t="shared" si="2"/>
        <v>0.97999999999999687</v>
      </c>
      <c r="AE49" s="138">
        <f t="shared" si="3"/>
        <v>7.1382219338094188E-3</v>
      </c>
    </row>
    <row r="50" spans="2:31" x14ac:dyDescent="0.25">
      <c r="B50" s="193">
        <v>42566</v>
      </c>
      <c r="C50" s="480">
        <v>110</v>
      </c>
      <c r="D50" s="481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1">
        <f t="shared" si="23"/>
        <v>2.0541308286470369E-2</v>
      </c>
      <c r="I50" s="40" t="s">
        <v>292</v>
      </c>
      <c r="O50" s="2"/>
      <c r="P50" s="83">
        <v>1</v>
      </c>
      <c r="Q50" s="83">
        <f t="shared" si="8"/>
        <v>48.63</v>
      </c>
      <c r="R50" s="83"/>
      <c r="T50" s="87"/>
      <c r="U50" s="88"/>
      <c r="W50" s="94">
        <v>42538</v>
      </c>
      <c r="X50" s="10">
        <v>46.85</v>
      </c>
      <c r="Y50" s="10">
        <v>47</v>
      </c>
      <c r="Z50" s="10">
        <v>46.52</v>
      </c>
      <c r="AA50" s="10">
        <v>46.6</v>
      </c>
      <c r="AB50" s="95">
        <v>25661300</v>
      </c>
      <c r="AC50" s="10">
        <v>46.23</v>
      </c>
      <c r="AD50" s="2">
        <f t="shared" si="2"/>
        <v>0.47999999999999687</v>
      </c>
      <c r="AE50" s="138">
        <f t="shared" si="3"/>
        <v>-5.3786574870912096E-3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1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48.143700000000003</v>
      </c>
      <c r="R51" s="83"/>
      <c r="T51" s="87" t="s">
        <v>105</v>
      </c>
      <c r="U51" s="88" t="s">
        <v>569</v>
      </c>
      <c r="W51" s="94">
        <v>42537</v>
      </c>
      <c r="X51" s="10">
        <v>46.47</v>
      </c>
      <c r="Y51" s="10">
        <v>46.86</v>
      </c>
      <c r="Z51" s="10">
        <v>45.96</v>
      </c>
      <c r="AA51" s="10">
        <v>46.85</v>
      </c>
      <c r="AB51" s="95">
        <v>15619300</v>
      </c>
      <c r="AC51" s="10">
        <v>46.48</v>
      </c>
      <c r="AD51" s="2">
        <f t="shared" si="2"/>
        <v>0.89999999999999858</v>
      </c>
      <c r="AE51" s="138">
        <f t="shared" si="3"/>
        <v>1.5082956259426794E-3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1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47.657400000000003</v>
      </c>
      <c r="R52" s="83"/>
      <c r="T52" s="87" t="s">
        <v>106</v>
      </c>
      <c r="U52" s="88" t="s">
        <v>372</v>
      </c>
      <c r="W52" s="94">
        <v>42536</v>
      </c>
      <c r="X52" s="10">
        <v>47.27</v>
      </c>
      <c r="Y52" s="10">
        <v>47.56</v>
      </c>
      <c r="Z52" s="10">
        <v>46.74</v>
      </c>
      <c r="AA52" s="10">
        <v>46.78</v>
      </c>
      <c r="AB52" s="95">
        <v>20142000</v>
      </c>
      <c r="AC52" s="10">
        <v>46.41</v>
      </c>
      <c r="AD52" s="2">
        <f t="shared" si="2"/>
        <v>0.82000000000000028</v>
      </c>
      <c r="AE52" s="138">
        <f t="shared" si="3"/>
        <v>-2.1500752526338873E-3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1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47.171100000000003</v>
      </c>
      <c r="R53" s="83"/>
      <c r="T53" s="87" t="s">
        <v>107</v>
      </c>
      <c r="U53" s="90">
        <v>16315832</v>
      </c>
      <c r="W53" s="94">
        <v>42535</v>
      </c>
      <c r="X53" s="10">
        <v>47.86</v>
      </c>
      <c r="Y53" s="10">
        <v>48.12</v>
      </c>
      <c r="Z53" s="10">
        <v>46.51</v>
      </c>
      <c r="AA53" s="10">
        <v>46.88</v>
      </c>
      <c r="AB53" s="95">
        <v>25311700</v>
      </c>
      <c r="AC53" s="10">
        <v>46.51</v>
      </c>
      <c r="AD53" s="2">
        <f t="shared" si="2"/>
        <v>1.6099999999999994</v>
      </c>
      <c r="AE53" s="138">
        <f t="shared" si="3"/>
        <v>-2.2693843244379175E-2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1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46.684800000000003</v>
      </c>
      <c r="R54" s="83"/>
      <c r="T54" s="87" t="s">
        <v>110</v>
      </c>
      <c r="U54" s="90">
        <v>17832700</v>
      </c>
      <c r="W54" s="94">
        <v>42534</v>
      </c>
      <c r="X54" s="10">
        <v>48.13</v>
      </c>
      <c r="Y54" s="10">
        <v>48.51</v>
      </c>
      <c r="Z54" s="10">
        <v>47.96</v>
      </c>
      <c r="AA54" s="10">
        <v>47.97</v>
      </c>
      <c r="AB54" s="95">
        <v>16150100</v>
      </c>
      <c r="AC54" s="10">
        <v>47.59</v>
      </c>
      <c r="AD54" s="2">
        <f t="shared" si="2"/>
        <v>0.54999999999999716</v>
      </c>
      <c r="AE54" s="138">
        <f t="shared" si="3"/>
        <v>-7.5078206465067909E-3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1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46.198500000000003</v>
      </c>
      <c r="R55" s="83"/>
      <c r="T55" s="87" t="s">
        <v>108</v>
      </c>
      <c r="U55" s="88" t="s">
        <v>570</v>
      </c>
      <c r="W55" s="94">
        <v>42531</v>
      </c>
      <c r="X55" s="10">
        <v>48.49</v>
      </c>
      <c r="Y55" s="10">
        <v>48.71</v>
      </c>
      <c r="Z55" s="10">
        <v>48.17</v>
      </c>
      <c r="AA55" s="10">
        <v>48.34</v>
      </c>
      <c r="AB55" s="95">
        <v>16815300</v>
      </c>
      <c r="AC55" s="10">
        <v>47.95</v>
      </c>
      <c r="AD55" s="2">
        <f t="shared" si="2"/>
        <v>0.53999999999999915</v>
      </c>
      <c r="AE55" s="138">
        <f>AC55/AC56-1</f>
        <v>-1.6410256410256396E-2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1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45.712200000000003</v>
      </c>
      <c r="R56" s="83"/>
      <c r="T56" s="87" t="s">
        <v>111</v>
      </c>
      <c r="U56" s="88">
        <v>12.01</v>
      </c>
      <c r="W56" s="94">
        <v>42530</v>
      </c>
      <c r="X56" s="10">
        <v>49.65</v>
      </c>
      <c r="Y56" s="10">
        <v>49.68</v>
      </c>
      <c r="Z56" s="10">
        <v>48.85</v>
      </c>
      <c r="AA56" s="10">
        <v>49.14</v>
      </c>
      <c r="AB56" s="95">
        <v>19464400</v>
      </c>
      <c r="AC56" s="10">
        <v>48.75</v>
      </c>
      <c r="AD56" s="2">
        <f t="shared" si="2"/>
        <v>0.82999999999999829</v>
      </c>
      <c r="AE56" s="138">
        <f t="shared" si="3"/>
        <v>-1.7137096774193616E-2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1">
        <f t="shared" si="41"/>
        <v>5.2238206045752682E-2</v>
      </c>
      <c r="I57" s="40"/>
      <c r="O57" s="2"/>
      <c r="P57" s="83">
        <v>0.93</v>
      </c>
      <c r="Q57" s="83">
        <f t="shared" si="8"/>
        <v>45.225900000000003</v>
      </c>
      <c r="R57" s="83"/>
      <c r="T57" s="87" t="s">
        <v>112</v>
      </c>
      <c r="U57" s="88">
        <v>4.05</v>
      </c>
      <c r="W57" s="94">
        <v>42529</v>
      </c>
      <c r="X57" s="10">
        <v>50.25</v>
      </c>
      <c r="Y57" s="10">
        <v>50.44</v>
      </c>
      <c r="Z57" s="10">
        <v>49.74</v>
      </c>
      <c r="AA57" s="10">
        <v>50</v>
      </c>
      <c r="AB57" s="95">
        <v>18168500</v>
      </c>
      <c r="AC57" s="10">
        <v>49.6</v>
      </c>
      <c r="AD57" s="2">
        <f t="shared" si="2"/>
        <v>0.69999999999999574</v>
      </c>
      <c r="AE57" s="138">
        <f t="shared" si="3"/>
        <v>-5.4140765991577133E-3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2">C58*(E58-D58)</f>
        <v>200.31999999999982</v>
      </c>
      <c r="G58" s="40">
        <f t="shared" ref="G58" si="43">D58*C58</f>
        <v>3682.0800000000004</v>
      </c>
      <c r="H58" s="231">
        <f t="shared" ref="H58" si="44">(E58-D58)/D58</f>
        <v>5.4404032503367609E-2</v>
      </c>
      <c r="I58" s="40"/>
      <c r="O58" s="2"/>
      <c r="P58" s="83">
        <v>0.92</v>
      </c>
      <c r="Q58" s="83">
        <f t="shared" si="8"/>
        <v>44.739600000000003</v>
      </c>
      <c r="R58" s="83"/>
      <c r="T58" s="87" t="s">
        <v>109</v>
      </c>
      <c r="U58" s="88" t="s">
        <v>411</v>
      </c>
      <c r="W58" s="94">
        <v>42528</v>
      </c>
      <c r="X58" s="10">
        <v>50.73</v>
      </c>
      <c r="Y58" s="10">
        <v>50.73</v>
      </c>
      <c r="Z58" s="10">
        <v>50.27</v>
      </c>
      <c r="AA58" s="10">
        <v>50.27</v>
      </c>
      <c r="AB58" s="95">
        <v>15310100</v>
      </c>
      <c r="AC58" s="10">
        <v>49.87</v>
      </c>
      <c r="AD58" s="2">
        <f t="shared" si="2"/>
        <v>0.45999999999999375</v>
      </c>
      <c r="AE58" s="138">
        <f t="shared" si="3"/>
        <v>-4.392094230385446E-3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5">C59*(E59-D59)</f>
        <v>209.91999999999962</v>
      </c>
      <c r="G59" s="40">
        <f t="shared" ref="G59" si="46">D59*C59</f>
        <v>3682.0800000000004</v>
      </c>
      <c r="H59" s="231">
        <f t="shared" ref="H59" si="47">(E59-D59)/D59</f>
        <v>5.7011254508321278E-2</v>
      </c>
      <c r="I59" s="40"/>
      <c r="O59" s="2"/>
      <c r="P59" s="83">
        <v>0.91</v>
      </c>
      <c r="Q59" s="83">
        <f t="shared" si="8"/>
        <v>44.253300000000003</v>
      </c>
      <c r="R59" s="83"/>
      <c r="W59" s="94">
        <v>42527</v>
      </c>
      <c r="X59" s="10">
        <v>50.24</v>
      </c>
      <c r="Y59" s="10">
        <v>50.87</v>
      </c>
      <c r="Z59" s="10">
        <v>50.19</v>
      </c>
      <c r="AA59" s="10">
        <v>50.49</v>
      </c>
      <c r="AB59" s="95">
        <v>14528500</v>
      </c>
      <c r="AC59" s="10">
        <v>50.09</v>
      </c>
      <c r="AD59" s="2">
        <f t="shared" si="2"/>
        <v>0.67999999999999972</v>
      </c>
      <c r="AE59" s="138">
        <f t="shared" si="3"/>
        <v>6.025306286403076E-3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8">C60*(E60-D60)</f>
        <v>190.71999999999946</v>
      </c>
      <c r="G60" s="40">
        <f t="shared" ref="G60" si="49">D60*C60</f>
        <v>3682.0800000000004</v>
      </c>
      <c r="H60" s="231">
        <f t="shared" ref="H60" si="50">(E60-D60)/D60</f>
        <v>5.1796810498413788E-2</v>
      </c>
      <c r="I60" s="40"/>
      <c r="O60" s="2"/>
      <c r="P60" s="83">
        <v>0.9</v>
      </c>
      <c r="Q60" s="83">
        <f t="shared" si="8"/>
        <v>43.767000000000003</v>
      </c>
      <c r="R60" s="83"/>
      <c r="W60" s="94">
        <v>42524</v>
      </c>
      <c r="X60" s="10">
        <v>50.17</v>
      </c>
      <c r="Y60" s="10">
        <v>50.31</v>
      </c>
      <c r="Z60" s="10">
        <v>49.61</v>
      </c>
      <c r="AA60" s="10">
        <v>50.19</v>
      </c>
      <c r="AB60" s="95">
        <v>25452600</v>
      </c>
      <c r="AC60" s="10">
        <v>49.79</v>
      </c>
      <c r="AD60" s="2">
        <f t="shared" si="2"/>
        <v>0.70000000000000284</v>
      </c>
      <c r="AE60" s="138">
        <f t="shared" si="3"/>
        <v>-1.7948717948717996E-2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51">C61*(E61-D61)</f>
        <v>208.31999999999994</v>
      </c>
      <c r="G61" s="40">
        <f t="shared" ref="G61" si="52">D61*C61</f>
        <v>3682.0800000000004</v>
      </c>
      <c r="H61" s="231">
        <f t="shared" ref="H61" si="53">(E61-D61)/D61</f>
        <v>5.6576717507495738E-2</v>
      </c>
      <c r="I61" s="40"/>
      <c r="W61" s="94">
        <v>42523</v>
      </c>
      <c r="X61" s="10">
        <v>50.96</v>
      </c>
      <c r="Y61" s="10">
        <v>51.11</v>
      </c>
      <c r="Z61" s="10">
        <v>50.71</v>
      </c>
      <c r="AA61" s="10">
        <v>51.11</v>
      </c>
      <c r="AB61" s="95">
        <v>14206700</v>
      </c>
      <c r="AC61" s="10">
        <v>50.7</v>
      </c>
      <c r="AD61" s="2">
        <f t="shared" si="2"/>
        <v>0.39999999999999858</v>
      </c>
      <c r="AE61" s="138">
        <f t="shared" si="3"/>
        <v>2.1743427554852257E-3</v>
      </c>
    </row>
    <row r="62" spans="2:31" x14ac:dyDescent="0.25">
      <c r="B62" s="193"/>
      <c r="C62" s="10"/>
      <c r="D62" s="200"/>
      <c r="E62" s="40"/>
      <c r="F62" s="40"/>
      <c r="G62" s="40"/>
      <c r="H62" s="231"/>
      <c r="I62" s="40"/>
      <c r="W62" s="94">
        <v>42522</v>
      </c>
      <c r="X62" s="10">
        <v>50.26</v>
      </c>
      <c r="Y62" s="10">
        <v>51.04</v>
      </c>
      <c r="Z62" s="10">
        <v>50.17</v>
      </c>
      <c r="AA62" s="10">
        <v>51</v>
      </c>
      <c r="AB62" s="95">
        <v>16774300</v>
      </c>
      <c r="AC62" s="10">
        <v>50.59</v>
      </c>
      <c r="AD62" s="2">
        <f t="shared" si="2"/>
        <v>0.86999999999999744</v>
      </c>
      <c r="AE62" s="138">
        <f t="shared" si="3"/>
        <v>5.3656597774245363E-3</v>
      </c>
    </row>
    <row r="63" spans="2:31" x14ac:dyDescent="0.25">
      <c r="B63" s="193"/>
      <c r="C63" s="10"/>
      <c r="D63" s="200"/>
      <c r="E63" s="40"/>
      <c r="F63" s="40"/>
      <c r="G63" s="40"/>
      <c r="H63" s="231"/>
      <c r="I63" s="40"/>
      <c r="W63" s="94">
        <v>42521</v>
      </c>
      <c r="X63" s="10">
        <v>51.02</v>
      </c>
      <c r="Y63" s="10">
        <v>51.19</v>
      </c>
      <c r="Z63" s="10">
        <v>50.49</v>
      </c>
      <c r="AA63" s="10">
        <v>50.72</v>
      </c>
      <c r="AB63" s="95">
        <v>19725000</v>
      </c>
      <c r="AC63" s="10">
        <v>50.32</v>
      </c>
      <c r="AD63" s="2">
        <f t="shared" si="2"/>
        <v>0.69999999999999574</v>
      </c>
      <c r="AE63" s="138">
        <f t="shared" si="3"/>
        <v>-2.3790642347343294E-3</v>
      </c>
    </row>
    <row r="64" spans="2:31" x14ac:dyDescent="0.25">
      <c r="B64" s="193"/>
      <c r="C64" s="10"/>
      <c r="D64" s="200"/>
      <c r="E64" s="40"/>
      <c r="F64" s="40"/>
      <c r="G64" s="40"/>
      <c r="H64" s="231"/>
      <c r="I64" s="40"/>
      <c r="W64" s="94">
        <v>42517</v>
      </c>
      <c r="X64" s="10">
        <v>50.6</v>
      </c>
      <c r="Y64" s="10">
        <v>50.86</v>
      </c>
      <c r="Z64" s="10">
        <v>50.49</v>
      </c>
      <c r="AA64" s="10">
        <v>50.85</v>
      </c>
      <c r="AB64" s="95">
        <v>13430500</v>
      </c>
      <c r="AC64" s="10">
        <v>50.44</v>
      </c>
      <c r="AD64" s="2">
        <f t="shared" si="2"/>
        <v>0.36999999999999744</v>
      </c>
      <c r="AE64" s="138">
        <f t="shared" si="3"/>
        <v>5.7826520438684081E-3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42516</v>
      </c>
      <c r="X65" s="10">
        <v>50.52</v>
      </c>
      <c r="Y65" s="10">
        <v>50.66</v>
      </c>
      <c r="Z65" s="10">
        <v>50.4</v>
      </c>
      <c r="AA65" s="10">
        <v>50.55</v>
      </c>
      <c r="AB65" s="95">
        <v>14983300</v>
      </c>
      <c r="AC65" s="10">
        <v>50.15</v>
      </c>
      <c r="AD65" s="2">
        <f t="shared" si="2"/>
        <v>0.25999999999999801</v>
      </c>
      <c r="AE65" s="138">
        <f t="shared" si="3"/>
        <v>9.9800399201588341E-4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42515</v>
      </c>
      <c r="X66" s="10">
        <v>49.58</v>
      </c>
      <c r="Y66" s="10">
        <v>50.83</v>
      </c>
      <c r="Z66" s="10">
        <v>49.51</v>
      </c>
      <c r="AA66" s="10">
        <v>50.5</v>
      </c>
      <c r="AB66" s="95">
        <v>22478600</v>
      </c>
      <c r="AC66" s="10">
        <v>50.1</v>
      </c>
      <c r="AD66" s="2">
        <f t="shared" si="2"/>
        <v>1.3200000000000003</v>
      </c>
      <c r="AE66" s="138">
        <f t="shared" si="3"/>
        <v>2.6429010448678625E-2</v>
      </c>
    </row>
    <row r="67" spans="2:31" x14ac:dyDescent="0.25">
      <c r="B67" s="193"/>
      <c r="C67" s="10"/>
      <c r="D67" s="200"/>
      <c r="E67" s="40"/>
      <c r="F67" s="40"/>
      <c r="G67" s="40"/>
      <c r="H67" s="231"/>
      <c r="I67" s="40"/>
      <c r="W67" s="94">
        <v>42514</v>
      </c>
      <c r="X67" s="10">
        <v>49.05</v>
      </c>
      <c r="Y67" s="10">
        <v>49.37</v>
      </c>
      <c r="Z67" s="10">
        <v>48.69</v>
      </c>
      <c r="AA67" s="10">
        <v>49.2</v>
      </c>
      <c r="AB67" s="95">
        <v>16597700</v>
      </c>
      <c r="AC67" s="10">
        <v>48.81</v>
      </c>
      <c r="AD67" s="2">
        <f t="shared" si="2"/>
        <v>0.67999999999999972</v>
      </c>
      <c r="AE67" s="138">
        <f t="shared" si="3"/>
        <v>1.0349824052991119E-2</v>
      </c>
    </row>
    <row r="68" spans="2:31" x14ac:dyDescent="0.25">
      <c r="W68" s="94">
        <v>42513</v>
      </c>
      <c r="X68" s="10">
        <v>48.76</v>
      </c>
      <c r="Y68" s="10">
        <v>48.88</v>
      </c>
      <c r="Z68" s="10">
        <v>48.35</v>
      </c>
      <c r="AA68" s="10">
        <v>48.7</v>
      </c>
      <c r="AB68" s="95">
        <v>10644000</v>
      </c>
      <c r="AC68" s="10">
        <v>48.31</v>
      </c>
      <c r="AD68" s="2">
        <f>Y68-Z68</f>
        <v>0.53000000000000114</v>
      </c>
      <c r="AE68" s="138" t="e">
        <f>AC68/AC69-1</f>
        <v>#DIV/0!</v>
      </c>
    </row>
    <row r="69" spans="2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7">
      <formula>F26&gt;0</formula>
    </cfRule>
    <cfRule type="expression" dxfId="316" priority="38">
      <formula>F26&lt;0</formula>
    </cfRule>
  </conditionalFormatting>
  <conditionalFormatting sqref="P40:P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57 F62:F67">
    <cfRule type="expression" dxfId="315" priority="29">
      <formula>F29&gt;0</formula>
    </cfRule>
    <cfRule type="expression" dxfId="314" priority="30">
      <formula>F29&lt;0</formula>
    </cfRule>
  </conditionalFormatting>
  <conditionalFormatting sqref="F29:F57 F62:F67">
    <cfRule type="expression" dxfId="313" priority="31">
      <formula>F29&gt;0</formula>
    </cfRule>
    <cfRule type="expression" dxfId="312" priority="32">
      <formula>F29&lt;0</formula>
    </cfRule>
  </conditionalFormatting>
  <conditionalFormatting sqref="H26:H57 H62:H67">
    <cfRule type="expression" dxfId="311" priority="27">
      <formula>H26&gt;0</formula>
    </cfRule>
    <cfRule type="expression" dxfId="310" priority="28">
      <formula>H26&lt;0</formula>
    </cfRule>
  </conditionalFormatting>
  <conditionalFormatting sqref="F22:F25">
    <cfRule type="expression" dxfId="309" priority="13">
      <formula>F22&gt;0</formula>
    </cfRule>
    <cfRule type="expression" dxfId="308" priority="14">
      <formula>F22&lt;0</formula>
    </cfRule>
  </conditionalFormatting>
  <conditionalFormatting sqref="H22:H25">
    <cfRule type="expression" dxfId="307" priority="11">
      <formula>H22&gt;0</formula>
    </cfRule>
    <cfRule type="expression" dxfId="306" priority="12">
      <formula>H22&lt;0</formula>
    </cfRule>
  </conditionalFormatting>
  <conditionalFormatting sqref="Q8">
    <cfRule type="expression" dxfId="305" priority="7">
      <formula>Q8&gt;0</formula>
    </cfRule>
    <cfRule type="expression" dxfId="304" priority="8">
      <formula>Q8&lt;0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F58:F61">
    <cfRule type="expression" dxfId="301" priority="3">
      <formula>F58&gt;0</formula>
    </cfRule>
    <cfRule type="expression" dxfId="300" priority="4">
      <formula>F58&lt;0</formula>
    </cfRule>
  </conditionalFormatting>
  <conditionalFormatting sqref="F58:F61">
    <cfRule type="expression" dxfId="299" priority="5">
      <formula>F58&gt;0</formula>
    </cfRule>
    <cfRule type="expression" dxfId="298" priority="6">
      <formula>F58&lt;0</formula>
    </cfRule>
  </conditionalFormatting>
  <conditionalFormatting sqref="H58:H61">
    <cfRule type="expression" dxfId="297" priority="1">
      <formula>H58&gt;0</formula>
    </cfRule>
    <cfRule type="expression" dxfId="296" priority="2">
      <formula>H58&lt;0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285</v>
      </c>
      <c r="W2" s="94">
        <v>42606</v>
      </c>
      <c r="X2" s="10">
        <v>10.43</v>
      </c>
      <c r="Y2" s="10">
        <v>10.45</v>
      </c>
      <c r="Z2" s="10">
        <v>10.01</v>
      </c>
      <c r="AA2" s="10">
        <v>10.039999999999999</v>
      </c>
      <c r="AB2" s="95">
        <v>19709400</v>
      </c>
      <c r="AC2" s="10">
        <v>10.039999999999999</v>
      </c>
      <c r="AD2" s="2">
        <f>Y2-Z2</f>
        <v>0.4399999999999995</v>
      </c>
      <c r="AE2" s="138">
        <f>AC2/AC3-1</f>
        <v>-4.3809523809523854E-2</v>
      </c>
    </row>
    <row r="3" spans="1:40" x14ac:dyDescent="0.25">
      <c r="A3" s="23" t="s">
        <v>71</v>
      </c>
      <c r="B3" s="259"/>
      <c r="C3" s="278"/>
      <c r="D3" s="279"/>
      <c r="E3" s="279"/>
      <c r="F3" s="75"/>
      <c r="G3" s="1"/>
      <c r="H3" s="185"/>
      <c r="I3" s="3"/>
      <c r="J3" s="3"/>
      <c r="K3" s="3"/>
      <c r="L3" s="259"/>
      <c r="M3" s="3"/>
      <c r="O3" s="11" t="s">
        <v>58</v>
      </c>
      <c r="Q3" s="230">
        <f>IF(Q2=0, Q4, (F18-K18-M18)/Q2)</f>
        <v>10.039999999999999</v>
      </c>
      <c r="T3" s="121">
        <v>42568</v>
      </c>
      <c r="U3" t="s">
        <v>302</v>
      </c>
      <c r="W3" s="94">
        <v>42605</v>
      </c>
      <c r="X3" s="10">
        <v>10.41</v>
      </c>
      <c r="Y3" s="10">
        <v>10.54</v>
      </c>
      <c r="Z3" s="10">
        <v>10.37</v>
      </c>
      <c r="AA3" s="10">
        <v>10.5</v>
      </c>
      <c r="AB3" s="95">
        <v>11551600</v>
      </c>
      <c r="AC3" s="10">
        <v>10.5</v>
      </c>
      <c r="AD3" s="2">
        <f>Y3-Z3</f>
        <v>0.16999999999999993</v>
      </c>
      <c r="AE3" s="138">
        <f>AC3/AC4-1</f>
        <v>1.744186046511631E-2</v>
      </c>
      <c r="AN3" s="234"/>
    </row>
    <row r="4" spans="1:40" x14ac:dyDescent="0.25">
      <c r="B4" s="259"/>
      <c r="C4" s="278"/>
      <c r="D4" s="279"/>
      <c r="E4" s="279"/>
      <c r="F4" s="75"/>
      <c r="G4" s="259"/>
      <c r="H4" s="280"/>
      <c r="I4" s="279"/>
      <c r="J4" s="279"/>
      <c r="K4" s="279"/>
      <c r="L4" s="278"/>
      <c r="O4" s="11" t="s">
        <v>66</v>
      </c>
      <c r="Q4" s="201">
        <v>10.039999999999999</v>
      </c>
      <c r="T4" s="121"/>
      <c r="W4" s="94">
        <v>42604</v>
      </c>
      <c r="X4" s="10">
        <v>10.199999999999999</v>
      </c>
      <c r="Y4" s="10">
        <v>10.35</v>
      </c>
      <c r="Z4" s="10">
        <v>10.16</v>
      </c>
      <c r="AA4" s="10">
        <v>10.32</v>
      </c>
      <c r="AB4" s="95">
        <v>9210300</v>
      </c>
      <c r="AC4" s="10">
        <v>10.32</v>
      </c>
      <c r="AD4" s="2">
        <f t="shared" ref="AD4:AD67" si="0">Y4-Z4</f>
        <v>0.1899999999999995</v>
      </c>
      <c r="AE4" s="138">
        <f t="shared" ref="AE4:AE67" si="1">AC4/AC5-1</f>
        <v>4.8685491723468033E-3</v>
      </c>
      <c r="AK4" s="234"/>
      <c r="AN4" s="234"/>
    </row>
    <row r="5" spans="1:40" x14ac:dyDescent="0.25">
      <c r="B5" s="259"/>
      <c r="C5" s="278"/>
      <c r="D5" s="279"/>
      <c r="E5" s="279"/>
      <c r="F5" s="279"/>
      <c r="G5" s="259"/>
      <c r="H5" s="280"/>
      <c r="I5" s="279"/>
      <c r="J5" s="279"/>
      <c r="K5" s="279"/>
      <c r="L5" s="278"/>
      <c r="O5" s="11" t="s">
        <v>67</v>
      </c>
      <c r="Q5" s="3">
        <f>Q4*Q2</f>
        <v>0</v>
      </c>
      <c r="W5" s="94">
        <v>42601</v>
      </c>
      <c r="X5" s="10">
        <v>10.34</v>
      </c>
      <c r="Y5" s="10">
        <v>10.36</v>
      </c>
      <c r="Z5" s="10">
        <v>10.220000000000001</v>
      </c>
      <c r="AA5" s="10">
        <v>10.27</v>
      </c>
      <c r="AB5" s="95">
        <v>13163800</v>
      </c>
      <c r="AC5" s="10">
        <v>10.27</v>
      </c>
      <c r="AD5" s="2">
        <f t="shared" si="0"/>
        <v>0.13999999999999879</v>
      </c>
      <c r="AE5" s="138">
        <f t="shared" si="1"/>
        <v>-1.7224880382775143E-2</v>
      </c>
      <c r="AK5" s="234"/>
      <c r="AN5" s="234"/>
    </row>
    <row r="6" spans="1:40" x14ac:dyDescent="0.25">
      <c r="B6" s="259"/>
      <c r="C6" s="278"/>
      <c r="D6" s="279"/>
      <c r="E6" s="279"/>
      <c r="F6" s="279"/>
      <c r="G6" s="259"/>
      <c r="H6" s="280"/>
      <c r="I6" s="279"/>
      <c r="J6" s="279"/>
      <c r="K6" s="279"/>
      <c r="L6" s="278"/>
      <c r="O6" s="11" t="s">
        <v>64</v>
      </c>
      <c r="Q6" s="2">
        <f>Q3*Q2</f>
        <v>0</v>
      </c>
      <c r="W6" s="94">
        <v>42600</v>
      </c>
      <c r="X6" s="10">
        <v>10.41</v>
      </c>
      <c r="Y6" s="10">
        <v>10.47</v>
      </c>
      <c r="Z6" s="10">
        <v>10.34</v>
      </c>
      <c r="AA6" s="10">
        <v>10.45</v>
      </c>
      <c r="AB6" s="95">
        <v>8564300</v>
      </c>
      <c r="AC6" s="10">
        <v>10.45</v>
      </c>
      <c r="AD6" s="2">
        <f t="shared" si="0"/>
        <v>0.13000000000000078</v>
      </c>
      <c r="AE6" s="138">
        <f t="shared" si="1"/>
        <v>8.6872586872586144E-3</v>
      </c>
    </row>
    <row r="7" spans="1:40" x14ac:dyDescent="0.25">
      <c r="B7" s="259"/>
      <c r="C7" s="278"/>
      <c r="D7" s="279"/>
      <c r="E7" s="279"/>
      <c r="F7" s="279"/>
      <c r="G7" s="259"/>
      <c r="H7" s="280"/>
      <c r="I7" s="279"/>
      <c r="J7" s="279"/>
      <c r="K7" s="279"/>
      <c r="L7" s="278"/>
      <c r="O7" s="11" t="s">
        <v>187</v>
      </c>
      <c r="P7"/>
      <c r="Q7" s="2">
        <f>Q10+Q8</f>
        <v>1128.3800000000047</v>
      </c>
      <c r="R7">
        <v>0</v>
      </c>
      <c r="T7" s="85"/>
      <c r="W7" s="94">
        <v>42599</v>
      </c>
      <c r="X7" s="10">
        <v>10.33</v>
      </c>
      <c r="Y7" s="10">
        <v>10.4</v>
      </c>
      <c r="Z7" s="10">
        <v>10.23</v>
      </c>
      <c r="AA7" s="10">
        <v>10.36</v>
      </c>
      <c r="AB7" s="95">
        <v>10840300</v>
      </c>
      <c r="AC7" s="10">
        <v>10.36</v>
      </c>
      <c r="AD7" s="2">
        <f t="shared" si="0"/>
        <v>0.16999999999999993</v>
      </c>
      <c r="AE7" s="138">
        <f t="shared" si="1"/>
        <v>6.8027210884353817E-3</v>
      </c>
      <c r="AK7" s="234"/>
      <c r="AN7" s="234"/>
    </row>
    <row r="8" spans="1:40" x14ac:dyDescent="0.25">
      <c r="B8" s="259"/>
      <c r="C8" s="278"/>
      <c r="D8" s="279"/>
      <c r="E8" s="279"/>
      <c r="F8" s="279"/>
      <c r="G8" s="259"/>
      <c r="H8" s="280"/>
      <c r="I8" s="279"/>
      <c r="J8" s="279"/>
      <c r="K8" s="279"/>
      <c r="L8" s="278"/>
      <c r="O8" s="11" t="s">
        <v>190</v>
      </c>
      <c r="Q8" s="2">
        <f>K18+M18-F18+Q2*Q4</f>
        <v>0</v>
      </c>
      <c r="W8" s="94">
        <v>42598</v>
      </c>
      <c r="X8" s="10">
        <v>10.57</v>
      </c>
      <c r="Y8" s="10">
        <v>10.58</v>
      </c>
      <c r="Z8" s="10">
        <v>10.29</v>
      </c>
      <c r="AA8" s="10">
        <v>10.29</v>
      </c>
      <c r="AB8" s="95">
        <v>13826000</v>
      </c>
      <c r="AC8" s="10">
        <v>10.29</v>
      </c>
      <c r="AD8" s="2">
        <f t="shared" si="0"/>
        <v>0.29000000000000092</v>
      </c>
      <c r="AE8" s="138">
        <f t="shared" si="1"/>
        <v>-2.1863117870722482E-2</v>
      </c>
    </row>
    <row r="9" spans="1:40" x14ac:dyDescent="0.25">
      <c r="O9" s="11" t="s">
        <v>225</v>
      </c>
      <c r="P9"/>
      <c r="Q9" s="138">
        <f>IF(Q2=0, 0, Q8/Q6)</f>
        <v>0</v>
      </c>
      <c r="W9" s="94">
        <v>42597</v>
      </c>
      <c r="X9" s="10">
        <v>10.25</v>
      </c>
      <c r="Y9" s="10">
        <v>10.58</v>
      </c>
      <c r="Z9" s="10">
        <v>10.23</v>
      </c>
      <c r="AA9" s="10">
        <v>10.52</v>
      </c>
      <c r="AB9" s="95">
        <v>13211900</v>
      </c>
      <c r="AC9" s="10">
        <v>10.52</v>
      </c>
      <c r="AD9" s="2">
        <f t="shared" si="0"/>
        <v>0.34999999999999964</v>
      </c>
      <c r="AE9" s="138">
        <f t="shared" si="1"/>
        <v>3.4414945919370554E-2</v>
      </c>
      <c r="AK9" s="234"/>
      <c r="AN9" s="234"/>
    </row>
    <row r="10" spans="1:40" x14ac:dyDescent="0.25">
      <c r="O10" s="11" t="s">
        <v>224</v>
      </c>
      <c r="Q10" s="2">
        <f>M42</f>
        <v>1128.3800000000047</v>
      </c>
      <c r="W10" s="94">
        <v>42594</v>
      </c>
      <c r="X10" s="10">
        <v>10.37</v>
      </c>
      <c r="Y10" s="10">
        <v>10.4</v>
      </c>
      <c r="Z10" s="10">
        <v>10.119999999999999</v>
      </c>
      <c r="AA10" s="10">
        <v>10.17</v>
      </c>
      <c r="AB10" s="95">
        <v>13887600</v>
      </c>
      <c r="AC10" s="10">
        <v>10.17</v>
      </c>
      <c r="AD10" s="2">
        <f t="shared" si="0"/>
        <v>0.28000000000000114</v>
      </c>
      <c r="AE10" s="138">
        <f t="shared" si="1"/>
        <v>-2.3992322456813819E-2</v>
      </c>
    </row>
    <row r="11" spans="1:40" x14ac:dyDescent="0.25">
      <c r="O11" s="11" t="s">
        <v>184</v>
      </c>
      <c r="Q11" s="138">
        <f>VALUE(TRIM(CLEAN(MID(U55, FIND("(", U55)+1, 5))))</f>
        <v>1.17E-2</v>
      </c>
      <c r="W11" s="94">
        <v>42593</v>
      </c>
      <c r="X11" s="10">
        <v>10.35</v>
      </c>
      <c r="Y11" s="10">
        <v>10.44</v>
      </c>
      <c r="Z11" s="10">
        <v>10.3</v>
      </c>
      <c r="AA11" s="10">
        <v>10.42</v>
      </c>
      <c r="AB11" s="95">
        <v>9894100</v>
      </c>
      <c r="AC11" s="10">
        <v>10.42</v>
      </c>
      <c r="AD11" s="2">
        <f t="shared" si="0"/>
        <v>0.13999999999999879</v>
      </c>
      <c r="AE11" s="138">
        <f t="shared" si="1"/>
        <v>8.7124878993223298E-3</v>
      </c>
      <c r="AK11" s="234"/>
      <c r="AN11" s="234"/>
    </row>
    <row r="12" spans="1:40" x14ac:dyDescent="0.25">
      <c r="W12" s="94">
        <v>42592</v>
      </c>
      <c r="X12" s="10">
        <v>10.4</v>
      </c>
      <c r="Y12" s="10">
        <v>10.53</v>
      </c>
      <c r="Z12" s="10">
        <v>10.27</v>
      </c>
      <c r="AA12" s="10">
        <v>10.33</v>
      </c>
      <c r="AB12" s="95">
        <v>9513400</v>
      </c>
      <c r="AC12" s="10">
        <v>10.33</v>
      </c>
      <c r="AD12" s="2">
        <f t="shared" si="0"/>
        <v>0.25999999999999979</v>
      </c>
      <c r="AE12" s="138">
        <f t="shared" si="1"/>
        <v>-1.9323671497584183E-3</v>
      </c>
    </row>
    <row r="13" spans="1:40" x14ac:dyDescent="0.25">
      <c r="W13" s="94">
        <v>42591</v>
      </c>
      <c r="X13" s="10">
        <v>10.42</v>
      </c>
      <c r="Y13" s="10">
        <v>10.5</v>
      </c>
      <c r="Z13" s="10">
        <v>10.35</v>
      </c>
      <c r="AA13" s="10">
        <v>10.35</v>
      </c>
      <c r="AB13" s="95">
        <v>7812800</v>
      </c>
      <c r="AC13" s="10">
        <v>10.35</v>
      </c>
      <c r="AD13" s="2">
        <f t="shared" si="0"/>
        <v>0.15000000000000036</v>
      </c>
      <c r="AE13" s="138">
        <f t="shared" si="1"/>
        <v>-9.5693779904305609E-3</v>
      </c>
      <c r="AK13" s="234"/>
      <c r="AN13" s="234"/>
    </row>
    <row r="14" spans="1:40" x14ac:dyDescent="0.25">
      <c r="T14" s="84"/>
      <c r="U14" s="11"/>
      <c r="W14" s="94">
        <v>42590</v>
      </c>
      <c r="X14" s="10">
        <v>10.5</v>
      </c>
      <c r="Y14" s="10">
        <v>10.6</v>
      </c>
      <c r="Z14" s="10">
        <v>10.41</v>
      </c>
      <c r="AA14" s="10">
        <v>10.45</v>
      </c>
      <c r="AB14" s="95">
        <v>9501400</v>
      </c>
      <c r="AC14" s="10">
        <v>10.45</v>
      </c>
      <c r="AD14" s="2">
        <f t="shared" si="0"/>
        <v>0.1899999999999995</v>
      </c>
      <c r="AE14" s="138">
        <f t="shared" si="1"/>
        <v>-4.761904761904856E-3</v>
      </c>
    </row>
    <row r="15" spans="1:40" x14ac:dyDescent="0.25">
      <c r="W15" s="94">
        <v>42587</v>
      </c>
      <c r="X15" s="10">
        <v>10.45</v>
      </c>
      <c r="Y15" s="10">
        <v>10.5</v>
      </c>
      <c r="Z15" s="10">
        <v>10.39</v>
      </c>
      <c r="AA15" s="10">
        <v>10.5</v>
      </c>
      <c r="AB15" s="95">
        <v>12292600</v>
      </c>
      <c r="AC15" s="10">
        <v>10.5</v>
      </c>
      <c r="AD15" s="2">
        <f t="shared" si="0"/>
        <v>0.10999999999999943</v>
      </c>
      <c r="AE15" s="138">
        <f t="shared" si="1"/>
        <v>9.6153846153845812E-3</v>
      </c>
      <c r="AK15" s="234"/>
      <c r="AN15" s="234"/>
    </row>
    <row r="16" spans="1:40" x14ac:dyDescent="0.25">
      <c r="W16" s="94">
        <v>42586</v>
      </c>
      <c r="X16" s="10">
        <v>10.36</v>
      </c>
      <c r="Y16" s="10">
        <v>10.46</v>
      </c>
      <c r="Z16" s="10">
        <v>10.25</v>
      </c>
      <c r="AA16" s="10">
        <v>10.4</v>
      </c>
      <c r="AB16" s="95">
        <v>11819900</v>
      </c>
      <c r="AC16" s="10">
        <v>10.4</v>
      </c>
      <c r="AD16" s="2">
        <f t="shared" si="0"/>
        <v>0.21000000000000085</v>
      </c>
      <c r="AE16" s="138">
        <f t="shared" si="1"/>
        <v>-9.6061479346776224E-4</v>
      </c>
    </row>
    <row r="17" spans="1:40" x14ac:dyDescent="0.25">
      <c r="W17" s="94">
        <v>42585</v>
      </c>
      <c r="X17" s="10">
        <v>10.3</v>
      </c>
      <c r="Y17" s="10">
        <v>10.45</v>
      </c>
      <c r="Z17" s="10">
        <v>10.199999999999999</v>
      </c>
      <c r="AA17" s="10">
        <v>10.41</v>
      </c>
      <c r="AB17" s="95">
        <v>13904100</v>
      </c>
      <c r="AC17" s="10">
        <v>10.41</v>
      </c>
      <c r="AD17" s="2">
        <f t="shared" si="0"/>
        <v>0.25</v>
      </c>
      <c r="AE17" s="138" t="e">
        <f t="shared" si="1"/>
        <v>#DIV/0!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42585</v>
      </c>
      <c r="X18" s="10" t="s">
        <v>121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94">
        <v>42584</v>
      </c>
      <c r="X19" s="10">
        <v>10.55</v>
      </c>
      <c r="Y19" s="10">
        <v>10.57</v>
      </c>
      <c r="Z19" s="10">
        <v>10.25</v>
      </c>
      <c r="AA19" s="10">
        <v>10.32</v>
      </c>
      <c r="AB19" s="95">
        <v>13672400</v>
      </c>
      <c r="AC19" s="10">
        <v>10.29</v>
      </c>
      <c r="AD19" s="2">
        <f t="shared" si="0"/>
        <v>0.32000000000000028</v>
      </c>
      <c r="AE19" s="138">
        <f t="shared" si="1"/>
        <v>-1.4367816091954033E-2</v>
      </c>
      <c r="AK19" s="234"/>
      <c r="AN19" s="234"/>
    </row>
    <row r="20" spans="1:40" x14ac:dyDescent="0.25">
      <c r="W20" s="94">
        <v>42583</v>
      </c>
      <c r="X20" s="10">
        <v>10.55</v>
      </c>
      <c r="Y20" s="10">
        <v>10.6</v>
      </c>
      <c r="Z20" s="10">
        <v>10.46</v>
      </c>
      <c r="AA20" s="10">
        <v>10.47</v>
      </c>
      <c r="AB20" s="95">
        <v>11610200</v>
      </c>
      <c r="AC20" s="10">
        <v>10.44</v>
      </c>
      <c r="AD20" s="2">
        <f t="shared" si="0"/>
        <v>0.13999999999999879</v>
      </c>
      <c r="AE20" s="138">
        <f t="shared" si="1"/>
        <v>-1.4164305949008527E-2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42580</v>
      </c>
      <c r="X21" s="10">
        <v>10.61</v>
      </c>
      <c r="Y21" s="10">
        <v>10.65</v>
      </c>
      <c r="Z21" s="10">
        <v>10.42</v>
      </c>
      <c r="AA21" s="10">
        <v>10.62</v>
      </c>
      <c r="AB21" s="95">
        <v>16419800</v>
      </c>
      <c r="AC21" s="10">
        <v>10.59</v>
      </c>
      <c r="AD21" s="2">
        <f t="shared" si="0"/>
        <v>0.23000000000000043</v>
      </c>
      <c r="AE21" s="138">
        <f t="shared" si="1"/>
        <v>-5.6338028169014009E-3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42579</v>
      </c>
      <c r="X22" s="10">
        <v>10.67</v>
      </c>
      <c r="Y22" s="10">
        <v>10.73</v>
      </c>
      <c r="Z22" s="10">
        <v>10.49</v>
      </c>
      <c r="AA22" s="10">
        <v>10.68</v>
      </c>
      <c r="AB22" s="95">
        <v>13795300</v>
      </c>
      <c r="AC22" s="10">
        <v>10.65</v>
      </c>
      <c r="AD22" s="2">
        <f t="shared" si="0"/>
        <v>0.24000000000000021</v>
      </c>
      <c r="AE22" s="138">
        <f t="shared" si="1"/>
        <v>-5.6022408963586345E-3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42578</v>
      </c>
      <c r="X23" s="10">
        <v>10.76</v>
      </c>
      <c r="Y23" s="10">
        <v>10.97</v>
      </c>
      <c r="Z23" s="10">
        <v>10.52</v>
      </c>
      <c r="AA23" s="10">
        <v>10.74</v>
      </c>
      <c r="AB23" s="95">
        <v>20992100</v>
      </c>
      <c r="AC23" s="10">
        <v>10.71</v>
      </c>
      <c r="AD23" s="2">
        <f t="shared" si="0"/>
        <v>0.45000000000000107</v>
      </c>
      <c r="AE23" s="138">
        <f t="shared" si="1"/>
        <v>6.5789473684210176E-3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42577</v>
      </c>
      <c r="X24" s="10">
        <v>10.45</v>
      </c>
      <c r="Y24" s="10">
        <v>10.67</v>
      </c>
      <c r="Z24" s="10">
        <v>10.42</v>
      </c>
      <c r="AA24" s="10">
        <v>10.67</v>
      </c>
      <c r="AB24" s="95">
        <v>12575200</v>
      </c>
      <c r="AC24" s="10">
        <v>10.64</v>
      </c>
      <c r="AD24" s="2">
        <f t="shared" si="0"/>
        <v>0.25</v>
      </c>
      <c r="AE24" s="138">
        <f t="shared" si="1"/>
        <v>1.7208413001912115E-2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42576</v>
      </c>
      <c r="X25" s="10">
        <v>10.54</v>
      </c>
      <c r="Y25" s="10">
        <v>10.55</v>
      </c>
      <c r="Z25" s="10">
        <v>10.4</v>
      </c>
      <c r="AA25" s="10">
        <v>10.49</v>
      </c>
      <c r="AB25" s="95">
        <v>13849300</v>
      </c>
      <c r="AC25" s="10">
        <v>10.46</v>
      </c>
      <c r="AD25" s="2">
        <f t="shared" si="0"/>
        <v>0.15000000000000036</v>
      </c>
      <c r="AE25" s="138">
        <f t="shared" si="1"/>
        <v>-7.5901328273243474E-3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42573</v>
      </c>
      <c r="X26" s="10">
        <v>10.58</v>
      </c>
      <c r="Y26" s="10">
        <v>10.66</v>
      </c>
      <c r="Z26" s="10">
        <v>10.49</v>
      </c>
      <c r="AA26" s="10">
        <v>10.57</v>
      </c>
      <c r="AB26" s="95">
        <v>10183500</v>
      </c>
      <c r="AC26" s="10">
        <v>10.54</v>
      </c>
      <c r="AD26" s="2">
        <f t="shared" si="0"/>
        <v>0.16999999999999993</v>
      </c>
      <c r="AE26" s="138">
        <f t="shared" si="1"/>
        <v>-2.8382213812678803E-3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42572</v>
      </c>
      <c r="X27" s="10">
        <v>10.67</v>
      </c>
      <c r="Y27" s="10">
        <v>10.86</v>
      </c>
      <c r="Z27" s="10">
        <v>10.53</v>
      </c>
      <c r="AA27" s="10">
        <v>10.6</v>
      </c>
      <c r="AB27" s="95">
        <v>15042600</v>
      </c>
      <c r="AC27" s="10">
        <v>10.57</v>
      </c>
      <c r="AD27" s="2">
        <f t="shared" si="0"/>
        <v>0.33000000000000007</v>
      </c>
      <c r="AE27" s="138">
        <f t="shared" si="1"/>
        <v>-9.4517958412099201E-4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42571</v>
      </c>
      <c r="X28" s="10">
        <v>10.51</v>
      </c>
      <c r="Y28" s="10">
        <v>10.63</v>
      </c>
      <c r="Z28" s="10">
        <v>10.35</v>
      </c>
      <c r="AA28" s="10">
        <v>10.61</v>
      </c>
      <c r="AB28" s="95">
        <v>16305400</v>
      </c>
      <c r="AC28" s="10">
        <v>10.58</v>
      </c>
      <c r="AD28" s="2">
        <f t="shared" si="0"/>
        <v>0.28000000000000114</v>
      </c>
      <c r="AE28" s="138">
        <f t="shared" si="1"/>
        <v>-1.8867924528301883E-3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42570</v>
      </c>
      <c r="X29" s="10">
        <v>10.73</v>
      </c>
      <c r="Y29" s="10">
        <v>10.78</v>
      </c>
      <c r="Z29" s="10">
        <v>10.62</v>
      </c>
      <c r="AA29" s="10">
        <v>10.63</v>
      </c>
      <c r="AB29" s="95">
        <v>14786700</v>
      </c>
      <c r="AC29" s="10">
        <v>10.6</v>
      </c>
      <c r="AD29" s="2">
        <f t="shared" si="0"/>
        <v>0.16000000000000014</v>
      </c>
      <c r="AE29" s="138">
        <f t="shared" si="1"/>
        <v>-2.6629935720844933E-2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42569</v>
      </c>
      <c r="X30" s="10">
        <v>10.82</v>
      </c>
      <c r="Y30" s="10">
        <v>10.94</v>
      </c>
      <c r="Z30" s="10">
        <v>10.72</v>
      </c>
      <c r="AA30" s="10">
        <v>10.92</v>
      </c>
      <c r="AB30" s="95">
        <v>16352300</v>
      </c>
      <c r="AC30" s="10">
        <v>10.89</v>
      </c>
      <c r="AD30" s="2">
        <f t="shared" si="0"/>
        <v>0.21999999999999886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42566</v>
      </c>
      <c r="X31" s="10">
        <v>10.72</v>
      </c>
      <c r="Y31" s="10">
        <v>10.96</v>
      </c>
      <c r="Z31" s="10">
        <v>10.71</v>
      </c>
      <c r="AA31" s="10">
        <v>10.92</v>
      </c>
      <c r="AB31" s="95">
        <v>23056500</v>
      </c>
      <c r="AC31" s="10">
        <v>10.89</v>
      </c>
      <c r="AD31" s="2">
        <f t="shared" si="0"/>
        <v>0.25</v>
      </c>
      <c r="AE31" s="138">
        <f t="shared" si="1"/>
        <v>1.9662921348314599E-2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42565</v>
      </c>
      <c r="X32" s="10">
        <v>10.82</v>
      </c>
      <c r="Y32" s="10">
        <v>10.9</v>
      </c>
      <c r="Z32" s="10">
        <v>10.67</v>
      </c>
      <c r="AA32" s="10">
        <v>10.71</v>
      </c>
      <c r="AB32" s="95">
        <v>22346800</v>
      </c>
      <c r="AC32" s="10">
        <v>10.68</v>
      </c>
      <c r="AD32" s="2">
        <f t="shared" si="0"/>
        <v>0.23000000000000043</v>
      </c>
      <c r="AE32" s="138">
        <f t="shared" si="1"/>
        <v>0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42564</v>
      </c>
      <c r="X33" s="10">
        <v>10.74</v>
      </c>
      <c r="Y33" s="10">
        <v>10.78</v>
      </c>
      <c r="Z33" s="10">
        <v>10.54</v>
      </c>
      <c r="AA33" s="10">
        <v>10.71</v>
      </c>
      <c r="AB33" s="95">
        <v>24221900</v>
      </c>
      <c r="AC33" s="10">
        <v>10.68</v>
      </c>
      <c r="AD33" s="2">
        <f t="shared" si="0"/>
        <v>0.24000000000000021</v>
      </c>
      <c r="AE33" s="138">
        <f t="shared" si="1"/>
        <v>1.8761726078799779E-3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42563</v>
      </c>
      <c r="X34" s="10">
        <v>10.7</v>
      </c>
      <c r="Y34" s="10">
        <v>10.8</v>
      </c>
      <c r="Z34" s="10">
        <v>10.43</v>
      </c>
      <c r="AA34" s="10">
        <v>10.69</v>
      </c>
      <c r="AB34" s="95">
        <v>53436600</v>
      </c>
      <c r="AC34" s="10">
        <v>10.66</v>
      </c>
      <c r="AD34" s="2">
        <f t="shared" si="0"/>
        <v>0.37000000000000099</v>
      </c>
      <c r="AE34" s="138">
        <f t="shared" si="1"/>
        <v>5.4401582591493636E-2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42562</v>
      </c>
      <c r="X35" s="10">
        <v>9.9600000000000009</v>
      </c>
      <c r="Y35" s="10">
        <v>10.18</v>
      </c>
      <c r="Z35" s="10">
        <v>9.8699999999999992</v>
      </c>
      <c r="AA35" s="10">
        <v>10.14</v>
      </c>
      <c r="AB35" s="95">
        <v>37231900</v>
      </c>
      <c r="AC35" s="10">
        <v>10.11</v>
      </c>
      <c r="AD35" s="2">
        <f t="shared" si="0"/>
        <v>0.3100000000000005</v>
      </c>
      <c r="AE35" s="138">
        <f t="shared" si="1"/>
        <v>3.2686414708886558E-2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42559</v>
      </c>
      <c r="X36" s="10">
        <v>9.4499999999999993</v>
      </c>
      <c r="Y36" s="10">
        <v>9.8800000000000008</v>
      </c>
      <c r="Z36" s="10">
        <v>9.44</v>
      </c>
      <c r="AA36" s="10">
        <v>9.82</v>
      </c>
      <c r="AB36" s="95">
        <v>25929500</v>
      </c>
      <c r="AC36" s="10">
        <v>9.7899999999999991</v>
      </c>
      <c r="AD36" s="2">
        <f t="shared" si="0"/>
        <v>0.44000000000000128</v>
      </c>
      <c r="AE36" s="138">
        <f t="shared" si="1"/>
        <v>5.1557465091299548E-2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42558</v>
      </c>
      <c r="X37" s="10">
        <v>9.26</v>
      </c>
      <c r="Y37" s="10">
        <v>9.4499999999999993</v>
      </c>
      <c r="Z37" s="10">
        <v>9.25</v>
      </c>
      <c r="AA37" s="10">
        <v>9.34</v>
      </c>
      <c r="AB37" s="95">
        <v>22172200</v>
      </c>
      <c r="AC37" s="10">
        <v>9.31</v>
      </c>
      <c r="AD37" s="2">
        <f t="shared" si="0"/>
        <v>0.19999999999999929</v>
      </c>
      <c r="AE37" s="138">
        <f t="shared" si="1"/>
        <v>1.637554585152845E-2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42557</v>
      </c>
      <c r="X38" s="10">
        <v>9.16</v>
      </c>
      <c r="Y38" s="10">
        <v>9.25</v>
      </c>
      <c r="Z38" s="10">
        <v>9.0299999999999994</v>
      </c>
      <c r="AA38" s="10">
        <v>9.19</v>
      </c>
      <c r="AB38" s="95">
        <v>24564200</v>
      </c>
      <c r="AC38" s="10">
        <v>9.16</v>
      </c>
      <c r="AD38" s="2">
        <f t="shared" si="0"/>
        <v>0.22000000000000064</v>
      </c>
      <c r="AE38" s="138">
        <f t="shared" si="1"/>
        <v>-7.5839653304442534E-3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5" t="s">
        <v>78</v>
      </c>
      <c r="Q39" s="535"/>
      <c r="R39" s="34"/>
      <c r="T39" s="91" t="s">
        <v>113</v>
      </c>
      <c r="W39" s="94">
        <v>42556</v>
      </c>
      <c r="X39" s="10">
        <v>9.4600000000000009</v>
      </c>
      <c r="Y39" s="10">
        <v>9.49</v>
      </c>
      <c r="Z39" s="10">
        <v>9.17</v>
      </c>
      <c r="AA39" s="10">
        <v>9.26</v>
      </c>
      <c r="AB39" s="95">
        <v>16362100</v>
      </c>
      <c r="AC39" s="10">
        <v>9.23</v>
      </c>
      <c r="AD39" s="2">
        <f t="shared" si="0"/>
        <v>0.32000000000000028</v>
      </c>
      <c r="AE39" s="138">
        <f t="shared" si="1"/>
        <v>-3.0462184873949472E-2</v>
      </c>
    </row>
    <row r="40" spans="1:31" ht="15.75" thickTop="1" x14ac:dyDescent="0.25">
      <c r="B40" s="259"/>
      <c r="C40" s="280"/>
      <c r="D40" s="279"/>
      <c r="E40" s="279"/>
      <c r="F40" s="279"/>
      <c r="G40" s="259"/>
      <c r="H40" s="280"/>
      <c r="I40" s="279"/>
      <c r="J40" s="279"/>
      <c r="K40" s="279"/>
      <c r="L40" s="278"/>
      <c r="O40" s="2"/>
      <c r="P40" s="83">
        <v>1.1000000000000001</v>
      </c>
      <c r="Q40" s="83">
        <f>P40*$Q$4</f>
        <v>11.044</v>
      </c>
      <c r="R40" s="34"/>
      <c r="T40" s="87" t="s">
        <v>98</v>
      </c>
      <c r="U40" s="88">
        <v>10.5</v>
      </c>
      <c r="W40" s="94">
        <v>42552</v>
      </c>
      <c r="X40" s="10">
        <v>9.2799999999999994</v>
      </c>
      <c r="Y40" s="10">
        <v>9.59</v>
      </c>
      <c r="Z40" s="10">
        <v>9.27</v>
      </c>
      <c r="AA40" s="10">
        <v>9.5500000000000007</v>
      </c>
      <c r="AB40" s="95">
        <v>18307200</v>
      </c>
      <c r="AC40" s="10">
        <v>9.52</v>
      </c>
      <c r="AD40" s="2">
        <f t="shared" si="0"/>
        <v>0.32000000000000028</v>
      </c>
      <c r="AE40" s="138">
        <f t="shared" si="1"/>
        <v>3.0303030303030276E-2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1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10.9436</v>
      </c>
      <c r="R41" s="34"/>
      <c r="T41" s="87" t="s">
        <v>99</v>
      </c>
      <c r="U41" s="88">
        <v>10.43</v>
      </c>
      <c r="W41" s="94">
        <v>42551</v>
      </c>
      <c r="X41" s="10">
        <v>9.19</v>
      </c>
      <c r="Y41" s="10">
        <v>9.2799999999999994</v>
      </c>
      <c r="Z41" s="10">
        <v>9.02</v>
      </c>
      <c r="AA41" s="10">
        <v>9.27</v>
      </c>
      <c r="AB41" s="95">
        <v>24791900</v>
      </c>
      <c r="AC41" s="10">
        <v>9.24</v>
      </c>
      <c r="AD41" s="2">
        <f t="shared" si="0"/>
        <v>0.25999999999999979</v>
      </c>
      <c r="AE41" s="138">
        <f t="shared" si="1"/>
        <v>1.8743109151047488E-2</v>
      </c>
    </row>
    <row r="42" spans="1:31" x14ac:dyDescent="0.25">
      <c r="A42" s="262"/>
      <c r="B42" s="262"/>
      <c r="C42" s="262"/>
      <c r="D42" s="263"/>
      <c r="E42" s="263"/>
      <c r="F42" s="263"/>
      <c r="G42" s="262"/>
      <c r="H42" s="262"/>
      <c r="I42" s="263"/>
      <c r="J42" s="263"/>
      <c r="K42" s="264" t="s">
        <v>133</v>
      </c>
      <c r="L42" s="262"/>
      <c r="M42" s="263">
        <f>K85+M85-F85</f>
        <v>1128.3800000000047</v>
      </c>
      <c r="N42" s="262"/>
      <c r="O42" s="2"/>
      <c r="P42" s="83">
        <v>1.08</v>
      </c>
      <c r="Q42" s="83">
        <f t="shared" si="3"/>
        <v>10.8432</v>
      </c>
      <c r="R42" s="34"/>
      <c r="T42" s="87" t="s">
        <v>100</v>
      </c>
      <c r="U42" s="88" t="s">
        <v>458</v>
      </c>
      <c r="W42" s="94">
        <v>42550</v>
      </c>
      <c r="X42" s="10">
        <v>9.51</v>
      </c>
      <c r="Y42" s="10">
        <v>9.52</v>
      </c>
      <c r="Z42" s="10">
        <v>9.01</v>
      </c>
      <c r="AA42" s="10">
        <v>9.1</v>
      </c>
      <c r="AB42" s="95">
        <v>37163300</v>
      </c>
      <c r="AC42" s="10">
        <v>9.07</v>
      </c>
      <c r="AD42" s="2">
        <f t="shared" si="0"/>
        <v>0.50999999999999979</v>
      </c>
      <c r="AE42" s="138">
        <f t="shared" si="1"/>
        <v>-2.4731182795698969E-2</v>
      </c>
    </row>
    <row r="43" spans="1:31" x14ac:dyDescent="0.25">
      <c r="A43" s="264" t="s">
        <v>1</v>
      </c>
      <c r="B43" s="264" t="s">
        <v>2</v>
      </c>
      <c r="C43" s="264" t="s">
        <v>4</v>
      </c>
      <c r="D43" s="265" t="s">
        <v>5</v>
      </c>
      <c r="E43" s="265" t="s">
        <v>90</v>
      </c>
      <c r="F43" s="265" t="s">
        <v>60</v>
      </c>
      <c r="G43" s="264" t="s">
        <v>3</v>
      </c>
      <c r="H43" s="264" t="s">
        <v>6</v>
      </c>
      <c r="I43" s="265" t="s">
        <v>7</v>
      </c>
      <c r="J43" s="265" t="s">
        <v>89</v>
      </c>
      <c r="K43" s="265" t="s">
        <v>61</v>
      </c>
      <c r="L43" s="264" t="s">
        <v>77</v>
      </c>
      <c r="M43" s="264" t="s">
        <v>38</v>
      </c>
      <c r="N43" s="264"/>
      <c r="O43" s="2"/>
      <c r="P43" s="83">
        <v>1.07</v>
      </c>
      <c r="Q43" s="83">
        <f t="shared" si="3"/>
        <v>10.742799999999999</v>
      </c>
      <c r="R43" s="83"/>
      <c r="T43" s="87" t="s">
        <v>101</v>
      </c>
      <c r="U43" s="88" t="s">
        <v>459</v>
      </c>
      <c r="W43" s="94">
        <v>42549</v>
      </c>
      <c r="X43" s="10">
        <v>9.35</v>
      </c>
      <c r="Y43" s="10">
        <v>9.3800000000000008</v>
      </c>
      <c r="Z43" s="10">
        <v>9.19</v>
      </c>
      <c r="AA43" s="10">
        <v>9.33</v>
      </c>
      <c r="AB43" s="95">
        <v>18175800</v>
      </c>
      <c r="AC43" s="10">
        <v>9.3000000000000007</v>
      </c>
      <c r="AD43" s="2">
        <f t="shared" si="0"/>
        <v>0.19000000000000128</v>
      </c>
      <c r="AE43" s="138">
        <f t="shared" si="1"/>
        <v>2.535832414553485E-2</v>
      </c>
    </row>
    <row r="44" spans="1:31" x14ac:dyDescent="0.25">
      <c r="A44" s="266" t="s">
        <v>10</v>
      </c>
      <c r="B44" s="267">
        <v>42146</v>
      </c>
      <c r="C44" s="262">
        <v>100</v>
      </c>
      <c r="D44" s="263">
        <v>13.1</v>
      </c>
      <c r="E44" s="263">
        <v>0</v>
      </c>
      <c r="F44" s="263">
        <f>C44*D44+E44</f>
        <v>1310</v>
      </c>
      <c r="G44" s="267">
        <v>42199</v>
      </c>
      <c r="H44" s="262">
        <v>52</v>
      </c>
      <c r="I44" s="263">
        <v>10.7</v>
      </c>
      <c r="J44" s="263">
        <v>0.01</v>
      </c>
      <c r="K44" s="263">
        <f t="shared" ref="K44:K67" si="4">H44*I44-J44</f>
        <v>556.39</v>
      </c>
      <c r="L44" s="267">
        <v>42241</v>
      </c>
      <c r="M44" s="263">
        <v>12</v>
      </c>
      <c r="N44" s="262"/>
      <c r="O44" s="2"/>
      <c r="P44" s="83">
        <v>1.06</v>
      </c>
      <c r="Q44" s="83">
        <f t="shared" si="3"/>
        <v>10.6424</v>
      </c>
      <c r="R44" s="83"/>
      <c r="T44" s="87" t="s">
        <v>102</v>
      </c>
      <c r="U44" s="88">
        <v>11.33</v>
      </c>
      <c r="W44" s="94">
        <v>42548</v>
      </c>
      <c r="X44" s="10">
        <v>9.2799999999999994</v>
      </c>
      <c r="Y44" s="10">
        <v>9.3000000000000007</v>
      </c>
      <c r="Z44" s="10">
        <v>8.9499999999999993</v>
      </c>
      <c r="AA44" s="10">
        <v>9.1</v>
      </c>
      <c r="AB44" s="95">
        <v>21866300</v>
      </c>
      <c r="AC44" s="10">
        <v>9.07</v>
      </c>
      <c r="AD44" s="2">
        <f t="shared" si="0"/>
        <v>0.35000000000000142</v>
      </c>
      <c r="AE44" s="138">
        <f t="shared" si="1"/>
        <v>-2.9946524064171087E-2</v>
      </c>
    </row>
    <row r="45" spans="1:31" x14ac:dyDescent="0.25">
      <c r="A45" s="269" t="s">
        <v>71</v>
      </c>
      <c r="B45" s="267">
        <v>42151</v>
      </c>
      <c r="C45" s="262">
        <v>102</v>
      </c>
      <c r="D45" s="263">
        <v>12.99</v>
      </c>
      <c r="E45" s="263">
        <v>0</v>
      </c>
      <c r="F45" s="263">
        <f t="shared" ref="F45:F79" si="5">C45*D45+E45</f>
        <v>1324.98</v>
      </c>
      <c r="G45" s="267">
        <v>42235</v>
      </c>
      <c r="H45" s="262">
        <v>150</v>
      </c>
      <c r="I45" s="263">
        <v>9.41</v>
      </c>
      <c r="J45" s="263">
        <v>0.03</v>
      </c>
      <c r="K45" s="263">
        <f t="shared" si="4"/>
        <v>1411.47</v>
      </c>
      <c r="L45" s="267">
        <v>42333</v>
      </c>
      <c r="M45" s="263">
        <v>111</v>
      </c>
      <c r="N45" s="262"/>
      <c r="O45" s="2"/>
      <c r="P45" s="83">
        <v>1.05</v>
      </c>
      <c r="Q45" s="83">
        <f t="shared" si="3"/>
        <v>10.542</v>
      </c>
      <c r="R45" s="83"/>
      <c r="T45" s="87" t="s">
        <v>103</v>
      </c>
      <c r="U45" s="88">
        <v>0.71133299999999999</v>
      </c>
      <c r="W45" s="94">
        <v>42545</v>
      </c>
      <c r="X45" s="10">
        <v>9.56</v>
      </c>
      <c r="Y45" s="10">
        <v>9.74</v>
      </c>
      <c r="Z45" s="10">
        <v>9.35</v>
      </c>
      <c r="AA45" s="10">
        <v>9.3800000000000008</v>
      </c>
      <c r="AB45" s="95">
        <v>34013600</v>
      </c>
      <c r="AC45" s="10">
        <v>9.35</v>
      </c>
      <c r="AD45" s="2">
        <f t="shared" si="0"/>
        <v>0.39000000000000057</v>
      </c>
      <c r="AE45" s="138">
        <f t="shared" si="1"/>
        <v>-7.6086956521739135E-2</v>
      </c>
    </row>
    <row r="46" spans="1:31" x14ac:dyDescent="0.25">
      <c r="A46" s="262"/>
      <c r="B46" s="267">
        <v>42152</v>
      </c>
      <c r="C46" s="262">
        <v>50</v>
      </c>
      <c r="D46" s="263">
        <v>12.94</v>
      </c>
      <c r="E46" s="263">
        <v>0</v>
      </c>
      <c r="F46" s="263">
        <f t="shared" si="5"/>
        <v>647</v>
      </c>
      <c r="G46" s="267">
        <v>42256</v>
      </c>
      <c r="H46" s="268">
        <v>300</v>
      </c>
      <c r="I46" s="263">
        <v>9.6999999999999993</v>
      </c>
      <c r="J46" s="263">
        <v>0.05</v>
      </c>
      <c r="K46" s="263">
        <f t="shared" si="4"/>
        <v>2909.95</v>
      </c>
      <c r="L46" s="267">
        <v>42425</v>
      </c>
      <c r="M46" s="263">
        <v>15</v>
      </c>
      <c r="N46" s="262"/>
      <c r="O46" s="2"/>
      <c r="P46" s="83">
        <v>1.04</v>
      </c>
      <c r="Q46" s="83">
        <f t="shared" si="3"/>
        <v>10.441599999999999</v>
      </c>
      <c r="R46" s="83"/>
      <c r="T46" s="87" t="s">
        <v>123</v>
      </c>
      <c r="U46" s="89" t="s">
        <v>287</v>
      </c>
      <c r="W46" s="94">
        <v>42544</v>
      </c>
      <c r="X46" s="10">
        <v>10.08</v>
      </c>
      <c r="Y46" s="10">
        <v>10.17</v>
      </c>
      <c r="Z46" s="10">
        <v>9.98</v>
      </c>
      <c r="AA46" s="10">
        <v>10.15</v>
      </c>
      <c r="AB46" s="95">
        <v>20543000</v>
      </c>
      <c r="AC46" s="10">
        <v>10.119999999999999</v>
      </c>
      <c r="AD46" s="2">
        <f t="shared" si="0"/>
        <v>0.1899999999999995</v>
      </c>
      <c r="AE46" s="138">
        <f t="shared" si="1"/>
        <v>2.6369168356997985E-2</v>
      </c>
    </row>
    <row r="47" spans="1:31" x14ac:dyDescent="0.25">
      <c r="A47" s="262"/>
      <c r="B47" s="267">
        <v>42166</v>
      </c>
      <c r="C47" s="262">
        <v>48</v>
      </c>
      <c r="D47" s="263">
        <v>12.3</v>
      </c>
      <c r="E47" s="263">
        <v>0</v>
      </c>
      <c r="F47" s="263">
        <f t="shared" si="5"/>
        <v>590.40000000000009</v>
      </c>
      <c r="G47" s="267">
        <v>42285</v>
      </c>
      <c r="H47" s="268">
        <v>300</v>
      </c>
      <c r="I47" s="263">
        <v>9.85</v>
      </c>
      <c r="J47" s="263">
        <v>0.05</v>
      </c>
      <c r="K47" s="263">
        <f t="shared" si="4"/>
        <v>2954.95</v>
      </c>
      <c r="L47" s="262"/>
      <c r="M47" s="263"/>
      <c r="N47" s="262"/>
      <c r="O47" s="2"/>
      <c r="P47" s="83">
        <v>1.03</v>
      </c>
      <c r="Q47" s="83">
        <f t="shared" si="3"/>
        <v>10.341199999999999</v>
      </c>
      <c r="R47" s="83"/>
      <c r="T47" s="87"/>
      <c r="U47" s="88"/>
      <c r="W47" s="94">
        <v>42543</v>
      </c>
      <c r="X47" s="10">
        <v>9.92</v>
      </c>
      <c r="Y47" s="10">
        <v>10.15</v>
      </c>
      <c r="Z47" s="10">
        <v>9.85</v>
      </c>
      <c r="AA47" s="10">
        <v>9.89</v>
      </c>
      <c r="AB47" s="95">
        <v>19506000</v>
      </c>
      <c r="AC47" s="10">
        <v>9.86</v>
      </c>
      <c r="AD47" s="2">
        <f t="shared" si="0"/>
        <v>0.30000000000000071</v>
      </c>
      <c r="AE47" s="138">
        <f t="shared" si="1"/>
        <v>3.0518819938962771E-3</v>
      </c>
    </row>
    <row r="48" spans="1:31" x14ac:dyDescent="0.25">
      <c r="A48" s="262"/>
      <c r="B48" s="267">
        <v>42180</v>
      </c>
      <c r="C48" s="262">
        <v>50</v>
      </c>
      <c r="D48" s="263">
        <v>11.7</v>
      </c>
      <c r="E48" s="263">
        <v>0</v>
      </c>
      <c r="F48" s="263">
        <f t="shared" si="5"/>
        <v>585</v>
      </c>
      <c r="G48" s="267">
        <v>42285</v>
      </c>
      <c r="H48" s="268">
        <v>100</v>
      </c>
      <c r="I48" s="263">
        <v>9.98</v>
      </c>
      <c r="J48" s="263">
        <v>0.02</v>
      </c>
      <c r="K48" s="263">
        <f t="shared" si="4"/>
        <v>997.98</v>
      </c>
      <c r="L48" s="262"/>
      <c r="M48" s="263"/>
      <c r="N48" s="262"/>
      <c r="O48" s="2"/>
      <c r="P48" s="83">
        <v>1.02</v>
      </c>
      <c r="Q48" s="83">
        <f t="shared" si="3"/>
        <v>10.2408</v>
      </c>
      <c r="R48" s="83"/>
      <c r="T48" s="87" t="s">
        <v>105</v>
      </c>
      <c r="U48" s="88" t="s">
        <v>460</v>
      </c>
      <c r="W48" s="94">
        <v>42542</v>
      </c>
      <c r="X48" s="10">
        <v>9.73</v>
      </c>
      <c r="Y48" s="10">
        <v>9.9</v>
      </c>
      <c r="Z48" s="10">
        <v>9.67</v>
      </c>
      <c r="AA48" s="10">
        <v>9.86</v>
      </c>
      <c r="AB48" s="95">
        <v>13633900</v>
      </c>
      <c r="AC48" s="10">
        <v>9.83</v>
      </c>
      <c r="AD48" s="2">
        <f t="shared" si="0"/>
        <v>0.23000000000000043</v>
      </c>
      <c r="AE48" s="138">
        <f t="shared" si="1"/>
        <v>1.0277492291880685E-2</v>
      </c>
    </row>
    <row r="49" spans="1:31" x14ac:dyDescent="0.25">
      <c r="A49" s="262"/>
      <c r="B49" s="267">
        <v>42198</v>
      </c>
      <c r="C49" s="262">
        <v>50</v>
      </c>
      <c r="D49" s="263">
        <v>10.5</v>
      </c>
      <c r="E49" s="263">
        <v>0</v>
      </c>
      <c r="F49" s="263">
        <f t="shared" si="5"/>
        <v>525</v>
      </c>
      <c r="G49" s="267">
        <v>42304</v>
      </c>
      <c r="H49" s="268">
        <v>1400</v>
      </c>
      <c r="I49" s="263">
        <v>9.4600000000000009</v>
      </c>
      <c r="J49" s="263">
        <v>0.24</v>
      </c>
      <c r="K49" s="263">
        <f t="shared" si="4"/>
        <v>13243.760000000002</v>
      </c>
      <c r="L49" s="262"/>
      <c r="M49" s="263"/>
      <c r="N49" s="262"/>
      <c r="O49" s="2"/>
      <c r="P49" s="83">
        <v>1.01</v>
      </c>
      <c r="Q49" s="83">
        <f t="shared" si="3"/>
        <v>10.1404</v>
      </c>
      <c r="R49" s="83"/>
      <c r="T49" s="87" t="s">
        <v>106</v>
      </c>
      <c r="U49" s="88" t="s">
        <v>269</v>
      </c>
      <c r="W49" s="94">
        <v>42541</v>
      </c>
      <c r="X49" s="10">
        <v>9.74</v>
      </c>
      <c r="Y49" s="10">
        <v>9.9499999999999993</v>
      </c>
      <c r="Z49" s="10">
        <v>9.7200000000000006</v>
      </c>
      <c r="AA49" s="10">
        <v>9.76</v>
      </c>
      <c r="AB49" s="95">
        <v>16913500</v>
      </c>
      <c r="AC49" s="10">
        <v>9.73</v>
      </c>
      <c r="AD49" s="2">
        <f t="shared" si="0"/>
        <v>0.22999999999999865</v>
      </c>
      <c r="AE49" s="138">
        <f t="shared" si="1"/>
        <v>1.884816753926688E-2</v>
      </c>
    </row>
    <row r="50" spans="1:31" x14ac:dyDescent="0.25">
      <c r="A50" s="262"/>
      <c r="B50" s="267">
        <v>42205</v>
      </c>
      <c r="C50" s="262">
        <v>20</v>
      </c>
      <c r="D50" s="263">
        <v>10.56</v>
      </c>
      <c r="E50" s="263">
        <v>0</v>
      </c>
      <c r="F50" s="263">
        <f t="shared" si="5"/>
        <v>211.20000000000002</v>
      </c>
      <c r="G50" s="267">
        <v>42310</v>
      </c>
      <c r="H50" s="268">
        <v>3400</v>
      </c>
      <c r="I50" s="263">
        <v>9.1199999999999992</v>
      </c>
      <c r="J50" s="263">
        <v>7.52</v>
      </c>
      <c r="K50" s="263">
        <f t="shared" si="4"/>
        <v>31000.479999999996</v>
      </c>
      <c r="L50" s="262"/>
      <c r="M50" s="263"/>
      <c r="N50" s="262"/>
      <c r="O50" s="2"/>
      <c r="P50" s="83">
        <v>1</v>
      </c>
      <c r="Q50" s="83">
        <f t="shared" si="3"/>
        <v>10.039999999999999</v>
      </c>
      <c r="R50" s="83"/>
      <c r="T50" s="87" t="s">
        <v>107</v>
      </c>
      <c r="U50" s="90">
        <v>19740202</v>
      </c>
      <c r="W50" s="94">
        <v>42538</v>
      </c>
      <c r="X50" s="10">
        <v>9.4499999999999993</v>
      </c>
      <c r="Y50" s="10">
        <v>9.65</v>
      </c>
      <c r="Z50" s="10">
        <v>9.41</v>
      </c>
      <c r="AA50" s="10">
        <v>9.58</v>
      </c>
      <c r="AB50" s="95">
        <v>29220800</v>
      </c>
      <c r="AC50" s="10">
        <v>9.5500000000000007</v>
      </c>
      <c r="AD50" s="2">
        <f t="shared" si="0"/>
        <v>0.24000000000000021</v>
      </c>
      <c r="AE50" s="138">
        <f t="shared" si="1"/>
        <v>2.0299145299145449E-2</v>
      </c>
    </row>
    <row r="51" spans="1:31" x14ac:dyDescent="0.25">
      <c r="A51" s="262"/>
      <c r="B51" s="267">
        <v>42208</v>
      </c>
      <c r="C51" s="262">
        <v>32</v>
      </c>
      <c r="D51" s="263">
        <v>10.220000000000001</v>
      </c>
      <c r="E51" s="263">
        <v>0</v>
      </c>
      <c r="F51" s="263">
        <f t="shared" si="5"/>
        <v>327.04000000000002</v>
      </c>
      <c r="G51" s="267">
        <v>42314</v>
      </c>
      <c r="H51" s="268">
        <v>1400</v>
      </c>
      <c r="I51" s="263">
        <v>9.42</v>
      </c>
      <c r="J51" s="263">
        <v>0.24</v>
      </c>
      <c r="K51" s="263">
        <f t="shared" si="4"/>
        <v>13187.76</v>
      </c>
      <c r="L51" s="262"/>
      <c r="M51" s="263"/>
      <c r="N51" s="262"/>
      <c r="O51" s="2"/>
      <c r="P51" s="83">
        <v>0.99</v>
      </c>
      <c r="Q51" s="83">
        <f t="shared" si="3"/>
        <v>9.9395999999999987</v>
      </c>
      <c r="R51" s="83"/>
      <c r="T51" s="87" t="s">
        <v>110</v>
      </c>
      <c r="U51" s="90">
        <v>17847700</v>
      </c>
      <c r="W51" s="94">
        <v>42537</v>
      </c>
      <c r="X51" s="10">
        <v>9.2799999999999994</v>
      </c>
      <c r="Y51" s="10">
        <v>9.41</v>
      </c>
      <c r="Z51" s="10">
        <v>9.15</v>
      </c>
      <c r="AA51" s="10">
        <v>9.39</v>
      </c>
      <c r="AB51" s="95">
        <v>13639800</v>
      </c>
      <c r="AC51" s="10">
        <v>9.36</v>
      </c>
      <c r="AD51" s="2">
        <f t="shared" si="0"/>
        <v>0.25999999999999979</v>
      </c>
      <c r="AE51" s="138">
        <f t="shared" si="1"/>
        <v>-6.3694267515923553E-3</v>
      </c>
    </row>
    <row r="52" spans="1:31" x14ac:dyDescent="0.25">
      <c r="A52" s="262"/>
      <c r="B52" s="267">
        <v>42230</v>
      </c>
      <c r="C52" s="262">
        <v>100</v>
      </c>
      <c r="D52" s="263">
        <v>9.58</v>
      </c>
      <c r="E52" s="263">
        <v>0</v>
      </c>
      <c r="F52" s="263">
        <f t="shared" si="5"/>
        <v>958</v>
      </c>
      <c r="G52" s="267">
        <v>42331</v>
      </c>
      <c r="H52" s="268">
        <v>1400</v>
      </c>
      <c r="I52" s="263">
        <v>8.41</v>
      </c>
      <c r="J52" s="263">
        <v>0.22</v>
      </c>
      <c r="K52" s="263">
        <f t="shared" si="4"/>
        <v>11773.78</v>
      </c>
      <c r="L52" s="263"/>
      <c r="M52" s="263"/>
      <c r="N52" s="262"/>
      <c r="O52" s="2"/>
      <c r="P52" s="83">
        <v>0.98</v>
      </c>
      <c r="Q52" s="83">
        <f t="shared" si="3"/>
        <v>9.8391999999999982</v>
      </c>
      <c r="R52" s="83"/>
      <c r="T52" s="87" t="s">
        <v>108</v>
      </c>
      <c r="U52" s="88" t="s">
        <v>461</v>
      </c>
      <c r="W52" s="94">
        <v>42536</v>
      </c>
      <c r="X52" s="10">
        <v>9.26</v>
      </c>
      <c r="Y52" s="10">
        <v>9.59</v>
      </c>
      <c r="Z52" s="10">
        <v>9.2100000000000009</v>
      </c>
      <c r="AA52" s="10">
        <v>9.4499999999999993</v>
      </c>
      <c r="AB52" s="95">
        <v>17775200</v>
      </c>
      <c r="AC52" s="10">
        <v>9.42</v>
      </c>
      <c r="AD52" s="2">
        <f t="shared" si="0"/>
        <v>0.37999999999999901</v>
      </c>
      <c r="AE52" s="138">
        <f t="shared" si="1"/>
        <v>3.8588754134509351E-2</v>
      </c>
    </row>
    <row r="53" spans="1:31" x14ac:dyDescent="0.25">
      <c r="A53" s="262"/>
      <c r="B53" s="267">
        <v>42233</v>
      </c>
      <c r="C53" s="262">
        <v>150</v>
      </c>
      <c r="D53" s="263">
        <v>9.3000000000000007</v>
      </c>
      <c r="E53" s="263">
        <v>0</v>
      </c>
      <c r="F53" s="263">
        <f t="shared" si="5"/>
        <v>1395</v>
      </c>
      <c r="G53" s="267">
        <v>42331</v>
      </c>
      <c r="H53" s="268">
        <v>65</v>
      </c>
      <c r="I53" s="263">
        <v>8.41</v>
      </c>
      <c r="J53" s="263">
        <v>0.01</v>
      </c>
      <c r="K53" s="263">
        <f t="shared" si="4"/>
        <v>546.64</v>
      </c>
      <c r="L53" s="262"/>
      <c r="M53" s="262"/>
      <c r="N53" s="262"/>
      <c r="O53" s="2"/>
      <c r="P53" s="83">
        <v>0.97</v>
      </c>
      <c r="Q53" s="83">
        <f t="shared" si="3"/>
        <v>9.7387999999999995</v>
      </c>
      <c r="R53" s="83"/>
      <c r="T53" s="87" t="s">
        <v>111</v>
      </c>
      <c r="U53" s="88" t="s">
        <v>130</v>
      </c>
      <c r="W53" s="94">
        <v>42535</v>
      </c>
      <c r="X53" s="10">
        <v>9.2899999999999991</v>
      </c>
      <c r="Y53" s="10">
        <v>9.3699999999999992</v>
      </c>
      <c r="Z53" s="10">
        <v>9.01</v>
      </c>
      <c r="AA53" s="10">
        <v>9.1</v>
      </c>
      <c r="AB53" s="95">
        <v>23124000</v>
      </c>
      <c r="AC53" s="10">
        <v>9.07</v>
      </c>
      <c r="AD53" s="2">
        <f t="shared" si="0"/>
        <v>0.35999999999999943</v>
      </c>
      <c r="AE53" s="138">
        <f t="shared" si="1"/>
        <v>-2.3681377825618855E-2</v>
      </c>
    </row>
    <row r="54" spans="1:31" x14ac:dyDescent="0.25">
      <c r="A54" s="262"/>
      <c r="B54" s="267">
        <v>42240</v>
      </c>
      <c r="C54" s="262">
        <v>200</v>
      </c>
      <c r="D54" s="263">
        <v>9.2100000000000009</v>
      </c>
      <c r="E54" s="263">
        <v>0</v>
      </c>
      <c r="F54" s="263">
        <f t="shared" si="5"/>
        <v>1842.0000000000002</v>
      </c>
      <c r="G54" s="267">
        <v>42332</v>
      </c>
      <c r="H54" s="268">
        <v>2235</v>
      </c>
      <c r="I54" s="263">
        <v>8.5</v>
      </c>
      <c r="J54" s="263">
        <v>0.35</v>
      </c>
      <c r="K54" s="263">
        <f t="shared" si="4"/>
        <v>18997.150000000001</v>
      </c>
      <c r="L54" s="262"/>
      <c r="M54" s="262"/>
      <c r="N54" s="262"/>
      <c r="O54" s="2"/>
      <c r="P54" s="83">
        <v>0.96</v>
      </c>
      <c r="Q54" s="83">
        <f t="shared" si="3"/>
        <v>9.638399999999999</v>
      </c>
      <c r="R54" s="83"/>
      <c r="T54" s="87" t="s">
        <v>112</v>
      </c>
      <c r="U54" s="88">
        <v>-0.44</v>
      </c>
      <c r="W54" s="94">
        <v>42534</v>
      </c>
      <c r="X54" s="10">
        <v>9.4700000000000006</v>
      </c>
      <c r="Y54" s="10">
        <v>9.61</v>
      </c>
      <c r="Z54" s="10">
        <v>9.32</v>
      </c>
      <c r="AA54" s="10">
        <v>9.32</v>
      </c>
      <c r="AB54" s="95">
        <v>13053800</v>
      </c>
      <c r="AC54" s="10">
        <v>9.2899999999999991</v>
      </c>
      <c r="AD54" s="2">
        <f t="shared" si="0"/>
        <v>0.28999999999999915</v>
      </c>
      <c r="AE54" s="138">
        <f t="shared" si="1"/>
        <v>-1.7970401691332127E-2</v>
      </c>
    </row>
    <row r="55" spans="1:31" x14ac:dyDescent="0.25">
      <c r="A55" s="262"/>
      <c r="B55" s="267">
        <v>42272</v>
      </c>
      <c r="C55" s="262">
        <v>100</v>
      </c>
      <c r="D55" s="263">
        <v>9.4499999999999993</v>
      </c>
      <c r="E55" s="263">
        <v>0</v>
      </c>
      <c r="F55" s="263">
        <f t="shared" si="5"/>
        <v>944.99999999999989</v>
      </c>
      <c r="G55" s="267">
        <v>42332</v>
      </c>
      <c r="H55" s="268">
        <v>600</v>
      </c>
      <c r="I55" s="263">
        <v>8.75</v>
      </c>
      <c r="J55" s="263">
        <v>0.1</v>
      </c>
      <c r="K55" s="263">
        <f t="shared" si="4"/>
        <v>5249.9</v>
      </c>
      <c r="L55" s="262"/>
      <c r="M55" s="262"/>
      <c r="N55" s="262"/>
      <c r="O55" s="2"/>
      <c r="P55" s="83">
        <v>0.95</v>
      </c>
      <c r="Q55" s="83">
        <f t="shared" si="3"/>
        <v>9.5379999999999985</v>
      </c>
      <c r="R55" s="83"/>
      <c r="T55" s="87" t="s">
        <v>109</v>
      </c>
      <c r="U55" s="88" t="s">
        <v>392</v>
      </c>
      <c r="W55" s="94">
        <v>42531</v>
      </c>
      <c r="X55" s="10">
        <v>9.65</v>
      </c>
      <c r="Y55" s="10">
        <v>9.75</v>
      </c>
      <c r="Z55" s="10">
        <v>9.4499999999999993</v>
      </c>
      <c r="AA55" s="10">
        <v>9.49</v>
      </c>
      <c r="AB55" s="95">
        <v>18869300</v>
      </c>
      <c r="AC55" s="10">
        <v>9.4600000000000009</v>
      </c>
      <c r="AD55" s="2">
        <f t="shared" si="0"/>
        <v>0.30000000000000071</v>
      </c>
      <c r="AE55" s="138">
        <f t="shared" si="1"/>
        <v>-3.5677879714576921E-2</v>
      </c>
    </row>
    <row r="56" spans="1:31" x14ac:dyDescent="0.25">
      <c r="A56" s="262"/>
      <c r="B56" s="267">
        <v>42275</v>
      </c>
      <c r="C56" s="262">
        <v>100</v>
      </c>
      <c r="D56" s="263">
        <v>9.3000000000000007</v>
      </c>
      <c r="E56" s="263">
        <v>0</v>
      </c>
      <c r="F56" s="263">
        <f t="shared" si="5"/>
        <v>930.00000000000011</v>
      </c>
      <c r="G56" s="267">
        <v>42335</v>
      </c>
      <c r="H56" s="268">
        <v>500</v>
      </c>
      <c r="I56" s="263">
        <v>9.1</v>
      </c>
      <c r="J56" s="263">
        <v>0.08</v>
      </c>
      <c r="K56" s="263">
        <f t="shared" si="4"/>
        <v>4549.92</v>
      </c>
      <c r="L56" s="262"/>
      <c r="M56" s="262"/>
      <c r="N56" s="262"/>
      <c r="O56" s="2"/>
      <c r="P56" s="83">
        <v>0.94</v>
      </c>
      <c r="Q56" s="83">
        <f t="shared" si="3"/>
        <v>9.437599999999998</v>
      </c>
      <c r="R56" s="83"/>
      <c r="W56" s="94">
        <v>42530</v>
      </c>
      <c r="X56" s="10">
        <v>9.6999999999999993</v>
      </c>
      <c r="Y56" s="10">
        <v>9.85</v>
      </c>
      <c r="Z56" s="10">
        <v>9.52</v>
      </c>
      <c r="AA56" s="10">
        <v>9.84</v>
      </c>
      <c r="AB56" s="95">
        <v>19691000</v>
      </c>
      <c r="AC56" s="10">
        <v>9.81</v>
      </c>
      <c r="AD56" s="2">
        <f t="shared" si="0"/>
        <v>0.33000000000000007</v>
      </c>
      <c r="AE56" s="138">
        <f t="shared" si="1"/>
        <v>-5.0709939148071426E-3</v>
      </c>
    </row>
    <row r="57" spans="1:31" x14ac:dyDescent="0.25">
      <c r="A57" s="262"/>
      <c r="B57" s="267">
        <v>42290</v>
      </c>
      <c r="C57" s="262">
        <v>400</v>
      </c>
      <c r="D57" s="263">
        <v>10.79</v>
      </c>
      <c r="E57" s="263">
        <v>0</v>
      </c>
      <c r="F57" s="263">
        <f t="shared" si="5"/>
        <v>4316</v>
      </c>
      <c r="G57" s="267">
        <v>42339</v>
      </c>
      <c r="H57" s="268">
        <v>400</v>
      </c>
      <c r="I57" s="263">
        <v>9.35</v>
      </c>
      <c r="J57" s="263">
        <v>7.0000000000000007E-2</v>
      </c>
      <c r="K57" s="263">
        <f t="shared" si="4"/>
        <v>3739.93</v>
      </c>
      <c r="L57" s="262"/>
      <c r="M57" s="262"/>
      <c r="N57" s="262"/>
      <c r="O57" s="2"/>
      <c r="P57" s="83">
        <v>0.93</v>
      </c>
      <c r="Q57" s="83">
        <f t="shared" si="3"/>
        <v>9.3371999999999993</v>
      </c>
      <c r="R57" s="83"/>
      <c r="W57" s="94">
        <v>42529</v>
      </c>
      <c r="X57" s="10">
        <v>9.98</v>
      </c>
      <c r="Y57" s="10">
        <v>10.07</v>
      </c>
      <c r="Z57" s="10">
        <v>9.8800000000000008</v>
      </c>
      <c r="AA57" s="10">
        <v>9.89</v>
      </c>
      <c r="AB57" s="95">
        <v>16051700</v>
      </c>
      <c r="AC57" s="10">
        <v>9.86</v>
      </c>
      <c r="AD57" s="2">
        <f t="shared" si="0"/>
        <v>0.1899999999999995</v>
      </c>
      <c r="AE57" s="138">
        <f t="shared" si="1"/>
        <v>1.0245901639344135E-2</v>
      </c>
    </row>
    <row r="58" spans="1:31" x14ac:dyDescent="0.25">
      <c r="A58" s="262"/>
      <c r="B58" s="267">
        <v>42291</v>
      </c>
      <c r="C58" s="262">
        <v>150</v>
      </c>
      <c r="D58" s="263">
        <v>10.46</v>
      </c>
      <c r="E58" s="263">
        <v>0</v>
      </c>
      <c r="F58" s="263">
        <f t="shared" si="5"/>
        <v>1569.0000000000002</v>
      </c>
      <c r="G58" s="267">
        <v>42342</v>
      </c>
      <c r="H58" s="268">
        <v>500</v>
      </c>
      <c r="I58" s="263">
        <v>9.52</v>
      </c>
      <c r="J58" s="263">
        <v>0.09</v>
      </c>
      <c r="K58" s="263">
        <f t="shared" si="4"/>
        <v>4759.91</v>
      </c>
      <c r="L58" s="262"/>
      <c r="M58" s="262"/>
      <c r="N58" s="262"/>
      <c r="O58" s="2"/>
      <c r="P58" s="83">
        <v>0.92</v>
      </c>
      <c r="Q58" s="83">
        <f t="shared" si="3"/>
        <v>9.2367999999999988</v>
      </c>
      <c r="R58" s="83"/>
      <c r="W58" s="94">
        <v>42528</v>
      </c>
      <c r="X58" s="10">
        <v>9.7899999999999991</v>
      </c>
      <c r="Y58" s="10">
        <v>9.85</v>
      </c>
      <c r="Z58" s="10">
        <v>9.74</v>
      </c>
      <c r="AA58" s="10">
        <v>9.7899999999999991</v>
      </c>
      <c r="AB58" s="95">
        <v>10596200</v>
      </c>
      <c r="AC58" s="10">
        <v>9.76</v>
      </c>
      <c r="AD58" s="2">
        <f t="shared" si="0"/>
        <v>0.10999999999999943</v>
      </c>
      <c r="AE58" s="138">
        <f t="shared" si="1"/>
        <v>-5.0968399592253855E-3</v>
      </c>
    </row>
    <row r="59" spans="1:31" x14ac:dyDescent="0.25">
      <c r="A59" s="262"/>
      <c r="B59" s="267">
        <v>42292</v>
      </c>
      <c r="C59" s="262">
        <v>150</v>
      </c>
      <c r="D59" s="263">
        <v>10.3</v>
      </c>
      <c r="E59" s="263">
        <v>0</v>
      </c>
      <c r="F59" s="263">
        <f t="shared" si="5"/>
        <v>1545</v>
      </c>
      <c r="G59" s="267">
        <v>42347</v>
      </c>
      <c r="H59" s="268">
        <v>1500</v>
      </c>
      <c r="I59" s="263">
        <v>9.31</v>
      </c>
      <c r="J59" s="263">
        <v>0.26</v>
      </c>
      <c r="K59" s="263">
        <f t="shared" si="4"/>
        <v>13964.74</v>
      </c>
      <c r="L59" s="262"/>
      <c r="M59" s="262"/>
      <c r="N59" s="262"/>
      <c r="O59" s="2"/>
      <c r="P59" s="83">
        <v>0.91</v>
      </c>
      <c r="Q59" s="83">
        <f t="shared" si="3"/>
        <v>9.1364000000000001</v>
      </c>
      <c r="R59" s="83"/>
      <c r="W59" s="94">
        <v>42527</v>
      </c>
      <c r="X59" s="10">
        <v>9.6300000000000008</v>
      </c>
      <c r="Y59" s="10">
        <v>9.86</v>
      </c>
      <c r="Z59" s="10">
        <v>9.6300000000000008</v>
      </c>
      <c r="AA59" s="10">
        <v>9.84</v>
      </c>
      <c r="AB59" s="95">
        <v>15311800</v>
      </c>
      <c r="AC59" s="10">
        <v>9.81</v>
      </c>
      <c r="AD59" s="2">
        <f t="shared" si="0"/>
        <v>0.22999999999999865</v>
      </c>
      <c r="AE59" s="138">
        <f t="shared" si="1"/>
        <v>3.3719704952581697E-2</v>
      </c>
    </row>
    <row r="60" spans="1:31" x14ac:dyDescent="0.25">
      <c r="A60" s="262"/>
      <c r="B60" s="267">
        <v>42297</v>
      </c>
      <c r="C60" s="268">
        <v>200</v>
      </c>
      <c r="D60" s="263">
        <v>9.8000000000000007</v>
      </c>
      <c r="E60" s="263">
        <v>0</v>
      </c>
      <c r="F60" s="263">
        <f t="shared" si="5"/>
        <v>1960.0000000000002</v>
      </c>
      <c r="G60" s="267">
        <v>42353</v>
      </c>
      <c r="H60" s="268">
        <v>200</v>
      </c>
      <c r="I60" s="263">
        <v>9.2899999999999991</v>
      </c>
      <c r="J60" s="263">
        <v>0.03</v>
      </c>
      <c r="K60" s="263">
        <f t="shared" si="4"/>
        <v>1857.9699999999998</v>
      </c>
      <c r="L60" s="262"/>
      <c r="M60" s="262"/>
      <c r="N60" s="262"/>
      <c r="O60" s="2"/>
      <c r="P60" s="83">
        <v>0.9</v>
      </c>
      <c r="Q60" s="83">
        <f t="shared" si="3"/>
        <v>9.0359999999999996</v>
      </c>
      <c r="R60" s="83"/>
      <c r="W60" s="94">
        <v>42524</v>
      </c>
      <c r="X60" s="10">
        <v>9.44</v>
      </c>
      <c r="Y60" s="10">
        <v>9.57</v>
      </c>
      <c r="Z60" s="10">
        <v>9.2799999999999994</v>
      </c>
      <c r="AA60" s="10">
        <v>9.52</v>
      </c>
      <c r="AB60" s="95">
        <v>20764800</v>
      </c>
      <c r="AC60" s="10">
        <v>9.49</v>
      </c>
      <c r="AD60" s="2">
        <f t="shared" si="0"/>
        <v>0.29000000000000092</v>
      </c>
      <c r="AE60" s="138">
        <f t="shared" si="1"/>
        <v>2.0430107526881569E-2</v>
      </c>
    </row>
    <row r="61" spans="1:31" x14ac:dyDescent="0.25">
      <c r="A61" s="262"/>
      <c r="B61" s="267">
        <v>42297</v>
      </c>
      <c r="C61" s="268">
        <v>900</v>
      </c>
      <c r="D61" s="263">
        <v>9.74</v>
      </c>
      <c r="E61" s="263">
        <v>0</v>
      </c>
      <c r="F61" s="263">
        <f t="shared" si="5"/>
        <v>8766</v>
      </c>
      <c r="G61" s="267">
        <v>42354</v>
      </c>
      <c r="H61" s="268">
        <v>500</v>
      </c>
      <c r="I61" s="263">
        <v>8.93</v>
      </c>
      <c r="J61" s="263">
        <v>0.08</v>
      </c>
      <c r="K61" s="263">
        <f t="shared" si="4"/>
        <v>4464.92</v>
      </c>
      <c r="L61" s="262"/>
      <c r="M61" s="262"/>
      <c r="N61" s="262"/>
      <c r="W61" s="94">
        <v>42523</v>
      </c>
      <c r="X61" s="10">
        <v>9.25</v>
      </c>
      <c r="Y61" s="10">
        <v>9.4</v>
      </c>
      <c r="Z61" s="10">
        <v>9.18</v>
      </c>
      <c r="AA61" s="10">
        <v>9.33</v>
      </c>
      <c r="AB61" s="95">
        <v>13766300</v>
      </c>
      <c r="AC61" s="10">
        <v>9.3000000000000007</v>
      </c>
      <c r="AD61" s="2">
        <f t="shared" si="0"/>
        <v>0.22000000000000064</v>
      </c>
      <c r="AE61" s="138">
        <f t="shared" si="1"/>
        <v>3.2362459546926292E-3</v>
      </c>
    </row>
    <row r="62" spans="1:31" x14ac:dyDescent="0.25">
      <c r="A62" s="262"/>
      <c r="B62" s="267">
        <v>42299</v>
      </c>
      <c r="C62" s="262">
        <v>1000</v>
      </c>
      <c r="D62" s="263">
        <v>9.3800000000000008</v>
      </c>
      <c r="E62" s="263">
        <v>0</v>
      </c>
      <c r="F62" s="263">
        <f t="shared" si="5"/>
        <v>9380</v>
      </c>
      <c r="G62" s="267">
        <v>42366</v>
      </c>
      <c r="H62" s="268">
        <v>2000</v>
      </c>
      <c r="I62" s="263">
        <v>9.4499999999999993</v>
      </c>
      <c r="J62" s="263">
        <v>0.35</v>
      </c>
      <c r="K62" s="263">
        <f t="shared" si="4"/>
        <v>18899.650000000001</v>
      </c>
      <c r="L62" s="262"/>
      <c r="M62" s="262"/>
      <c r="N62" s="262"/>
      <c r="W62" s="94">
        <v>42522</v>
      </c>
      <c r="X62" s="10">
        <v>9.1999999999999993</v>
      </c>
      <c r="Y62" s="10">
        <v>9.3000000000000007</v>
      </c>
      <c r="Z62" s="10">
        <v>9.1</v>
      </c>
      <c r="AA62" s="10">
        <v>9.3000000000000007</v>
      </c>
      <c r="AB62" s="95">
        <v>17002000</v>
      </c>
      <c r="AC62" s="10">
        <v>9.27</v>
      </c>
      <c r="AD62" s="2">
        <f t="shared" si="0"/>
        <v>0.20000000000000107</v>
      </c>
      <c r="AE62" s="138">
        <f t="shared" si="1"/>
        <v>3.2467532467532756E-3</v>
      </c>
    </row>
    <row r="63" spans="1:31" x14ac:dyDescent="0.25">
      <c r="A63" s="262"/>
      <c r="B63" s="267">
        <v>42303</v>
      </c>
      <c r="C63" s="262">
        <v>400</v>
      </c>
      <c r="D63" s="263">
        <v>9.1999999999999993</v>
      </c>
      <c r="E63" s="263">
        <v>0</v>
      </c>
      <c r="F63" s="263">
        <f t="shared" si="5"/>
        <v>3679.9999999999995</v>
      </c>
      <c r="G63" s="267">
        <v>42367</v>
      </c>
      <c r="H63" s="268">
        <v>1000</v>
      </c>
      <c r="I63" s="263">
        <v>9.89</v>
      </c>
      <c r="J63" s="263">
        <v>0.18</v>
      </c>
      <c r="K63" s="263">
        <f t="shared" si="4"/>
        <v>9889.82</v>
      </c>
      <c r="L63" s="262"/>
      <c r="M63" s="262"/>
      <c r="N63" s="262"/>
      <c r="W63" s="94">
        <v>42521</v>
      </c>
      <c r="X63" s="10">
        <v>9.3699999999999992</v>
      </c>
      <c r="Y63" s="10">
        <v>9.48</v>
      </c>
      <c r="Z63" s="10">
        <v>9.24</v>
      </c>
      <c r="AA63" s="10">
        <v>9.27</v>
      </c>
      <c r="AB63" s="95">
        <v>21094200</v>
      </c>
      <c r="AC63" s="10">
        <v>9.24</v>
      </c>
      <c r="AD63" s="2">
        <f t="shared" si="0"/>
        <v>0.24000000000000021</v>
      </c>
      <c r="AE63" s="138">
        <f t="shared" si="1"/>
        <v>-8.5836909871245259E-3</v>
      </c>
    </row>
    <row r="64" spans="1:31" x14ac:dyDescent="0.25">
      <c r="A64" s="262"/>
      <c r="B64" s="282">
        <v>42304</v>
      </c>
      <c r="C64" s="262">
        <v>900</v>
      </c>
      <c r="D64" s="263">
        <v>9.32</v>
      </c>
      <c r="E64" s="263">
        <v>0</v>
      </c>
      <c r="F64" s="263">
        <f t="shared" si="5"/>
        <v>8388</v>
      </c>
      <c r="G64" s="267">
        <v>42398</v>
      </c>
      <c r="H64" s="268">
        <v>100</v>
      </c>
      <c r="I64" s="263">
        <v>7.21</v>
      </c>
      <c r="J64" s="263">
        <v>0.01</v>
      </c>
      <c r="K64" s="263">
        <f t="shared" si="4"/>
        <v>720.99</v>
      </c>
      <c r="L64" s="262"/>
      <c r="M64" s="262"/>
      <c r="N64" s="262"/>
      <c r="W64" s="94">
        <v>42517</v>
      </c>
      <c r="X64" s="10">
        <v>9.51</v>
      </c>
      <c r="Y64" s="10">
        <v>9.5500000000000007</v>
      </c>
      <c r="Z64" s="10">
        <v>9.31</v>
      </c>
      <c r="AA64" s="10">
        <v>9.35</v>
      </c>
      <c r="AB64" s="95">
        <v>24153600</v>
      </c>
      <c r="AC64" s="10">
        <v>9.32</v>
      </c>
      <c r="AD64" s="2">
        <f t="shared" si="0"/>
        <v>0.24000000000000021</v>
      </c>
      <c r="AE64" s="138">
        <f t="shared" si="1"/>
        <v>-1.6877637130801704E-2</v>
      </c>
    </row>
    <row r="65" spans="1:31" x14ac:dyDescent="0.25">
      <c r="A65" s="262"/>
      <c r="B65" s="282"/>
      <c r="C65" s="262">
        <v>500</v>
      </c>
      <c r="D65" s="263">
        <v>9.32</v>
      </c>
      <c r="E65" s="263">
        <v>0</v>
      </c>
      <c r="F65" s="263">
        <f t="shared" si="5"/>
        <v>4660</v>
      </c>
      <c r="G65" s="267">
        <v>42403</v>
      </c>
      <c r="H65" s="268">
        <v>100</v>
      </c>
      <c r="I65" s="263">
        <v>7.42</v>
      </c>
      <c r="J65" s="263">
        <v>0.01</v>
      </c>
      <c r="K65" s="263">
        <f t="shared" si="4"/>
        <v>741.99</v>
      </c>
      <c r="L65" s="263"/>
      <c r="M65" s="262"/>
      <c r="N65" s="262"/>
      <c r="W65" s="94">
        <v>42516</v>
      </c>
      <c r="X65" s="10">
        <v>9.77</v>
      </c>
      <c r="Y65" s="10">
        <v>9.81</v>
      </c>
      <c r="Z65" s="10">
        <v>9.44</v>
      </c>
      <c r="AA65" s="10">
        <v>9.51</v>
      </c>
      <c r="AB65" s="95">
        <v>15620400</v>
      </c>
      <c r="AC65" s="10">
        <v>9.48</v>
      </c>
      <c r="AD65" s="2">
        <f t="shared" si="0"/>
        <v>0.37000000000000099</v>
      </c>
      <c r="AE65" s="138">
        <f t="shared" si="1"/>
        <v>-9.4043887147334804E-3</v>
      </c>
    </row>
    <row r="66" spans="1:31" x14ac:dyDescent="0.25">
      <c r="A66" s="262"/>
      <c r="B66" s="267">
        <v>42306</v>
      </c>
      <c r="C66" s="262">
        <v>300</v>
      </c>
      <c r="D66" s="263">
        <v>8.7200000000000006</v>
      </c>
      <c r="E66" s="263">
        <v>6.95</v>
      </c>
      <c r="F66" s="263">
        <f t="shared" si="5"/>
        <v>2622.95</v>
      </c>
      <c r="G66" s="267">
        <v>42404</v>
      </c>
      <c r="H66" s="268">
        <v>100</v>
      </c>
      <c r="I66" s="263">
        <v>8.02</v>
      </c>
      <c r="J66" s="263">
        <v>0.01</v>
      </c>
      <c r="K66" s="263">
        <f t="shared" si="4"/>
        <v>801.99</v>
      </c>
      <c r="L66" s="262"/>
      <c r="M66" s="262"/>
      <c r="N66" s="262"/>
      <c r="W66" s="94">
        <v>42515</v>
      </c>
      <c r="X66" s="10">
        <v>9.51</v>
      </c>
      <c r="Y66" s="10">
        <v>9.68</v>
      </c>
      <c r="Z66" s="10">
        <v>9.48</v>
      </c>
      <c r="AA66" s="10">
        <v>9.6</v>
      </c>
      <c r="AB66" s="95">
        <v>13996300</v>
      </c>
      <c r="AC66" s="10">
        <v>9.57</v>
      </c>
      <c r="AD66" s="2">
        <f t="shared" si="0"/>
        <v>0.19999999999999929</v>
      </c>
      <c r="AE66" s="138">
        <f t="shared" si="1"/>
        <v>1.9169329073482455E-2</v>
      </c>
    </row>
    <row r="67" spans="1:31" x14ac:dyDescent="0.25">
      <c r="A67" s="262"/>
      <c r="B67" s="267">
        <v>42310</v>
      </c>
      <c r="C67" s="262">
        <v>3400</v>
      </c>
      <c r="D67" s="263">
        <v>9.0299999999999994</v>
      </c>
      <c r="E67" s="263">
        <v>6.95</v>
      </c>
      <c r="F67" s="263">
        <f t="shared" si="5"/>
        <v>30708.949999999997</v>
      </c>
      <c r="G67" s="267">
        <v>42416</v>
      </c>
      <c r="H67" s="268">
        <v>300</v>
      </c>
      <c r="I67" s="263">
        <v>7.98</v>
      </c>
      <c r="J67" s="263">
        <v>0.05</v>
      </c>
      <c r="K67" s="263">
        <f t="shared" si="4"/>
        <v>2393.9499999999998</v>
      </c>
      <c r="L67" s="262"/>
      <c r="M67" s="262"/>
      <c r="N67" s="262"/>
      <c r="W67" s="94">
        <v>42514</v>
      </c>
      <c r="X67" s="10">
        <v>9.3800000000000008</v>
      </c>
      <c r="Y67" s="10">
        <v>9.5500000000000007</v>
      </c>
      <c r="Z67" s="10">
        <v>9.26</v>
      </c>
      <c r="AA67" s="10">
        <v>9.42</v>
      </c>
      <c r="AB67" s="95">
        <v>18486600</v>
      </c>
      <c r="AC67" s="10">
        <v>9.39</v>
      </c>
      <c r="AD67" s="2">
        <f t="shared" si="0"/>
        <v>0.29000000000000092</v>
      </c>
      <c r="AE67" s="138">
        <f t="shared" si="1"/>
        <v>1.5135135135135203E-2</v>
      </c>
    </row>
    <row r="68" spans="1:31" x14ac:dyDescent="0.25">
      <c r="A68" s="262"/>
      <c r="B68" s="267">
        <v>42314</v>
      </c>
      <c r="C68" s="262">
        <v>1400</v>
      </c>
      <c r="D68" s="263">
        <v>9.35</v>
      </c>
      <c r="E68" s="263">
        <v>0</v>
      </c>
      <c r="F68" s="263">
        <f t="shared" si="5"/>
        <v>13090</v>
      </c>
      <c r="G68" s="267">
        <v>42444</v>
      </c>
      <c r="H68" s="262">
        <v>200</v>
      </c>
      <c r="I68" s="263">
        <v>9.49</v>
      </c>
      <c r="J68" s="263">
        <v>0.04</v>
      </c>
      <c r="K68" s="263">
        <v>1897.96</v>
      </c>
      <c r="L68" s="262"/>
      <c r="M68" s="262"/>
      <c r="N68" s="262"/>
      <c r="W68" s="94">
        <v>42513</v>
      </c>
      <c r="X68" s="10">
        <v>9.2799999999999994</v>
      </c>
      <c r="Y68" s="10">
        <v>9.36</v>
      </c>
      <c r="Z68" s="10">
        <v>9.1300000000000008</v>
      </c>
      <c r="AA68" s="10">
        <v>9.2799999999999994</v>
      </c>
      <c r="AB68" s="95">
        <v>20366400</v>
      </c>
      <c r="AC68" s="10">
        <v>9.25</v>
      </c>
      <c r="AD68" s="2">
        <f>Y68-Z68</f>
        <v>0.22999999999999865</v>
      </c>
      <c r="AE68" s="138" t="e">
        <f>AC68/AC69-1</f>
        <v>#DIV/0!</v>
      </c>
    </row>
    <row r="69" spans="1:31" x14ac:dyDescent="0.25">
      <c r="A69" s="262"/>
      <c r="B69" s="267">
        <v>42324</v>
      </c>
      <c r="C69" s="276">
        <v>3700</v>
      </c>
      <c r="D69" s="263">
        <v>8.2899999999999991</v>
      </c>
      <c r="E69" s="263">
        <v>0</v>
      </c>
      <c r="F69" s="263">
        <f t="shared" si="5"/>
        <v>30672.999999999996</v>
      </c>
      <c r="G69" s="267"/>
      <c r="H69" s="268"/>
      <c r="I69" s="263"/>
      <c r="J69" s="263"/>
      <c r="K69" s="263"/>
      <c r="L69" s="262"/>
      <c r="M69" s="262"/>
      <c r="N69" s="262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2"/>
      <c r="B70" s="267">
        <v>42324</v>
      </c>
      <c r="C70" s="276">
        <v>600</v>
      </c>
      <c r="D70" s="263">
        <v>8.14</v>
      </c>
      <c r="E70" s="263">
        <v>0</v>
      </c>
      <c r="F70" s="263">
        <f t="shared" si="5"/>
        <v>4884</v>
      </c>
      <c r="G70" s="267"/>
      <c r="H70" s="268"/>
      <c r="I70" s="263"/>
      <c r="J70" s="263"/>
      <c r="K70" s="263"/>
      <c r="L70" s="262"/>
      <c r="M70" s="262"/>
      <c r="N70" s="262"/>
    </row>
    <row r="71" spans="1:31" x14ac:dyDescent="0.25">
      <c r="A71" s="262"/>
      <c r="B71" s="267">
        <v>42335</v>
      </c>
      <c r="C71" s="262">
        <v>500</v>
      </c>
      <c r="D71" s="263">
        <v>9.06</v>
      </c>
      <c r="E71" s="263">
        <v>0</v>
      </c>
      <c r="F71" s="263">
        <f t="shared" si="5"/>
        <v>4530</v>
      </c>
      <c r="G71" s="262"/>
      <c r="H71" s="268"/>
      <c r="I71" s="263"/>
      <c r="J71" s="263"/>
      <c r="K71" s="263"/>
      <c r="L71" s="262"/>
      <c r="M71" s="262"/>
      <c r="N71" s="262"/>
    </row>
    <row r="72" spans="1:31" x14ac:dyDescent="0.25">
      <c r="A72" s="262"/>
      <c r="B72" s="267">
        <v>42345</v>
      </c>
      <c r="C72" s="262">
        <v>200</v>
      </c>
      <c r="D72" s="263">
        <v>9.35</v>
      </c>
      <c r="E72" s="263">
        <v>0</v>
      </c>
      <c r="F72" s="263">
        <f t="shared" si="5"/>
        <v>1870</v>
      </c>
      <c r="G72" s="262"/>
      <c r="H72" s="268"/>
      <c r="I72" s="263"/>
      <c r="J72" s="263"/>
      <c r="K72" s="263"/>
      <c r="L72" s="262"/>
      <c r="M72" s="262"/>
      <c r="N72" s="262"/>
    </row>
    <row r="73" spans="1:31" x14ac:dyDescent="0.25">
      <c r="A73" s="262"/>
      <c r="B73" s="267">
        <v>42347</v>
      </c>
      <c r="C73" s="262">
        <v>1500</v>
      </c>
      <c r="D73" s="263">
        <v>9.2759999999999998</v>
      </c>
      <c r="E73" s="263">
        <v>0</v>
      </c>
      <c r="F73" s="263">
        <f t="shared" si="5"/>
        <v>13914</v>
      </c>
      <c r="G73" s="262"/>
      <c r="H73" s="268"/>
      <c r="I73" s="263"/>
      <c r="J73" s="263"/>
      <c r="K73" s="263"/>
      <c r="L73" s="262"/>
      <c r="M73" s="262"/>
      <c r="N73" s="262"/>
    </row>
    <row r="74" spans="1:31" x14ac:dyDescent="0.25">
      <c r="A74" s="262"/>
      <c r="B74" s="267">
        <v>42348</v>
      </c>
      <c r="C74" s="262">
        <v>100</v>
      </c>
      <c r="D74" s="263">
        <v>8.9499999999999993</v>
      </c>
      <c r="E74" s="263">
        <v>0</v>
      </c>
      <c r="F74" s="263">
        <f t="shared" si="5"/>
        <v>894.99999999999989</v>
      </c>
      <c r="G74" s="262"/>
      <c r="H74" s="268"/>
      <c r="I74" s="263"/>
      <c r="J74" s="263"/>
      <c r="K74" s="263"/>
      <c r="L74" s="262"/>
      <c r="M74" s="262"/>
      <c r="N74" s="262"/>
    </row>
    <row r="75" spans="1:31" x14ac:dyDescent="0.25">
      <c r="A75" s="262"/>
      <c r="B75" s="267">
        <v>42353</v>
      </c>
      <c r="C75" s="262">
        <v>100</v>
      </c>
      <c r="D75" s="263">
        <v>9.2200000000000006</v>
      </c>
      <c r="E75" s="263">
        <v>0</v>
      </c>
      <c r="F75" s="263">
        <f t="shared" si="5"/>
        <v>922.00000000000011</v>
      </c>
      <c r="G75" s="262"/>
      <c r="H75" s="268"/>
      <c r="I75" s="263"/>
      <c r="J75" s="263"/>
      <c r="K75" s="263"/>
      <c r="L75" s="262"/>
      <c r="M75" s="262"/>
      <c r="N75" s="262"/>
    </row>
    <row r="76" spans="1:31" x14ac:dyDescent="0.25">
      <c r="A76" s="262"/>
      <c r="B76" s="267">
        <v>42354</v>
      </c>
      <c r="C76" s="262">
        <v>500</v>
      </c>
      <c r="D76" s="263">
        <v>8.85</v>
      </c>
      <c r="E76" s="263">
        <v>0</v>
      </c>
      <c r="F76" s="263">
        <f t="shared" si="5"/>
        <v>4425</v>
      </c>
      <c r="G76" s="262"/>
      <c r="H76" s="268"/>
      <c r="I76" s="263"/>
      <c r="J76" s="263"/>
      <c r="K76" s="263"/>
      <c r="L76" s="262"/>
      <c r="M76" s="262"/>
      <c r="N76" s="262"/>
    </row>
    <row r="77" spans="1:31" x14ac:dyDescent="0.25">
      <c r="A77" s="262"/>
      <c r="B77" s="267">
        <v>42377</v>
      </c>
      <c r="C77" s="262">
        <v>400</v>
      </c>
      <c r="D77" s="263">
        <v>8.0399999999999991</v>
      </c>
      <c r="E77" s="263">
        <v>0</v>
      </c>
      <c r="F77" s="263">
        <f t="shared" si="5"/>
        <v>3215.9999999999995</v>
      </c>
      <c r="G77" s="262"/>
      <c r="H77" s="262"/>
      <c r="I77" s="263"/>
      <c r="J77" s="263"/>
      <c r="K77" s="263"/>
      <c r="L77" s="262"/>
      <c r="M77" s="262"/>
      <c r="N77" s="262"/>
    </row>
    <row r="78" spans="1:31" x14ac:dyDescent="0.25">
      <c r="A78" s="262"/>
      <c r="B78" s="267">
        <v>42389</v>
      </c>
      <c r="C78" s="262">
        <v>100</v>
      </c>
      <c r="D78" s="263">
        <v>6.45</v>
      </c>
      <c r="E78" s="263">
        <v>0</v>
      </c>
      <c r="F78" s="263">
        <f t="shared" si="5"/>
        <v>645</v>
      </c>
      <c r="G78" s="262"/>
      <c r="H78" s="262"/>
      <c r="I78" s="263"/>
      <c r="J78" s="263"/>
      <c r="K78" s="263"/>
      <c r="L78" s="262"/>
      <c r="M78" s="262"/>
      <c r="N78" s="262"/>
    </row>
    <row r="79" spans="1:31" x14ac:dyDescent="0.25">
      <c r="A79" s="262"/>
      <c r="B79" s="267">
        <v>42402</v>
      </c>
      <c r="C79" s="262">
        <v>100</v>
      </c>
      <c r="D79" s="263">
        <v>6.95</v>
      </c>
      <c r="E79" s="263">
        <v>0</v>
      </c>
      <c r="F79" s="263">
        <f t="shared" si="5"/>
        <v>695</v>
      </c>
      <c r="G79" s="262"/>
      <c r="H79" s="262"/>
      <c r="I79" s="263"/>
      <c r="J79" s="263"/>
      <c r="K79" s="263"/>
      <c r="L79" s="262"/>
      <c r="M79" s="262"/>
      <c r="N79" s="262"/>
    </row>
    <row r="80" spans="1:31" x14ac:dyDescent="0.25">
      <c r="A80" s="262"/>
      <c r="B80" s="267">
        <v>42444</v>
      </c>
      <c r="C80" s="262">
        <v>200</v>
      </c>
      <c r="D80" s="263">
        <v>9.4499999999999993</v>
      </c>
      <c r="E80" s="263">
        <v>0</v>
      </c>
      <c r="F80" s="263">
        <v>1889.9999999999998</v>
      </c>
      <c r="G80" s="262"/>
      <c r="H80" s="262"/>
      <c r="I80" s="263"/>
      <c r="J80" s="263"/>
      <c r="K80" s="263"/>
      <c r="L80" s="262"/>
      <c r="M80" s="262"/>
      <c r="N80" s="262"/>
    </row>
    <row r="81" spans="1:14" x14ac:dyDescent="0.25">
      <c r="A81" s="385"/>
      <c r="B81" s="385"/>
      <c r="C81" s="385"/>
      <c r="D81" s="386"/>
      <c r="E81" s="386"/>
      <c r="F81" s="386"/>
      <c r="G81" s="385"/>
      <c r="H81" s="385"/>
      <c r="I81" s="386"/>
      <c r="J81" s="386"/>
      <c r="K81" s="386"/>
      <c r="L81" s="385"/>
      <c r="M81" s="385"/>
      <c r="N81" s="385"/>
    </row>
    <row r="82" spans="1:14" x14ac:dyDescent="0.25">
      <c r="A82" s="385"/>
      <c r="B82" s="384">
        <v>42545</v>
      </c>
      <c r="C82" s="385">
        <v>250</v>
      </c>
      <c r="D82" s="386">
        <v>9.36</v>
      </c>
      <c r="E82" s="386">
        <v>0</v>
      </c>
      <c r="F82" s="386">
        <f>D82*C82+E82</f>
        <v>2340</v>
      </c>
      <c r="G82" s="385">
        <v>42577</v>
      </c>
      <c r="H82" s="389">
        <v>150</v>
      </c>
      <c r="I82" s="386">
        <v>10.58</v>
      </c>
      <c r="J82" s="386">
        <v>0.03</v>
      </c>
      <c r="K82" s="386">
        <f t="shared" ref="K82:K83" si="6">H82*I82-J82</f>
        <v>1586.97</v>
      </c>
      <c r="L82" s="385"/>
      <c r="M82" s="385"/>
      <c r="N82" s="385"/>
    </row>
    <row r="83" spans="1:14" x14ac:dyDescent="0.25">
      <c r="A83" s="385"/>
      <c r="B83" s="384"/>
      <c r="C83" s="385"/>
      <c r="D83" s="386"/>
      <c r="E83" s="386"/>
      <c r="F83" s="386"/>
      <c r="G83" s="385">
        <v>42577</v>
      </c>
      <c r="H83" s="389">
        <v>100</v>
      </c>
      <c r="I83" s="386">
        <v>10.65</v>
      </c>
      <c r="J83" s="386">
        <v>0.02</v>
      </c>
      <c r="K83" s="386">
        <f t="shared" si="6"/>
        <v>1064.98</v>
      </c>
      <c r="L83" s="385"/>
      <c r="M83" s="385"/>
      <c r="N83" s="385"/>
    </row>
    <row r="84" spans="1:14" x14ac:dyDescent="0.25">
      <c r="A84" s="385"/>
      <c r="B84" s="385"/>
      <c r="C84" s="385"/>
      <c r="D84" s="386"/>
      <c r="E84" s="386"/>
      <c r="F84" s="386"/>
      <c r="G84" s="385"/>
      <c r="H84" s="385"/>
      <c r="I84" s="386"/>
      <c r="J84" s="386"/>
      <c r="K84" s="386"/>
      <c r="L84" s="385"/>
      <c r="M84" s="385"/>
      <c r="N84" s="385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2"/>
    </row>
    <row r="86" spans="1:14" x14ac:dyDescent="0.25">
      <c r="A86" s="262"/>
      <c r="B86" s="262"/>
      <c r="C86" s="262"/>
      <c r="D86" s="263"/>
      <c r="E86" s="263"/>
      <c r="F86" s="263"/>
      <c r="G86" s="262"/>
      <c r="H86" s="262"/>
      <c r="I86" s="263"/>
      <c r="J86" s="263"/>
      <c r="K86" s="263"/>
      <c r="L86" s="262"/>
      <c r="M86" s="262"/>
      <c r="N86" s="262"/>
    </row>
    <row r="87" spans="1:14" x14ac:dyDescent="0.25">
      <c r="A87" s="262"/>
      <c r="B87" s="262"/>
      <c r="C87" s="262"/>
      <c r="D87" s="263"/>
      <c r="E87" s="263"/>
      <c r="F87" s="263"/>
      <c r="G87" s="262"/>
      <c r="H87" s="262"/>
      <c r="I87" s="263"/>
      <c r="J87" s="263"/>
      <c r="K87" s="263"/>
      <c r="L87" s="262"/>
      <c r="M87" s="262"/>
      <c r="N87" s="262"/>
    </row>
    <row r="88" spans="1:14" x14ac:dyDescent="0.25">
      <c r="A88" s="262"/>
      <c r="B88" s="270" t="s">
        <v>114</v>
      </c>
      <c r="C88" s="270" t="s">
        <v>150</v>
      </c>
      <c r="D88" s="271" t="s">
        <v>149</v>
      </c>
      <c r="E88" s="272" t="s">
        <v>151</v>
      </c>
      <c r="F88" s="272" t="s">
        <v>65</v>
      </c>
      <c r="G88" s="274" t="s">
        <v>155</v>
      </c>
      <c r="H88" s="274" t="s">
        <v>88</v>
      </c>
      <c r="I88" s="274" t="s">
        <v>161</v>
      </c>
      <c r="J88" s="263"/>
      <c r="K88" s="263"/>
      <c r="L88" s="262"/>
      <c r="M88" s="262"/>
      <c r="N88" s="262"/>
    </row>
    <row r="89" spans="1:14" x14ac:dyDescent="0.25">
      <c r="A89" s="262"/>
      <c r="B89" s="267">
        <v>42304</v>
      </c>
      <c r="C89" s="262">
        <v>3700</v>
      </c>
      <c r="D89" s="263">
        <v>9.84</v>
      </c>
      <c r="E89" s="263">
        <v>8.73</v>
      </c>
      <c r="F89" s="263">
        <f>C89*(E89-D89)</f>
        <v>-4106.9999999999982</v>
      </c>
      <c r="G89" s="263">
        <f>D89*C89</f>
        <v>36408</v>
      </c>
      <c r="H89" s="277">
        <f>(E89-D89)/D89</f>
        <v>-0.11280487804878044</v>
      </c>
      <c r="I89" s="263"/>
      <c r="J89" s="263"/>
      <c r="K89" s="263"/>
      <c r="L89" s="262"/>
      <c r="M89" s="262"/>
      <c r="N89" s="262"/>
    </row>
    <row r="90" spans="1:14" x14ac:dyDescent="0.25">
      <c r="A90" s="262"/>
      <c r="B90" s="267">
        <v>42305</v>
      </c>
      <c r="C90" s="262">
        <v>3700</v>
      </c>
      <c r="D90" s="263">
        <v>9.76</v>
      </c>
      <c r="E90" s="263">
        <v>8.99</v>
      </c>
      <c r="F90" s="263">
        <f t="shared" ref="F90:F107" si="7">C90*(E90-D90)</f>
        <v>-2848.9999999999986</v>
      </c>
      <c r="G90" s="263">
        <f t="shared" ref="G90:G107" si="8">D90*C90</f>
        <v>36112</v>
      </c>
      <c r="H90" s="277">
        <f t="shared" ref="H90:H96" si="9">(E90-D90)/D90</f>
        <v>-7.8893442622950782E-2</v>
      </c>
      <c r="I90" s="263"/>
      <c r="J90" s="263"/>
      <c r="K90" s="263"/>
      <c r="L90" s="262"/>
      <c r="M90" s="262"/>
      <c r="N90" s="262"/>
    </row>
    <row r="91" spans="1:14" x14ac:dyDescent="0.25">
      <c r="A91" s="262"/>
      <c r="B91" s="267">
        <v>42311</v>
      </c>
      <c r="C91" s="262">
        <v>3700</v>
      </c>
      <c r="D91" s="263">
        <v>9.73</v>
      </c>
      <c r="E91" s="263">
        <v>9.3800000000000008</v>
      </c>
      <c r="F91" s="263">
        <f t="shared" si="7"/>
        <v>-1294.9999999999986</v>
      </c>
      <c r="G91" s="263">
        <f t="shared" si="8"/>
        <v>36001</v>
      </c>
      <c r="H91" s="277">
        <f t="shared" si="9"/>
        <v>-3.5971223021582698E-2</v>
      </c>
      <c r="I91" s="263"/>
      <c r="J91" s="263"/>
      <c r="K91" s="263"/>
      <c r="L91" s="262"/>
      <c r="M91" s="262"/>
      <c r="N91" s="262"/>
    </row>
    <row r="92" spans="1:14" x14ac:dyDescent="0.25">
      <c r="A92" s="262"/>
      <c r="B92" s="267">
        <v>42320</v>
      </c>
      <c r="C92" s="262">
        <v>7400</v>
      </c>
      <c r="D92" s="263">
        <v>9.01</v>
      </c>
      <c r="E92" s="263">
        <v>7.82</v>
      </c>
      <c r="F92" s="263">
        <f t="shared" si="7"/>
        <v>-8805.9999999999964</v>
      </c>
      <c r="G92" s="263">
        <f t="shared" si="8"/>
        <v>66674</v>
      </c>
      <c r="H92" s="277">
        <f t="shared" si="9"/>
        <v>-0.13207547169811315</v>
      </c>
      <c r="I92" s="263"/>
      <c r="J92" s="263"/>
      <c r="K92" s="263"/>
      <c r="L92" s="262"/>
      <c r="M92" s="262"/>
      <c r="N92" s="262"/>
    </row>
    <row r="93" spans="1:14" x14ac:dyDescent="0.25">
      <c r="A93" s="262"/>
      <c r="B93" s="267">
        <v>42320</v>
      </c>
      <c r="C93" s="262">
        <v>8000</v>
      </c>
      <c r="D93" s="263">
        <v>8.94</v>
      </c>
      <c r="E93" s="263">
        <v>7.82</v>
      </c>
      <c r="F93" s="263">
        <f t="shared" si="7"/>
        <v>-8959.9999999999945</v>
      </c>
      <c r="G93" s="263">
        <f t="shared" si="8"/>
        <v>71520</v>
      </c>
      <c r="H93" s="277">
        <f t="shared" si="9"/>
        <v>-0.12527964205816547</v>
      </c>
      <c r="I93" s="263"/>
      <c r="J93" s="263"/>
      <c r="K93" s="263"/>
      <c r="L93" s="262"/>
      <c r="M93" s="262"/>
      <c r="N93" s="262"/>
    </row>
    <row r="94" spans="1:14" x14ac:dyDescent="0.25">
      <c r="A94" s="262"/>
      <c r="B94" s="267">
        <v>42326</v>
      </c>
      <c r="C94" s="262">
        <v>6600</v>
      </c>
      <c r="D94" s="263">
        <v>9.0582999999999991</v>
      </c>
      <c r="E94" s="263">
        <v>8.41</v>
      </c>
      <c r="F94" s="263">
        <f t="shared" si="7"/>
        <v>-4278.7799999999934</v>
      </c>
      <c r="G94" s="263">
        <f t="shared" si="8"/>
        <v>59784.779999999992</v>
      </c>
      <c r="H94" s="277">
        <f t="shared" si="9"/>
        <v>-7.1569720587748145E-2</v>
      </c>
      <c r="I94" s="263"/>
      <c r="J94" s="263"/>
      <c r="K94" s="263"/>
      <c r="L94" s="262"/>
      <c r="M94" s="262"/>
      <c r="N94" s="262"/>
    </row>
    <row r="95" spans="1:14" x14ac:dyDescent="0.25">
      <c r="A95" s="262"/>
      <c r="B95" s="267">
        <v>42326</v>
      </c>
      <c r="C95" s="262">
        <v>6535</v>
      </c>
      <c r="D95" s="263">
        <v>9.0648</v>
      </c>
      <c r="E95" s="263">
        <v>8.41</v>
      </c>
      <c r="F95" s="263">
        <f t="shared" si="7"/>
        <v>-4279.1179999999986</v>
      </c>
      <c r="G95" s="263">
        <f t="shared" si="8"/>
        <v>59238.468000000001</v>
      </c>
      <c r="H95" s="277">
        <f t="shared" si="9"/>
        <v>-7.2235460241814473E-2</v>
      </c>
      <c r="I95" s="263"/>
      <c r="J95" s="263"/>
      <c r="K95" s="263"/>
      <c r="L95" s="262"/>
      <c r="M95" s="262"/>
      <c r="N95" s="262"/>
    </row>
    <row r="96" spans="1:14" x14ac:dyDescent="0.25">
      <c r="A96" s="262"/>
      <c r="B96" s="267">
        <v>42327</v>
      </c>
      <c r="C96" s="262">
        <v>4300</v>
      </c>
      <c r="D96" s="263">
        <v>9.3583999999999996</v>
      </c>
      <c r="E96" s="263">
        <v>8.76</v>
      </c>
      <c r="F96" s="263">
        <f t="shared" si="7"/>
        <v>-2573.1199999999994</v>
      </c>
      <c r="G96" s="263">
        <f t="shared" si="8"/>
        <v>40241.119999999995</v>
      </c>
      <c r="H96" s="277">
        <f t="shared" si="9"/>
        <v>-6.3942554282783365E-2</v>
      </c>
      <c r="I96" s="263"/>
      <c r="J96" s="263"/>
      <c r="K96" s="263"/>
      <c r="L96" s="262"/>
      <c r="M96" s="262"/>
      <c r="N96" s="262"/>
    </row>
    <row r="97" spans="1:14" x14ac:dyDescent="0.25">
      <c r="A97" s="262"/>
      <c r="B97" s="267">
        <v>42327</v>
      </c>
      <c r="C97" s="262">
        <v>3700</v>
      </c>
      <c r="D97" s="263">
        <v>9.4571000000000005</v>
      </c>
      <c r="E97" s="263">
        <v>8.76</v>
      </c>
      <c r="F97" s="263">
        <f t="shared" si="7"/>
        <v>-2579.2700000000027</v>
      </c>
      <c r="G97" s="263">
        <f t="shared" si="8"/>
        <v>34991.270000000004</v>
      </c>
      <c r="H97" s="277">
        <f>(E97-D97)/D97</f>
        <v>-7.371181440399284E-2</v>
      </c>
      <c r="I97" s="263"/>
      <c r="J97" s="263"/>
      <c r="K97" s="263"/>
      <c r="L97" s="262"/>
      <c r="M97" s="262"/>
      <c r="N97" s="262"/>
    </row>
    <row r="98" spans="1:14" x14ac:dyDescent="0.25">
      <c r="A98" s="262"/>
      <c r="B98" s="267">
        <v>42331</v>
      </c>
      <c r="C98" s="262">
        <v>3700</v>
      </c>
      <c r="D98" s="263">
        <v>9.4499999999999993</v>
      </c>
      <c r="E98" s="263">
        <v>9.07</v>
      </c>
      <c r="F98" s="263">
        <f t="shared" si="7"/>
        <v>-1405.9999999999964</v>
      </c>
      <c r="G98" s="263">
        <f t="shared" si="8"/>
        <v>34965</v>
      </c>
      <c r="H98" s="277">
        <f t="shared" ref="H98:H107" si="10">(E98-D98)/D98</f>
        <v>-4.0211640211640108E-2</v>
      </c>
      <c r="I98" s="263"/>
      <c r="J98" s="263"/>
      <c r="K98" s="263"/>
      <c r="L98" s="262"/>
      <c r="M98" s="262"/>
      <c r="N98" s="262"/>
    </row>
    <row r="99" spans="1:14" x14ac:dyDescent="0.25">
      <c r="A99" s="262"/>
      <c r="B99" s="267">
        <v>42333</v>
      </c>
      <c r="C99" s="262">
        <v>3300</v>
      </c>
      <c r="D99" s="263">
        <v>9.4304000000000006</v>
      </c>
      <c r="E99" s="263">
        <v>9.41</v>
      </c>
      <c r="F99" s="263">
        <f t="shared" si="7"/>
        <v>-67.320000000001386</v>
      </c>
      <c r="G99" s="263">
        <f t="shared" si="8"/>
        <v>31120.320000000003</v>
      </c>
      <c r="H99" s="277">
        <f t="shared" si="10"/>
        <v>-2.1632168306753071E-3</v>
      </c>
      <c r="I99" s="263"/>
      <c r="J99" s="263"/>
      <c r="K99" s="263"/>
      <c r="L99" s="262"/>
      <c r="M99" s="262"/>
      <c r="N99" s="262"/>
    </row>
    <row r="100" spans="1:14" x14ac:dyDescent="0.25">
      <c r="A100" s="262"/>
      <c r="B100" s="267">
        <v>42339</v>
      </c>
      <c r="C100" s="262">
        <v>2800</v>
      </c>
      <c r="D100" s="263">
        <v>9.4145000000000003</v>
      </c>
      <c r="E100" s="263">
        <v>9.48</v>
      </c>
      <c r="F100" s="263">
        <f t="shared" si="7"/>
        <v>183.40000000000032</v>
      </c>
      <c r="G100" s="263">
        <f t="shared" si="8"/>
        <v>26360.600000000002</v>
      </c>
      <c r="H100" s="277">
        <f t="shared" si="10"/>
        <v>6.9573530192787838E-3</v>
      </c>
      <c r="I100" s="263"/>
      <c r="J100" s="263"/>
      <c r="K100" s="263"/>
      <c r="L100" s="262"/>
      <c r="M100" s="262"/>
      <c r="N100" s="262"/>
    </row>
    <row r="101" spans="1:14" x14ac:dyDescent="0.25">
      <c r="A101" s="262"/>
      <c r="B101" s="267">
        <v>42340</v>
      </c>
      <c r="C101" s="262">
        <v>3000</v>
      </c>
      <c r="D101" s="263">
        <v>9.41</v>
      </c>
      <c r="E101" s="263">
        <v>9.35</v>
      </c>
      <c r="F101" s="263">
        <f t="shared" si="7"/>
        <v>-180.00000000000148</v>
      </c>
      <c r="G101" s="263">
        <f t="shared" si="8"/>
        <v>28230</v>
      </c>
      <c r="H101" s="277">
        <f t="shared" si="10"/>
        <v>-6.3761955366631769E-3</v>
      </c>
      <c r="I101" s="263"/>
      <c r="J101" s="263"/>
      <c r="K101" s="263"/>
      <c r="L101" s="262"/>
      <c r="M101" s="262"/>
      <c r="N101" s="262"/>
    </row>
    <row r="102" spans="1:14" x14ac:dyDescent="0.25">
      <c r="A102" s="262"/>
      <c r="B102" s="267">
        <v>42342</v>
      </c>
      <c r="C102" s="262">
        <v>1500</v>
      </c>
      <c r="D102" s="263">
        <v>9.51</v>
      </c>
      <c r="E102" s="263">
        <v>9.34</v>
      </c>
      <c r="F102" s="263">
        <f t="shared" si="7"/>
        <v>-254.99999999999989</v>
      </c>
      <c r="G102" s="263">
        <f t="shared" si="8"/>
        <v>14265</v>
      </c>
      <c r="H102" s="277">
        <f t="shared" si="10"/>
        <v>-1.787592008412197E-2</v>
      </c>
      <c r="I102" s="263"/>
      <c r="J102" s="263"/>
      <c r="K102" s="263"/>
      <c r="L102" s="262"/>
      <c r="M102" s="262"/>
      <c r="N102" s="262"/>
    </row>
    <row r="103" spans="1:14" x14ac:dyDescent="0.25">
      <c r="A103" s="262"/>
      <c r="B103" s="267">
        <v>42342</v>
      </c>
      <c r="C103" s="262">
        <v>3000</v>
      </c>
      <c r="D103" s="263">
        <v>9.3933</v>
      </c>
      <c r="E103" s="263">
        <v>9.34</v>
      </c>
      <c r="F103" s="263">
        <f t="shared" si="7"/>
        <v>-159.90000000000038</v>
      </c>
      <c r="G103" s="263">
        <f t="shared" si="8"/>
        <v>28179.9</v>
      </c>
      <c r="H103" s="277">
        <f t="shared" si="10"/>
        <v>-5.6742571833115225E-3</v>
      </c>
      <c r="I103" s="263"/>
      <c r="J103" s="263"/>
      <c r="K103" s="263"/>
      <c r="L103" s="262"/>
      <c r="M103" s="262"/>
      <c r="N103" s="262"/>
    </row>
    <row r="104" spans="1:14" x14ac:dyDescent="0.25">
      <c r="A104" s="262"/>
      <c r="B104" s="267">
        <v>42345</v>
      </c>
      <c r="C104" s="262">
        <v>3100</v>
      </c>
      <c r="D104" s="263">
        <v>9.3789999999999996</v>
      </c>
      <c r="E104" s="263">
        <v>9.0399999999999991</v>
      </c>
      <c r="F104" s="263">
        <f t="shared" si="7"/>
        <v>-1050.9000000000012</v>
      </c>
      <c r="G104" s="263">
        <f t="shared" si="8"/>
        <v>29074.899999999998</v>
      </c>
      <c r="H104" s="277">
        <f t="shared" si="10"/>
        <v>-3.6144578313253059E-2</v>
      </c>
      <c r="I104" s="263"/>
      <c r="J104" s="263"/>
      <c r="K104" s="263"/>
      <c r="L104" s="262"/>
      <c r="M104" s="262"/>
      <c r="N104" s="262"/>
    </row>
    <row r="105" spans="1:14" x14ac:dyDescent="0.25">
      <c r="A105" s="262"/>
      <c r="B105" s="267">
        <v>42348</v>
      </c>
      <c r="C105" s="262">
        <v>3000</v>
      </c>
      <c r="D105" s="263">
        <v>9.3800000000000008</v>
      </c>
      <c r="E105" s="263">
        <v>9.17</v>
      </c>
      <c r="F105" s="263">
        <f t="shared" si="7"/>
        <v>-630.0000000000025</v>
      </c>
      <c r="G105" s="263">
        <f t="shared" si="8"/>
        <v>28140.000000000004</v>
      </c>
      <c r="H105" s="277">
        <f t="shared" si="10"/>
        <v>-2.2388059701492626E-2</v>
      </c>
      <c r="I105" s="263"/>
      <c r="J105" s="263"/>
      <c r="K105" s="263"/>
      <c r="L105" s="262"/>
      <c r="M105" s="262"/>
      <c r="N105" s="262"/>
    </row>
    <row r="106" spans="1:14" x14ac:dyDescent="0.25">
      <c r="A106" s="262"/>
      <c r="B106" s="267">
        <v>42349</v>
      </c>
      <c r="C106" s="262">
        <v>3000</v>
      </c>
      <c r="D106" s="263">
        <v>9.3659999999999997</v>
      </c>
      <c r="E106" s="263">
        <v>8.86</v>
      </c>
      <c r="F106" s="263">
        <f t="shared" si="7"/>
        <v>-1518.0000000000007</v>
      </c>
      <c r="G106" s="263">
        <f t="shared" si="8"/>
        <v>28098</v>
      </c>
      <c r="H106" s="277">
        <f t="shared" si="10"/>
        <v>-5.4025197522955398E-2</v>
      </c>
      <c r="I106" s="263"/>
      <c r="J106" s="263"/>
      <c r="K106" s="263"/>
      <c r="L106" s="262"/>
      <c r="M106" s="262"/>
      <c r="N106" s="262"/>
    </row>
    <row r="107" spans="1:14" x14ac:dyDescent="0.25">
      <c r="A107" s="262"/>
      <c r="B107" s="267">
        <v>42360</v>
      </c>
      <c r="C107" s="262">
        <v>1000</v>
      </c>
      <c r="D107" s="263">
        <v>9.1999999999999993</v>
      </c>
      <c r="E107" s="263">
        <v>9.56</v>
      </c>
      <c r="F107" s="263">
        <f t="shared" si="7"/>
        <v>360.00000000000119</v>
      </c>
      <c r="G107" s="263">
        <f t="shared" si="8"/>
        <v>9200</v>
      </c>
      <c r="H107" s="277">
        <f t="shared" si="10"/>
        <v>3.9130434782608831E-2</v>
      </c>
      <c r="I107" s="263"/>
      <c r="J107" s="263"/>
      <c r="K107" s="263"/>
      <c r="L107" s="262"/>
      <c r="M107" s="262"/>
      <c r="N107" s="262"/>
    </row>
    <row r="108" spans="1:14" x14ac:dyDescent="0.25">
      <c r="A108" s="262"/>
      <c r="B108" s="267">
        <v>42361</v>
      </c>
      <c r="C108" s="262">
        <v>0</v>
      </c>
      <c r="D108" s="263">
        <v>0</v>
      </c>
      <c r="E108" s="263">
        <v>10.19</v>
      </c>
      <c r="F108" s="263">
        <v>360</v>
      </c>
      <c r="G108" s="263"/>
      <c r="H108" s="277"/>
      <c r="I108" s="263"/>
      <c r="J108" s="263"/>
      <c r="K108" s="263"/>
      <c r="L108" s="262"/>
      <c r="M108" s="262"/>
      <c r="N108" s="262"/>
    </row>
    <row r="109" spans="1:14" x14ac:dyDescent="0.25">
      <c r="A109" s="262"/>
      <c r="B109" s="267">
        <v>42377</v>
      </c>
      <c r="C109" s="262">
        <v>400</v>
      </c>
      <c r="D109" s="263">
        <v>6.31</v>
      </c>
      <c r="E109" s="263">
        <v>8.07</v>
      </c>
      <c r="F109" s="263">
        <f t="shared" ref="F109:F114" si="11">C109*(E109-D109)</f>
        <v>704.00000000000023</v>
      </c>
      <c r="G109" s="263">
        <f t="shared" ref="G109:G114" si="12">D109*C109</f>
        <v>2524</v>
      </c>
      <c r="H109" s="277">
        <f t="shared" ref="H109:H114" si="13">(E109-D109)/D109</f>
        <v>0.27892234548335987</v>
      </c>
      <c r="I109" s="263"/>
      <c r="J109" s="263"/>
      <c r="K109" s="263"/>
      <c r="L109" s="262"/>
      <c r="M109" s="262"/>
      <c r="N109" s="262"/>
    </row>
    <row r="110" spans="1:14" x14ac:dyDescent="0.25">
      <c r="A110" s="262"/>
      <c r="B110" s="267">
        <v>42389</v>
      </c>
      <c r="C110" s="262">
        <v>500</v>
      </c>
      <c r="D110" s="263">
        <v>6.34</v>
      </c>
      <c r="E110" s="263">
        <v>6.74</v>
      </c>
      <c r="F110" s="263">
        <f t="shared" si="11"/>
        <v>200.00000000000017</v>
      </c>
      <c r="G110" s="263">
        <f t="shared" si="12"/>
        <v>3170</v>
      </c>
      <c r="H110" s="277">
        <f t="shared" si="13"/>
        <v>6.3091482649842323E-2</v>
      </c>
      <c r="I110" s="263"/>
      <c r="J110" s="263"/>
      <c r="K110" s="263"/>
      <c r="L110" s="262"/>
      <c r="M110" s="262"/>
      <c r="N110" s="262"/>
    </row>
    <row r="111" spans="1:14" x14ac:dyDescent="0.25">
      <c r="A111" s="262"/>
      <c r="B111" s="267">
        <v>42398</v>
      </c>
      <c r="C111" s="262">
        <v>400</v>
      </c>
      <c r="D111" s="263">
        <v>6.12</v>
      </c>
      <c r="E111" s="263">
        <v>7.14</v>
      </c>
      <c r="F111" s="263">
        <f t="shared" si="11"/>
        <v>407.99999999999983</v>
      </c>
      <c r="G111" s="263">
        <f t="shared" si="12"/>
        <v>2448</v>
      </c>
      <c r="H111" s="277">
        <f t="shared" si="13"/>
        <v>0.1666666666666666</v>
      </c>
      <c r="I111" s="263"/>
      <c r="J111" s="263"/>
      <c r="K111" s="263"/>
      <c r="L111" s="262"/>
      <c r="M111" s="262"/>
      <c r="N111" s="262"/>
    </row>
    <row r="112" spans="1:14" x14ac:dyDescent="0.25">
      <c r="A112" s="262"/>
      <c r="B112" s="267">
        <v>42402</v>
      </c>
      <c r="C112" s="262">
        <v>500</v>
      </c>
      <c r="D112" s="263">
        <v>6.2888999999999999</v>
      </c>
      <c r="E112" s="263">
        <v>6.97</v>
      </c>
      <c r="F112" s="263">
        <f t="shared" si="11"/>
        <v>340.5499999999999</v>
      </c>
      <c r="G112" s="263">
        <f t="shared" si="12"/>
        <v>3144.45</v>
      </c>
      <c r="H112" s="277">
        <f t="shared" si="13"/>
        <v>0.10830192879517878</v>
      </c>
      <c r="I112" s="263"/>
      <c r="J112" s="263"/>
      <c r="K112" s="263"/>
      <c r="L112" s="262"/>
      <c r="M112" s="262"/>
      <c r="N112" s="262"/>
    </row>
    <row r="113" spans="1:14" x14ac:dyDescent="0.25">
      <c r="A113" s="262"/>
      <c r="B113" s="267">
        <v>42403</v>
      </c>
      <c r="C113" s="262">
        <v>400</v>
      </c>
      <c r="D113" s="263">
        <v>6.01</v>
      </c>
      <c r="E113" s="263">
        <v>7.55</v>
      </c>
      <c r="F113" s="263">
        <f t="shared" si="11"/>
        <v>616</v>
      </c>
      <c r="G113" s="263">
        <f t="shared" si="12"/>
        <v>2404</v>
      </c>
      <c r="H113" s="277">
        <f t="shared" si="13"/>
        <v>0.2562396006655574</v>
      </c>
      <c r="I113" s="263"/>
      <c r="J113" s="263"/>
      <c r="K113" s="263"/>
      <c r="L113" s="262"/>
      <c r="M113" s="262"/>
      <c r="N113" s="385"/>
    </row>
    <row r="114" spans="1:14" x14ac:dyDescent="0.25">
      <c r="A114" s="262"/>
      <c r="B114" s="267">
        <v>42404</v>
      </c>
      <c r="C114" s="262">
        <v>300</v>
      </c>
      <c r="D114" s="263">
        <v>5.3349000000000002</v>
      </c>
      <c r="E114" s="263">
        <v>8.31</v>
      </c>
      <c r="F114" s="263">
        <f t="shared" si="11"/>
        <v>892.53000000000009</v>
      </c>
      <c r="G114" s="263">
        <f t="shared" si="12"/>
        <v>1600.47</v>
      </c>
      <c r="H114" s="277">
        <f t="shared" si="13"/>
        <v>0.55766743519091266</v>
      </c>
      <c r="I114" s="263"/>
      <c r="J114" s="263"/>
      <c r="K114" s="263"/>
      <c r="L114" s="262"/>
      <c r="M114" s="262"/>
      <c r="N114" s="385"/>
    </row>
    <row r="115" spans="1:14" x14ac:dyDescent="0.25">
      <c r="A115" s="262"/>
      <c r="B115" s="267">
        <v>42416</v>
      </c>
      <c r="C115" s="262">
        <v>0</v>
      </c>
      <c r="D115" s="263">
        <v>0</v>
      </c>
      <c r="E115" s="263">
        <v>0</v>
      </c>
      <c r="F115" s="263">
        <v>793.47</v>
      </c>
      <c r="G115" s="263"/>
      <c r="H115" s="277"/>
      <c r="I115" s="263"/>
      <c r="J115" s="263"/>
      <c r="K115" s="263"/>
      <c r="L115" s="262"/>
      <c r="M115" s="262"/>
      <c r="N115" s="385"/>
    </row>
    <row r="116" spans="1:14" x14ac:dyDescent="0.25">
      <c r="A116" s="385"/>
      <c r="B116" s="384"/>
      <c r="C116" s="385"/>
      <c r="D116" s="386"/>
      <c r="E116" s="386"/>
      <c r="F116" s="386"/>
      <c r="G116" s="386"/>
      <c r="H116" s="387"/>
      <c r="I116" s="386"/>
      <c r="J116" s="386"/>
      <c r="K116" s="386"/>
      <c r="L116" s="385"/>
      <c r="M116" s="385"/>
      <c r="N116" s="385"/>
    </row>
    <row r="117" spans="1:14" x14ac:dyDescent="0.25">
      <c r="A117" s="385"/>
      <c r="B117" s="384">
        <v>42545</v>
      </c>
      <c r="C117" s="385">
        <v>250</v>
      </c>
      <c r="D117" s="386">
        <v>9.36</v>
      </c>
      <c r="E117" s="386">
        <v>9.3800000000000008</v>
      </c>
      <c r="F117" s="386">
        <f t="shared" ref="F117:F127" si="14">C117*(E117-D117)</f>
        <v>5.0000000000003375</v>
      </c>
      <c r="G117" s="386">
        <f t="shared" ref="G117:G127" si="15">D117*C117</f>
        <v>2340</v>
      </c>
      <c r="H117" s="387">
        <f t="shared" ref="H117:H127" si="16">(E117-D117)/D117</f>
        <v>2.1367521367522809E-3</v>
      </c>
      <c r="I117" s="386"/>
      <c r="J117" s="386"/>
      <c r="K117" s="386"/>
      <c r="L117" s="385"/>
      <c r="M117" s="385"/>
      <c r="N117" s="385"/>
    </row>
    <row r="118" spans="1:14" x14ac:dyDescent="0.25">
      <c r="A118" s="385"/>
      <c r="B118" s="384">
        <v>42548</v>
      </c>
      <c r="C118" s="385">
        <v>250</v>
      </c>
      <c r="D118" s="386">
        <v>9.36</v>
      </c>
      <c r="E118" s="386">
        <v>9.1</v>
      </c>
      <c r="F118" s="386">
        <f t="shared" si="14"/>
        <v>-64.999999999999943</v>
      </c>
      <c r="G118" s="386">
        <f t="shared" si="15"/>
        <v>2340</v>
      </c>
      <c r="H118" s="387">
        <f t="shared" si="16"/>
        <v>-2.7777777777777755E-2</v>
      </c>
      <c r="I118" s="386"/>
      <c r="J118" s="386"/>
      <c r="K118" s="386"/>
      <c r="L118" s="385"/>
      <c r="M118" s="385"/>
      <c r="N118" s="385"/>
    </row>
    <row r="119" spans="1:14" x14ac:dyDescent="0.25">
      <c r="A119" s="385"/>
      <c r="B119" s="384">
        <v>42549</v>
      </c>
      <c r="C119" s="385">
        <v>250</v>
      </c>
      <c r="D119" s="386">
        <v>9.36</v>
      </c>
      <c r="E119" s="386">
        <v>9.33</v>
      </c>
      <c r="F119" s="386">
        <f t="shared" si="14"/>
        <v>-7.4999999999998401</v>
      </c>
      <c r="G119" s="386">
        <f t="shared" si="15"/>
        <v>2340</v>
      </c>
      <c r="H119" s="387">
        <f t="shared" si="16"/>
        <v>-3.2051282051281369E-3</v>
      </c>
      <c r="I119" s="386"/>
      <c r="J119" s="386"/>
      <c r="K119" s="386"/>
      <c r="L119" s="385"/>
      <c r="M119" s="385"/>
      <c r="N119" s="385"/>
    </row>
    <row r="120" spans="1:14" x14ac:dyDescent="0.25">
      <c r="A120" s="385"/>
      <c r="B120" s="384">
        <v>42550</v>
      </c>
      <c r="C120" s="385">
        <v>250</v>
      </c>
      <c r="D120" s="386">
        <v>9.36</v>
      </c>
      <c r="E120" s="386">
        <v>9.1</v>
      </c>
      <c r="F120" s="386">
        <f t="shared" si="14"/>
        <v>-64.999999999999943</v>
      </c>
      <c r="G120" s="386">
        <f t="shared" si="15"/>
        <v>2340</v>
      </c>
      <c r="H120" s="387">
        <f t="shared" si="16"/>
        <v>-2.7777777777777755E-2</v>
      </c>
      <c r="I120" s="386"/>
      <c r="J120" s="386"/>
      <c r="K120" s="386"/>
      <c r="L120" s="385"/>
      <c r="M120" s="385"/>
      <c r="N120" s="385"/>
    </row>
    <row r="121" spans="1:14" x14ac:dyDescent="0.25">
      <c r="A121" s="385"/>
      <c r="B121" s="384">
        <v>42552</v>
      </c>
      <c r="C121" s="385">
        <v>250</v>
      </c>
      <c r="D121" s="386">
        <v>9.36</v>
      </c>
      <c r="E121" s="386">
        <v>9.5500000000000007</v>
      </c>
      <c r="F121" s="386">
        <f t="shared" si="14"/>
        <v>47.50000000000032</v>
      </c>
      <c r="G121" s="386">
        <f t="shared" si="15"/>
        <v>2340</v>
      </c>
      <c r="H121" s="387">
        <f t="shared" si="16"/>
        <v>2.0299145299145439E-2</v>
      </c>
      <c r="I121" s="386"/>
      <c r="J121" s="386"/>
      <c r="K121" s="386"/>
      <c r="L121" s="385"/>
      <c r="M121" s="385"/>
      <c r="N121" s="385"/>
    </row>
    <row r="122" spans="1:14" x14ac:dyDescent="0.25">
      <c r="A122" s="385"/>
      <c r="B122" s="384">
        <v>42556</v>
      </c>
      <c r="C122" s="385">
        <v>250</v>
      </c>
      <c r="D122" s="386">
        <v>9.36</v>
      </c>
      <c r="E122" s="386">
        <v>9.26</v>
      </c>
      <c r="F122" s="386">
        <f t="shared" si="14"/>
        <v>-24.999999999999911</v>
      </c>
      <c r="G122" s="386">
        <f t="shared" si="15"/>
        <v>2340</v>
      </c>
      <c r="H122" s="387">
        <f t="shared" si="16"/>
        <v>-1.0683760683760646E-2</v>
      </c>
      <c r="I122" s="386"/>
      <c r="J122" s="386"/>
      <c r="K122" s="386"/>
      <c r="L122" s="385"/>
      <c r="M122" s="385"/>
      <c r="N122" s="385"/>
    </row>
    <row r="123" spans="1:14" x14ac:dyDescent="0.25">
      <c r="A123" s="385"/>
      <c r="B123" s="384">
        <v>42557</v>
      </c>
      <c r="C123" s="385">
        <v>250</v>
      </c>
      <c r="D123" s="386">
        <v>9.36</v>
      </c>
      <c r="E123" s="386">
        <v>9.19</v>
      </c>
      <c r="F123" s="386">
        <f t="shared" si="14"/>
        <v>-42.499999999999986</v>
      </c>
      <c r="G123" s="386">
        <f t="shared" si="15"/>
        <v>2340</v>
      </c>
      <c r="H123" s="387">
        <f t="shared" si="16"/>
        <v>-1.8162393162393157E-2</v>
      </c>
      <c r="I123" s="386"/>
      <c r="J123" s="386"/>
      <c r="K123" s="386"/>
      <c r="L123" s="385"/>
      <c r="M123" s="385"/>
      <c r="N123" s="385"/>
    </row>
    <row r="124" spans="1:14" x14ac:dyDescent="0.25">
      <c r="A124" s="385"/>
      <c r="B124" s="384">
        <v>42559</v>
      </c>
      <c r="C124" s="385">
        <v>250</v>
      </c>
      <c r="D124" s="386">
        <v>9.36</v>
      </c>
      <c r="E124" s="386">
        <v>9.82</v>
      </c>
      <c r="F124" s="386">
        <f t="shared" si="14"/>
        <v>115.00000000000021</v>
      </c>
      <c r="G124" s="386">
        <f t="shared" si="15"/>
        <v>2340</v>
      </c>
      <c r="H124" s="387">
        <f t="shared" si="16"/>
        <v>4.9145299145299241E-2</v>
      </c>
      <c r="I124" s="386"/>
      <c r="J124" s="386"/>
      <c r="K124" s="386"/>
      <c r="L124" s="385"/>
      <c r="M124" s="385"/>
      <c r="N124" s="385"/>
    </row>
    <row r="125" spans="1:14" x14ac:dyDescent="0.25">
      <c r="A125" s="385"/>
      <c r="B125" s="384">
        <v>42562</v>
      </c>
      <c r="C125" s="385">
        <v>250</v>
      </c>
      <c r="D125" s="386">
        <v>9.36</v>
      </c>
      <c r="E125" s="386">
        <v>10.14</v>
      </c>
      <c r="F125" s="386">
        <f t="shared" si="14"/>
        <v>195.00000000000028</v>
      </c>
      <c r="G125" s="386">
        <f t="shared" si="15"/>
        <v>2340</v>
      </c>
      <c r="H125" s="387">
        <f t="shared" si="16"/>
        <v>8.3333333333333454E-2</v>
      </c>
      <c r="I125" s="386" t="s">
        <v>284</v>
      </c>
      <c r="J125" s="386"/>
      <c r="K125" s="386"/>
      <c r="L125" s="385"/>
      <c r="M125" s="385"/>
      <c r="N125" s="385"/>
    </row>
    <row r="126" spans="1:14" x14ac:dyDescent="0.25">
      <c r="A126" s="385"/>
      <c r="B126" s="384">
        <v>42566</v>
      </c>
      <c r="C126" s="385">
        <v>250</v>
      </c>
      <c r="D126" s="386">
        <v>9.36</v>
      </c>
      <c r="E126" s="386">
        <v>10.92</v>
      </c>
      <c r="F126" s="386">
        <f t="shared" si="14"/>
        <v>390.00000000000011</v>
      </c>
      <c r="G126" s="386">
        <f t="shared" si="15"/>
        <v>2340</v>
      </c>
      <c r="H126" s="387">
        <f t="shared" si="16"/>
        <v>0.16666666666666674</v>
      </c>
      <c r="I126" s="495">
        <v>8.8000000000000007</v>
      </c>
      <c r="J126" s="386"/>
      <c r="K126" s="386"/>
      <c r="L126" s="385"/>
      <c r="M126" s="385"/>
      <c r="N126" s="385"/>
    </row>
    <row r="127" spans="1:14" x14ac:dyDescent="0.25">
      <c r="A127" s="385"/>
      <c r="B127" s="384">
        <v>42570</v>
      </c>
      <c r="C127" s="385">
        <v>250</v>
      </c>
      <c r="D127" s="386">
        <v>9.36</v>
      </c>
      <c r="E127" s="386">
        <v>10.63</v>
      </c>
      <c r="F127" s="386">
        <f t="shared" si="14"/>
        <v>317.50000000000034</v>
      </c>
      <c r="G127" s="386">
        <f t="shared" si="15"/>
        <v>2340</v>
      </c>
      <c r="H127" s="387">
        <f t="shared" si="16"/>
        <v>0.13568376068376084</v>
      </c>
      <c r="I127" s="386"/>
      <c r="J127" s="386"/>
      <c r="K127" s="386"/>
      <c r="L127" s="385"/>
      <c r="M127" s="385"/>
      <c r="N127" s="385"/>
    </row>
    <row r="128" spans="1:14" x14ac:dyDescent="0.25">
      <c r="A128" s="385"/>
      <c r="B128" s="384">
        <v>42577</v>
      </c>
      <c r="C128" s="385">
        <v>0</v>
      </c>
      <c r="D128" s="386"/>
      <c r="E128" s="386"/>
      <c r="F128" s="386">
        <v>311.95</v>
      </c>
      <c r="G128" s="386"/>
      <c r="H128" s="387"/>
      <c r="I128" s="386"/>
      <c r="J128" s="386"/>
      <c r="K128" s="386"/>
      <c r="L128" s="385"/>
      <c r="M128" s="385"/>
    </row>
    <row r="129" spans="1:13" x14ac:dyDescent="0.25">
      <c r="A129" s="385"/>
      <c r="B129" s="384"/>
      <c r="C129" s="385"/>
      <c r="D129" s="386"/>
      <c r="E129" s="386"/>
      <c r="F129" s="386"/>
      <c r="G129" s="386"/>
      <c r="H129" s="387"/>
      <c r="I129" s="386"/>
      <c r="J129" s="386"/>
      <c r="K129" s="386"/>
      <c r="L129" s="385"/>
      <c r="M129" s="385"/>
    </row>
    <row r="130" spans="1:13" x14ac:dyDescent="0.25">
      <c r="A130" s="385"/>
      <c r="B130" s="384"/>
      <c r="C130" s="385"/>
      <c r="D130" s="386"/>
      <c r="E130" s="386"/>
      <c r="F130" s="386"/>
      <c r="G130" s="386"/>
      <c r="H130" s="387"/>
      <c r="I130" s="386"/>
      <c r="J130" s="386"/>
      <c r="K130" s="386"/>
      <c r="L130" s="385"/>
      <c r="M130" s="385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42606</v>
      </c>
      <c r="X2" s="10">
        <v>19.690000000000001</v>
      </c>
      <c r="Y2" s="10">
        <v>19.79</v>
      </c>
      <c r="Z2" s="10">
        <v>19.32</v>
      </c>
      <c r="AA2" s="10">
        <v>19.37</v>
      </c>
      <c r="AB2" s="95">
        <v>1374000</v>
      </c>
      <c r="AC2" s="10">
        <v>19.37</v>
      </c>
      <c r="AD2" s="2">
        <f>Y2-Z2</f>
        <v>0.46999999999999886</v>
      </c>
      <c r="AE2" s="138">
        <f>AC2/AC3-1</f>
        <v>-2.0728008088978789E-2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19.37</v>
      </c>
      <c r="W3" s="133">
        <v>42605</v>
      </c>
      <c r="X3" s="10">
        <v>19.350000000000001</v>
      </c>
      <c r="Y3" s="10">
        <v>19.87</v>
      </c>
      <c r="Z3" s="10">
        <v>19.28</v>
      </c>
      <c r="AA3" s="10">
        <v>19.78</v>
      </c>
      <c r="AB3" s="95">
        <v>1728700</v>
      </c>
      <c r="AC3" s="10">
        <v>19.78</v>
      </c>
      <c r="AD3" s="2">
        <f t="shared" ref="AD3:AD66" si="0">Y3-Z3</f>
        <v>0.58999999999999986</v>
      </c>
      <c r="AE3" s="138">
        <f t="shared" ref="AE3:AE66" si="1">AC3/AC4-1</f>
        <v>3.1282586027111758E-2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19.37</v>
      </c>
      <c r="W4" s="133">
        <v>42604</v>
      </c>
      <c r="X4" s="10">
        <v>19.39</v>
      </c>
      <c r="Y4" s="10">
        <v>19.420000000000002</v>
      </c>
      <c r="Z4" s="10">
        <v>19.07</v>
      </c>
      <c r="AA4" s="10">
        <v>19.18</v>
      </c>
      <c r="AB4" s="95">
        <v>1559200</v>
      </c>
      <c r="AC4" s="10">
        <v>19.18</v>
      </c>
      <c r="AD4" s="2">
        <f t="shared" si="0"/>
        <v>0.35000000000000142</v>
      </c>
      <c r="AE4" s="138">
        <f t="shared" si="1"/>
        <v>-1.4894709809963991E-2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42601</v>
      </c>
      <c r="X5" s="10">
        <v>19.170000000000002</v>
      </c>
      <c r="Y5" s="10">
        <v>19.64</v>
      </c>
      <c r="Z5" s="10">
        <v>18.97</v>
      </c>
      <c r="AA5" s="10">
        <v>19.47</v>
      </c>
      <c r="AB5" s="95">
        <v>2732400</v>
      </c>
      <c r="AC5" s="10">
        <v>19.47</v>
      </c>
      <c r="AD5" s="2">
        <f t="shared" si="0"/>
        <v>0.67000000000000171</v>
      </c>
      <c r="AE5" s="138">
        <f t="shared" si="1"/>
        <v>1.2480499219968744E-2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42600</v>
      </c>
      <c r="X6" s="10">
        <v>18.53</v>
      </c>
      <c r="Y6" s="10">
        <v>19.32</v>
      </c>
      <c r="Z6" s="10">
        <v>18.43</v>
      </c>
      <c r="AA6" s="10">
        <v>19.23</v>
      </c>
      <c r="AB6" s="95">
        <v>2836800</v>
      </c>
      <c r="AC6" s="10">
        <v>19.23</v>
      </c>
      <c r="AD6" s="2">
        <f t="shared" si="0"/>
        <v>0.89000000000000057</v>
      </c>
      <c r="AE6" s="138">
        <f t="shared" si="1"/>
        <v>4.0584415584415501E-2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42599</v>
      </c>
      <c r="X7" s="10">
        <v>18.75</v>
      </c>
      <c r="Y7" s="10">
        <v>18.87</v>
      </c>
      <c r="Z7" s="10">
        <v>18.47</v>
      </c>
      <c r="AA7" s="10">
        <v>18.48</v>
      </c>
      <c r="AB7" s="95">
        <v>1544700</v>
      </c>
      <c r="AC7" s="10">
        <v>18.48</v>
      </c>
      <c r="AD7" s="2">
        <f t="shared" si="0"/>
        <v>0.40000000000000213</v>
      </c>
      <c r="AE7" s="138">
        <f t="shared" si="1"/>
        <v>-1.5974440894568676E-2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18.87</v>
      </c>
      <c r="Y8" s="10">
        <v>19.03</v>
      </c>
      <c r="Z8" s="10">
        <v>18.66</v>
      </c>
      <c r="AA8" s="10">
        <v>18.78</v>
      </c>
      <c r="AB8" s="95">
        <v>2066800</v>
      </c>
      <c r="AC8" s="10">
        <v>18.78</v>
      </c>
      <c r="AD8" s="2">
        <f t="shared" si="0"/>
        <v>0.37000000000000099</v>
      </c>
      <c r="AE8" s="138">
        <f t="shared" si="1"/>
        <v>-5.8231868713605195E-3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19.05</v>
      </c>
      <c r="Y9" s="10">
        <v>19.53</v>
      </c>
      <c r="Z9" s="10">
        <v>18.82</v>
      </c>
      <c r="AA9" s="10">
        <v>18.89</v>
      </c>
      <c r="AB9" s="95">
        <v>3494400</v>
      </c>
      <c r="AC9" s="10">
        <v>18.89</v>
      </c>
      <c r="AD9" s="2">
        <f t="shared" si="0"/>
        <v>0.71000000000000085</v>
      </c>
      <c r="AE9" s="138">
        <f t="shared" si="1"/>
        <v>-3.1662269129286713E-3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M45</f>
        <v>155.90000000000146</v>
      </c>
      <c r="W10" s="133">
        <v>42594</v>
      </c>
      <c r="X10" s="10">
        <v>18.309999999999999</v>
      </c>
      <c r="Y10" s="10">
        <v>19.2</v>
      </c>
      <c r="Z10" s="10">
        <v>18.260000000000002</v>
      </c>
      <c r="AA10" s="10">
        <v>18.95</v>
      </c>
      <c r="AB10" s="95">
        <v>4684100</v>
      </c>
      <c r="AC10" s="10">
        <v>18.95</v>
      </c>
      <c r="AD10" s="2">
        <f t="shared" si="0"/>
        <v>0.93999999999999773</v>
      </c>
      <c r="AE10" s="138">
        <f t="shared" si="1"/>
        <v>1.8269747447608786E-2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42593</v>
      </c>
      <c r="X11" s="10">
        <v>17.54</v>
      </c>
      <c r="Y11" s="10">
        <v>18.690000000000001</v>
      </c>
      <c r="Z11" s="10">
        <v>17.5</v>
      </c>
      <c r="AA11" s="10">
        <v>18.61</v>
      </c>
      <c r="AB11" s="95">
        <v>6094800</v>
      </c>
      <c r="AC11" s="10">
        <v>18.61</v>
      </c>
      <c r="AD11" s="2">
        <f t="shared" si="0"/>
        <v>1.1900000000000013</v>
      </c>
      <c r="AE11" s="138">
        <f t="shared" si="1"/>
        <v>8.2606166375799761E-2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42592</v>
      </c>
      <c r="X12" s="10">
        <v>17.41</v>
      </c>
      <c r="Y12" s="10">
        <v>17.61</v>
      </c>
      <c r="Z12" s="10">
        <v>17.100000000000001</v>
      </c>
      <c r="AA12" s="10">
        <v>17.190000000000001</v>
      </c>
      <c r="AB12" s="95">
        <v>2634300</v>
      </c>
      <c r="AC12" s="10">
        <v>17.190000000000001</v>
      </c>
      <c r="AD12" s="2">
        <f t="shared" si="0"/>
        <v>0.50999999999999801</v>
      </c>
      <c r="AE12" s="138">
        <f t="shared" si="1"/>
        <v>-6.9324090121315463E-3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42591</v>
      </c>
      <c r="X13" s="10">
        <v>17.260000000000002</v>
      </c>
      <c r="Y13" s="10">
        <v>17.59</v>
      </c>
      <c r="Z13" s="10">
        <v>16.86</v>
      </c>
      <c r="AA13" s="10">
        <v>17.309999999999999</v>
      </c>
      <c r="AB13" s="95">
        <v>3205500</v>
      </c>
      <c r="AC13" s="10">
        <v>17.309999999999999</v>
      </c>
      <c r="AD13" s="2">
        <f t="shared" si="0"/>
        <v>0.73000000000000043</v>
      </c>
      <c r="AE13" s="138">
        <f t="shared" si="1"/>
        <v>-8.5910652920963004E-3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42590</v>
      </c>
      <c r="X14" s="10">
        <v>17.5</v>
      </c>
      <c r="Y14" s="10">
        <v>17.93</v>
      </c>
      <c r="Z14" s="10">
        <v>17.22</v>
      </c>
      <c r="AA14" s="10">
        <v>17.46</v>
      </c>
      <c r="AB14" s="95">
        <v>3147700</v>
      </c>
      <c r="AC14" s="10">
        <v>17.46</v>
      </c>
      <c r="AD14" s="2">
        <f t="shared" si="0"/>
        <v>0.71000000000000085</v>
      </c>
      <c r="AE14" s="138">
        <f t="shared" si="1"/>
        <v>-5.12820512820511E-3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42587</v>
      </c>
      <c r="X15" s="10">
        <v>17</v>
      </c>
      <c r="Y15" s="10">
        <v>17.68</v>
      </c>
      <c r="Z15" s="10">
        <v>16.95</v>
      </c>
      <c r="AA15" s="10">
        <v>17.55</v>
      </c>
      <c r="AB15" s="95">
        <v>5158200</v>
      </c>
      <c r="AC15" s="10">
        <v>17.55</v>
      </c>
      <c r="AD15" s="2">
        <f t="shared" si="0"/>
        <v>0.73000000000000043</v>
      </c>
      <c r="AE15" s="138">
        <f t="shared" si="1"/>
        <v>4.4642857142857206E-2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42586</v>
      </c>
      <c r="X16" s="10">
        <v>16.559999999999999</v>
      </c>
      <c r="Y16" s="10">
        <v>17.350000000000001</v>
      </c>
      <c r="Z16" s="10">
        <v>16.52</v>
      </c>
      <c r="AA16" s="10">
        <v>16.8</v>
      </c>
      <c r="AB16" s="95">
        <v>8193400</v>
      </c>
      <c r="AC16" s="10">
        <v>16.8</v>
      </c>
      <c r="AD16" s="2">
        <f t="shared" si="0"/>
        <v>0.83000000000000185</v>
      </c>
      <c r="AE16" s="138">
        <f t="shared" si="1"/>
        <v>2.0036429872495543E-2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42585</v>
      </c>
      <c r="X17" s="10">
        <v>20.14</v>
      </c>
      <c r="Y17" s="10">
        <v>20.14</v>
      </c>
      <c r="Z17" s="10">
        <v>15.66</v>
      </c>
      <c r="AA17" s="10">
        <v>16.47</v>
      </c>
      <c r="AB17" s="95">
        <v>26308900</v>
      </c>
      <c r="AC17" s="10">
        <v>16.47</v>
      </c>
      <c r="AD17" s="2">
        <f t="shared" si="0"/>
        <v>4.4800000000000004</v>
      </c>
      <c r="AE17" s="138">
        <f t="shared" si="1"/>
        <v>-0.18222442899702096</v>
      </c>
    </row>
    <row r="18" spans="1:31" x14ac:dyDescent="0.25">
      <c r="W18" s="133">
        <v>42584</v>
      </c>
      <c r="X18" s="10">
        <v>21.46</v>
      </c>
      <c r="Y18" s="10">
        <v>21.55</v>
      </c>
      <c r="Z18" s="10">
        <v>20.07</v>
      </c>
      <c r="AA18" s="10">
        <v>20.14</v>
      </c>
      <c r="AB18" s="95">
        <v>3886900</v>
      </c>
      <c r="AC18" s="10">
        <v>20.14</v>
      </c>
      <c r="AD18" s="2">
        <f t="shared" si="0"/>
        <v>1.4800000000000004</v>
      </c>
      <c r="AE18" s="138">
        <f t="shared" si="1"/>
        <v>-6.3255813953488338E-2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42583</v>
      </c>
      <c r="X19" s="10">
        <v>21.69</v>
      </c>
      <c r="Y19" s="10">
        <v>21.95</v>
      </c>
      <c r="Z19" s="10">
        <v>21.41</v>
      </c>
      <c r="AA19" s="10">
        <v>21.5</v>
      </c>
      <c r="AB19" s="95">
        <v>2348100</v>
      </c>
      <c r="AC19" s="10">
        <v>21.5</v>
      </c>
      <c r="AD19" s="2">
        <f t="shared" si="0"/>
        <v>0.53999999999999915</v>
      </c>
      <c r="AE19" s="138">
        <f t="shared" si="1"/>
        <v>-8.75979714153996E-3</v>
      </c>
    </row>
    <row r="20" spans="1:31" x14ac:dyDescent="0.25">
      <c r="W20" s="133">
        <v>42580</v>
      </c>
      <c r="X20" s="10">
        <v>21.69</v>
      </c>
      <c r="Y20" s="10">
        <v>21.89</v>
      </c>
      <c r="Z20" s="10">
        <v>21.36</v>
      </c>
      <c r="AA20" s="10">
        <v>21.69</v>
      </c>
      <c r="AB20" s="95">
        <v>1469000</v>
      </c>
      <c r="AC20" s="10">
        <v>21.69</v>
      </c>
      <c r="AD20" s="2">
        <f t="shared" si="0"/>
        <v>0.53000000000000114</v>
      </c>
      <c r="AE20" s="138">
        <f t="shared" si="1"/>
        <v>-6.8681318681318437E-3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42579</v>
      </c>
      <c r="X21" s="10">
        <v>21.63</v>
      </c>
      <c r="Y21" s="10">
        <v>21.95</v>
      </c>
      <c r="Z21" s="10">
        <v>21.41</v>
      </c>
      <c r="AA21" s="10">
        <v>21.84</v>
      </c>
      <c r="AB21" s="95">
        <v>2188100</v>
      </c>
      <c r="AC21" s="10">
        <v>21.84</v>
      </c>
      <c r="AD21" s="2">
        <f t="shared" si="0"/>
        <v>0.53999999999999915</v>
      </c>
      <c r="AE21" s="138">
        <f t="shared" si="1"/>
        <v>8.310249307479145E-3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42578</v>
      </c>
      <c r="X22" s="10">
        <v>21.78</v>
      </c>
      <c r="Y22" s="10">
        <v>21.79</v>
      </c>
      <c r="Z22" s="10">
        <v>21.24</v>
      </c>
      <c r="AA22" s="10">
        <v>21.66</v>
      </c>
      <c r="AB22" s="95">
        <v>3603700</v>
      </c>
      <c r="AC22" s="10">
        <v>21.66</v>
      </c>
      <c r="AD22" s="2">
        <f t="shared" si="0"/>
        <v>0.55000000000000071</v>
      </c>
      <c r="AE22" s="138">
        <f t="shared" si="1"/>
        <v>-4.1379310344827891E-3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42577</v>
      </c>
      <c r="X23" s="10">
        <v>21.59</v>
      </c>
      <c r="Y23" s="10">
        <v>21.88</v>
      </c>
      <c r="Z23" s="10">
        <v>21.44</v>
      </c>
      <c r="AA23" s="10">
        <v>21.75</v>
      </c>
      <c r="AB23" s="95">
        <v>1415200</v>
      </c>
      <c r="AC23" s="10">
        <v>21.75</v>
      </c>
      <c r="AD23" s="2">
        <f t="shared" si="0"/>
        <v>0.43999999999999773</v>
      </c>
      <c r="AE23" s="138">
        <f t="shared" si="1"/>
        <v>7.8776645041707116E-3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42576</v>
      </c>
      <c r="X24" s="10">
        <v>21.43</v>
      </c>
      <c r="Y24" s="10">
        <v>21.66</v>
      </c>
      <c r="Z24" s="10">
        <v>21.33</v>
      </c>
      <c r="AA24" s="10">
        <v>21.58</v>
      </c>
      <c r="AB24" s="95">
        <v>1127200</v>
      </c>
      <c r="AC24" s="10">
        <v>21.58</v>
      </c>
      <c r="AD24" s="2">
        <f t="shared" si="0"/>
        <v>0.33000000000000185</v>
      </c>
      <c r="AE24" s="138">
        <f t="shared" si="1"/>
        <v>4.6554934823090921E-3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42573</v>
      </c>
      <c r="X25" s="10">
        <v>21.22</v>
      </c>
      <c r="Y25" s="10">
        <v>21.55</v>
      </c>
      <c r="Z25" s="10">
        <v>20.89</v>
      </c>
      <c r="AA25" s="10">
        <v>21.48</v>
      </c>
      <c r="AB25" s="95">
        <v>987200</v>
      </c>
      <c r="AC25" s="10">
        <v>21.48</v>
      </c>
      <c r="AD25" s="2">
        <f t="shared" si="0"/>
        <v>0.66000000000000014</v>
      </c>
      <c r="AE25" s="138">
        <f t="shared" si="1"/>
        <v>1.0348071495766664E-2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42572</v>
      </c>
      <c r="X26" s="10">
        <v>21.54</v>
      </c>
      <c r="Y26" s="10">
        <v>21.75</v>
      </c>
      <c r="Z26" s="10">
        <v>21.2</v>
      </c>
      <c r="AA26" s="10">
        <v>21.26</v>
      </c>
      <c r="AB26" s="95">
        <v>1032100</v>
      </c>
      <c r="AC26" s="10">
        <v>21.26</v>
      </c>
      <c r="AD26" s="2">
        <f t="shared" si="0"/>
        <v>0.55000000000000071</v>
      </c>
      <c r="AE26" s="138">
        <f t="shared" si="1"/>
        <v>-1.29990714948931E-2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42571</v>
      </c>
      <c r="X27" s="10">
        <v>20.93</v>
      </c>
      <c r="Y27" s="10">
        <v>21.62</v>
      </c>
      <c r="Z27" s="10">
        <v>20.87</v>
      </c>
      <c r="AA27" s="10">
        <v>21.54</v>
      </c>
      <c r="AB27" s="95">
        <v>1587200</v>
      </c>
      <c r="AC27" s="10">
        <v>21.54</v>
      </c>
      <c r="AD27" s="2">
        <f t="shared" si="0"/>
        <v>0.75</v>
      </c>
      <c r="AE27" s="138">
        <f t="shared" si="1"/>
        <v>3.5079288803459896E-2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42570</v>
      </c>
      <c r="X28" s="10">
        <v>20.8</v>
      </c>
      <c r="Y28" s="10">
        <v>20.94</v>
      </c>
      <c r="Z28" s="10">
        <v>20.62</v>
      </c>
      <c r="AA28" s="10">
        <v>20.81</v>
      </c>
      <c r="AB28" s="95">
        <v>1221600</v>
      </c>
      <c r="AC28" s="10">
        <v>20.81</v>
      </c>
      <c r="AD28" s="2">
        <f t="shared" si="0"/>
        <v>0.32000000000000028</v>
      </c>
      <c r="AE28" s="138">
        <f t="shared" si="1"/>
        <v>-6.208213944603802E-3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42569</v>
      </c>
      <c r="X29" s="10">
        <v>21.47</v>
      </c>
      <c r="Y29" s="10">
        <v>21.47</v>
      </c>
      <c r="Z29" s="10">
        <v>20.89</v>
      </c>
      <c r="AA29" s="10">
        <v>20.94</v>
      </c>
      <c r="AB29" s="95">
        <v>1593500</v>
      </c>
      <c r="AC29" s="10">
        <v>20.94</v>
      </c>
      <c r="AD29" s="2">
        <f t="shared" si="0"/>
        <v>0.57999999999999829</v>
      </c>
      <c r="AE29" s="138">
        <f t="shared" si="1"/>
        <v>-5.6980056980056037E-3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42566</v>
      </c>
      <c r="X30" s="10">
        <v>21.11</v>
      </c>
      <c r="Y30" s="10">
        <v>21.34</v>
      </c>
      <c r="Z30" s="10">
        <v>20.9</v>
      </c>
      <c r="AA30" s="10">
        <v>21.06</v>
      </c>
      <c r="AB30" s="95">
        <v>3216100</v>
      </c>
      <c r="AC30" s="10">
        <v>21.06</v>
      </c>
      <c r="AD30" s="2">
        <f t="shared" si="0"/>
        <v>0.44000000000000128</v>
      </c>
      <c r="AE30" s="138">
        <f t="shared" si="1"/>
        <v>1.9029495718363432E-3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42565</v>
      </c>
      <c r="X31" s="10">
        <v>21.2</v>
      </c>
      <c r="Y31" s="10">
        <v>21.31</v>
      </c>
      <c r="Z31" s="10">
        <v>20.9</v>
      </c>
      <c r="AA31" s="10">
        <v>21.02</v>
      </c>
      <c r="AB31" s="95">
        <v>1176500</v>
      </c>
      <c r="AC31" s="10">
        <v>21.02</v>
      </c>
      <c r="AD31" s="2">
        <f t="shared" si="0"/>
        <v>0.41000000000000014</v>
      </c>
      <c r="AE31" s="138">
        <f t="shared" si="1"/>
        <v>1.4292520247738416E-3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42564</v>
      </c>
      <c r="X32" s="10">
        <v>21.75</v>
      </c>
      <c r="Y32" s="10">
        <v>21.77</v>
      </c>
      <c r="Z32" s="10">
        <v>20.79</v>
      </c>
      <c r="AA32" s="10">
        <v>20.99</v>
      </c>
      <c r="AB32" s="95">
        <v>1901200</v>
      </c>
      <c r="AC32" s="10">
        <v>20.99</v>
      </c>
      <c r="AD32" s="2">
        <f t="shared" si="0"/>
        <v>0.98000000000000043</v>
      </c>
      <c r="AE32" s="138">
        <f t="shared" si="1"/>
        <v>-2.7790643816581806E-2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42563</v>
      </c>
      <c r="X33" s="10">
        <v>21.74</v>
      </c>
      <c r="Y33" s="10">
        <v>22.1</v>
      </c>
      <c r="Z33" s="10">
        <v>21.58</v>
      </c>
      <c r="AA33" s="10">
        <v>21.59</v>
      </c>
      <c r="AB33" s="95">
        <v>3529300</v>
      </c>
      <c r="AC33" s="10">
        <v>21.59</v>
      </c>
      <c r="AD33" s="2">
        <f t="shared" si="0"/>
        <v>0.52000000000000313</v>
      </c>
      <c r="AE33" s="138">
        <f t="shared" si="1"/>
        <v>1.2189404594467934E-2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42562</v>
      </c>
      <c r="X34" s="10">
        <v>21.43</v>
      </c>
      <c r="Y34" s="10">
        <v>21.54</v>
      </c>
      <c r="Z34" s="10">
        <v>21.07</v>
      </c>
      <c r="AA34" s="10">
        <v>21.33</v>
      </c>
      <c r="AB34" s="95">
        <v>2269200</v>
      </c>
      <c r="AC34" s="10">
        <v>21.33</v>
      </c>
      <c r="AD34" s="2">
        <f t="shared" si="0"/>
        <v>0.46999999999999886</v>
      </c>
      <c r="AE34" s="138">
        <f t="shared" si="1"/>
        <v>-4.6663555762950226E-3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42559</v>
      </c>
      <c r="X35" s="10">
        <v>21</v>
      </c>
      <c r="Y35" s="10">
        <v>21.49</v>
      </c>
      <c r="Z35" s="10">
        <v>20.95</v>
      </c>
      <c r="AA35" s="10">
        <v>21.43</v>
      </c>
      <c r="AB35" s="95">
        <v>1504700</v>
      </c>
      <c r="AC35" s="10">
        <v>21.43</v>
      </c>
      <c r="AD35" s="2">
        <f t="shared" si="0"/>
        <v>0.53999999999999915</v>
      </c>
      <c r="AE35" s="138">
        <f t="shared" si="1"/>
        <v>3.4765813616610242E-2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42558</v>
      </c>
      <c r="X36" s="10">
        <v>20.03</v>
      </c>
      <c r="Y36" s="10">
        <v>20.74</v>
      </c>
      <c r="Z36" s="10">
        <v>20.010000000000002</v>
      </c>
      <c r="AA36" s="10">
        <v>20.71</v>
      </c>
      <c r="AB36" s="95">
        <v>1718300</v>
      </c>
      <c r="AC36" s="10">
        <v>20.71</v>
      </c>
      <c r="AD36" s="2">
        <f t="shared" si="0"/>
        <v>0.72999999999999687</v>
      </c>
      <c r="AE36" s="138">
        <f t="shared" si="1"/>
        <v>3.2402791625124827E-2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42557</v>
      </c>
      <c r="X37" s="10">
        <v>19.809999999999999</v>
      </c>
      <c r="Y37" s="10">
        <v>20.09</v>
      </c>
      <c r="Z37" s="10">
        <v>19.57</v>
      </c>
      <c r="AA37" s="10">
        <v>20.059999999999999</v>
      </c>
      <c r="AB37" s="95">
        <v>2595000</v>
      </c>
      <c r="AC37" s="10">
        <v>20.059999999999999</v>
      </c>
      <c r="AD37" s="2">
        <f t="shared" si="0"/>
        <v>0.51999999999999957</v>
      </c>
      <c r="AE37" s="138">
        <f t="shared" si="1"/>
        <v>8.040201005025116E-3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42556</v>
      </c>
      <c r="X38" s="10">
        <v>20.85</v>
      </c>
      <c r="Y38" s="10">
        <v>20.85</v>
      </c>
      <c r="Z38" s="10">
        <v>19.73</v>
      </c>
      <c r="AA38" s="10">
        <v>19.899999999999999</v>
      </c>
      <c r="AB38" s="95">
        <v>1651000</v>
      </c>
      <c r="AC38" s="10">
        <v>19.899999999999999</v>
      </c>
      <c r="AD38" s="2">
        <f t="shared" si="0"/>
        <v>1.120000000000001</v>
      </c>
      <c r="AE38" s="138">
        <f t="shared" si="1"/>
        <v>-5.4182509505703469E-2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42552</v>
      </c>
      <c r="X39" s="10">
        <v>20.55</v>
      </c>
      <c r="Y39" s="10">
        <v>21.14</v>
      </c>
      <c r="Z39" s="10">
        <v>20.55</v>
      </c>
      <c r="AA39" s="10">
        <v>21.04</v>
      </c>
      <c r="AB39" s="95">
        <v>1770200</v>
      </c>
      <c r="AC39" s="10">
        <v>21.04</v>
      </c>
      <c r="AD39" s="2">
        <f t="shared" si="0"/>
        <v>0.58999999999999986</v>
      </c>
      <c r="AE39" s="138">
        <f t="shared" si="1"/>
        <v>2.0863658418243558E-2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42551</v>
      </c>
      <c r="X40" s="10">
        <v>20.65</v>
      </c>
      <c r="Y40" s="10">
        <v>20.68</v>
      </c>
      <c r="Z40" s="10">
        <v>20.309999999999999</v>
      </c>
      <c r="AA40" s="10">
        <v>20.61</v>
      </c>
      <c r="AB40" s="95">
        <v>2411000</v>
      </c>
      <c r="AC40" s="10">
        <v>20.61</v>
      </c>
      <c r="AD40" s="2">
        <f t="shared" si="0"/>
        <v>0.37000000000000099</v>
      </c>
      <c r="AE40" s="138">
        <f t="shared" si="1"/>
        <v>-2.9027576197389049E-3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42550</v>
      </c>
      <c r="X41" s="10">
        <v>20</v>
      </c>
      <c r="Y41" s="10">
        <v>20.77</v>
      </c>
      <c r="Z41" s="10">
        <v>19.940000000000001</v>
      </c>
      <c r="AA41" s="10">
        <v>20.67</v>
      </c>
      <c r="AB41" s="95">
        <v>2360600</v>
      </c>
      <c r="AC41" s="10">
        <v>20.67</v>
      </c>
      <c r="AD41" s="2">
        <f t="shared" si="0"/>
        <v>0.82999999999999829</v>
      </c>
      <c r="AE41" s="138">
        <f t="shared" si="1"/>
        <v>5.2980132450331174E-2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42549</v>
      </c>
      <c r="X42" s="10">
        <v>19.170000000000002</v>
      </c>
      <c r="Y42" s="10">
        <v>19.829999999999998</v>
      </c>
      <c r="Z42" s="10">
        <v>19.14</v>
      </c>
      <c r="AA42" s="10">
        <v>19.63</v>
      </c>
      <c r="AB42" s="95">
        <v>2317900</v>
      </c>
      <c r="AC42" s="10">
        <v>19.63</v>
      </c>
      <c r="AD42" s="2">
        <f t="shared" si="0"/>
        <v>0.68999999999999773</v>
      </c>
      <c r="AE42" s="138">
        <f t="shared" si="1"/>
        <v>4.1379310344827447E-2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19.78</v>
      </c>
      <c r="W43" s="133">
        <v>42548</v>
      </c>
      <c r="X43" s="10">
        <v>19.829999999999998</v>
      </c>
      <c r="Y43" s="10">
        <v>19.829999999999998</v>
      </c>
      <c r="Z43" s="10">
        <v>18.68</v>
      </c>
      <c r="AA43" s="10">
        <v>18.850000000000001</v>
      </c>
      <c r="AB43" s="95">
        <v>4803700</v>
      </c>
      <c r="AC43" s="10">
        <v>18.850000000000001</v>
      </c>
      <c r="AD43" s="2">
        <f t="shared" si="0"/>
        <v>1.1499999999999986</v>
      </c>
      <c r="AE43" s="138">
        <f t="shared" si="1"/>
        <v>-5.7971014492753659E-2</v>
      </c>
    </row>
    <row r="44" spans="1:31" ht="20.25" thickBot="1" x14ac:dyDescent="0.35">
      <c r="O44" s="535" t="s">
        <v>78</v>
      </c>
      <c r="P44" s="535"/>
      <c r="T44" s="93" t="s">
        <v>99</v>
      </c>
      <c r="U44" s="88">
        <v>19.690000000000001</v>
      </c>
      <c r="W44" s="133">
        <v>42545</v>
      </c>
      <c r="X44" s="10">
        <v>20.34</v>
      </c>
      <c r="Y44" s="10">
        <v>20.58</v>
      </c>
      <c r="Z44" s="10">
        <v>19.809999999999999</v>
      </c>
      <c r="AA44" s="10">
        <v>20.010000000000002</v>
      </c>
      <c r="AB44" s="95">
        <v>2884600</v>
      </c>
      <c r="AC44" s="10">
        <v>20.010000000000002</v>
      </c>
      <c r="AD44" s="2">
        <f t="shared" si="0"/>
        <v>0.76999999999999957</v>
      </c>
      <c r="AE44" s="138">
        <f t="shared" si="1"/>
        <v>-6.7132867132867036E-2</v>
      </c>
    </row>
    <row r="45" spans="1:31" ht="15.75" thickTop="1" x14ac:dyDescent="0.25">
      <c r="L45" t="s">
        <v>224</v>
      </c>
      <c r="M45" s="2">
        <f>M64+K64-F64</f>
        <v>155.90000000000146</v>
      </c>
      <c r="O45" s="83">
        <v>1.1000000000000001</v>
      </c>
      <c r="P45" s="83">
        <f>O45*$Q$4</f>
        <v>21.307000000000002</v>
      </c>
      <c r="Q45" s="2"/>
      <c r="T45" s="93" t="s">
        <v>100</v>
      </c>
      <c r="U45" s="88" t="s">
        <v>462</v>
      </c>
      <c r="W45" s="133">
        <v>42544</v>
      </c>
      <c r="X45" s="10">
        <v>21.31</v>
      </c>
      <c r="Y45" s="10">
        <v>21.64</v>
      </c>
      <c r="Z45" s="10">
        <v>21.19</v>
      </c>
      <c r="AA45" s="10">
        <v>21.45</v>
      </c>
      <c r="AB45" s="95">
        <v>964200</v>
      </c>
      <c r="AC45" s="10">
        <v>21.45</v>
      </c>
      <c r="AD45" s="2">
        <f t="shared" si="0"/>
        <v>0.44999999999999929</v>
      </c>
      <c r="AE45" s="138">
        <f t="shared" si="1"/>
        <v>1.8035121025154144E-2</v>
      </c>
    </row>
    <row r="46" spans="1:31" x14ac:dyDescent="0.25">
      <c r="A46" s="391" t="s">
        <v>1</v>
      </c>
      <c r="B46" s="391" t="s">
        <v>2</v>
      </c>
      <c r="C46" s="391" t="s">
        <v>4</v>
      </c>
      <c r="D46" s="393" t="s">
        <v>5</v>
      </c>
      <c r="E46" s="393" t="s">
        <v>94</v>
      </c>
      <c r="F46" s="393" t="s">
        <v>60</v>
      </c>
      <c r="G46" s="391" t="s">
        <v>3</v>
      </c>
      <c r="H46" s="391" t="s">
        <v>6</v>
      </c>
      <c r="I46" s="391" t="s">
        <v>7</v>
      </c>
      <c r="J46" s="391" t="s">
        <v>95</v>
      </c>
      <c r="K46" s="391" t="s">
        <v>61</v>
      </c>
      <c r="L46" s="391" t="s">
        <v>37</v>
      </c>
      <c r="M46" s="391" t="s">
        <v>38</v>
      </c>
      <c r="O46" s="83">
        <v>1.0900000000000001</v>
      </c>
      <c r="P46" s="83">
        <f t="shared" ref="P46:P65" si="5">O46*$Q$4</f>
        <v>21.113300000000002</v>
      </c>
      <c r="Q46" s="2"/>
      <c r="T46" s="93" t="s">
        <v>101</v>
      </c>
      <c r="U46" s="88" t="s">
        <v>463</v>
      </c>
      <c r="W46" s="133">
        <v>42543</v>
      </c>
      <c r="X46" s="10">
        <v>21.39</v>
      </c>
      <c r="Y46" s="10">
        <v>21.65</v>
      </c>
      <c r="Z46" s="10">
        <v>21.06</v>
      </c>
      <c r="AA46" s="10">
        <v>21.07</v>
      </c>
      <c r="AB46" s="95">
        <v>972800</v>
      </c>
      <c r="AC46" s="10">
        <v>21.07</v>
      </c>
      <c r="AD46" s="2">
        <f t="shared" si="0"/>
        <v>0.58999999999999986</v>
      </c>
      <c r="AE46" s="138">
        <f t="shared" si="1"/>
        <v>-1.3576779026217234E-2</v>
      </c>
    </row>
    <row r="47" spans="1:31" x14ac:dyDescent="0.25">
      <c r="A47" s="394" t="s">
        <v>15</v>
      </c>
      <c r="B47" s="384">
        <v>42153</v>
      </c>
      <c r="C47" s="385">
        <v>1</v>
      </c>
      <c r="D47" s="386">
        <v>26.75</v>
      </c>
      <c r="E47" s="386">
        <v>0</v>
      </c>
      <c r="F47" s="386">
        <f>C47*D47</f>
        <v>26.75</v>
      </c>
      <c r="G47" s="384">
        <v>42226</v>
      </c>
      <c r="H47" s="385">
        <v>170</v>
      </c>
      <c r="I47" s="385">
        <v>22.35</v>
      </c>
      <c r="J47" s="386">
        <v>7.0000000000000007E-2</v>
      </c>
      <c r="K47" s="385">
        <f t="shared" ref="K47:K54" si="6">H47*I47-J47</f>
        <v>3799.4300000000003</v>
      </c>
      <c r="L47" s="385" t="s">
        <v>80</v>
      </c>
      <c r="M47" s="385"/>
      <c r="O47" s="83">
        <v>1.08</v>
      </c>
      <c r="P47" s="83">
        <f t="shared" si="5"/>
        <v>20.919600000000003</v>
      </c>
      <c r="Q47" s="2"/>
      <c r="T47" s="93" t="s">
        <v>102</v>
      </c>
      <c r="U47" s="88">
        <v>21.67</v>
      </c>
      <c r="W47" s="133">
        <v>42542</v>
      </c>
      <c r="X47" s="10">
        <v>21.25</v>
      </c>
      <c r="Y47" s="10">
        <v>21.47</v>
      </c>
      <c r="Z47" s="10">
        <v>21.04</v>
      </c>
      <c r="AA47" s="10">
        <v>21.36</v>
      </c>
      <c r="AB47" s="95">
        <v>1353400</v>
      </c>
      <c r="AC47" s="10">
        <v>21.36</v>
      </c>
      <c r="AD47" s="2">
        <f t="shared" si="0"/>
        <v>0.42999999999999972</v>
      </c>
      <c r="AE47" s="138">
        <f t="shared" si="1"/>
        <v>8.9749645725081262E-3</v>
      </c>
    </row>
    <row r="48" spans="1:31" x14ac:dyDescent="0.25">
      <c r="A48" s="395" t="s">
        <v>71</v>
      </c>
      <c r="B48" s="384">
        <v>42173</v>
      </c>
      <c r="C48" s="385">
        <v>19</v>
      </c>
      <c r="D48" s="386">
        <v>24.84</v>
      </c>
      <c r="E48" s="386">
        <v>0</v>
      </c>
      <c r="F48" s="386">
        <f t="shared" ref="F48:F61" si="7">C48*D48</f>
        <v>471.96</v>
      </c>
      <c r="G48" s="384">
        <v>42263</v>
      </c>
      <c r="H48" s="385">
        <v>120</v>
      </c>
      <c r="I48" s="385">
        <v>19.28</v>
      </c>
      <c r="J48" s="385">
        <v>0.04</v>
      </c>
      <c r="K48" s="385">
        <f t="shared" si="6"/>
        <v>2313.5600000000004</v>
      </c>
      <c r="L48" s="385"/>
      <c r="M48" s="385"/>
      <c r="O48" s="83">
        <v>1.07</v>
      </c>
      <c r="P48" s="83">
        <f t="shared" si="5"/>
        <v>20.725900000000003</v>
      </c>
      <c r="Q48" s="2"/>
      <c r="T48" s="93" t="s">
        <v>103</v>
      </c>
      <c r="U48" s="88">
        <v>1.3779300000000001</v>
      </c>
      <c r="W48" s="133">
        <v>42541</v>
      </c>
      <c r="X48" s="10">
        <v>21.12</v>
      </c>
      <c r="Y48" s="10">
        <v>21.53</v>
      </c>
      <c r="Z48" s="10">
        <v>20.96</v>
      </c>
      <c r="AA48" s="10">
        <v>21.17</v>
      </c>
      <c r="AB48" s="95">
        <v>1928500</v>
      </c>
      <c r="AC48" s="10">
        <v>21.17</v>
      </c>
      <c r="AD48" s="2">
        <f t="shared" si="0"/>
        <v>0.57000000000000028</v>
      </c>
      <c r="AE48" s="138">
        <f t="shared" si="1"/>
        <v>2.3199613339777603E-2</v>
      </c>
    </row>
    <row r="49" spans="1:31" x14ac:dyDescent="0.25">
      <c r="A49" s="385"/>
      <c r="B49" s="384">
        <v>42184</v>
      </c>
      <c r="C49" s="385">
        <v>10</v>
      </c>
      <c r="D49" s="386">
        <v>24.33</v>
      </c>
      <c r="E49" s="386">
        <v>0</v>
      </c>
      <c r="F49" s="386">
        <f t="shared" si="7"/>
        <v>243.29999999999998</v>
      </c>
      <c r="G49" s="384">
        <v>42284</v>
      </c>
      <c r="H49" s="385">
        <v>40</v>
      </c>
      <c r="I49" s="385">
        <v>20.45</v>
      </c>
      <c r="J49" s="385">
        <v>0.02</v>
      </c>
      <c r="K49" s="385">
        <f t="shared" si="6"/>
        <v>817.98</v>
      </c>
      <c r="L49" s="385"/>
      <c r="M49" s="385"/>
      <c r="O49" s="83">
        <v>1.06</v>
      </c>
      <c r="P49" s="83">
        <f t="shared" si="5"/>
        <v>20.532200000000003</v>
      </c>
      <c r="Q49" s="2"/>
      <c r="T49" s="93" t="s">
        <v>104</v>
      </c>
      <c r="U49" s="88" t="s">
        <v>342</v>
      </c>
      <c r="W49" s="133">
        <v>42538</v>
      </c>
      <c r="X49" s="10">
        <v>20.239999999999998</v>
      </c>
      <c r="Y49" s="10">
        <v>20.83</v>
      </c>
      <c r="Z49" s="10">
        <v>20</v>
      </c>
      <c r="AA49" s="10">
        <v>20.69</v>
      </c>
      <c r="AB49" s="95">
        <v>1715600</v>
      </c>
      <c r="AC49" s="10">
        <v>20.69</v>
      </c>
      <c r="AD49" s="2">
        <f t="shared" si="0"/>
        <v>0.82999999999999829</v>
      </c>
      <c r="AE49" s="138">
        <f t="shared" si="1"/>
        <v>2.6289682539682557E-2</v>
      </c>
    </row>
    <row r="50" spans="1:31" x14ac:dyDescent="0.25">
      <c r="A50" s="385"/>
      <c r="B50" s="384">
        <v>42185</v>
      </c>
      <c r="C50" s="385">
        <v>5</v>
      </c>
      <c r="D50" s="386">
        <v>23.82</v>
      </c>
      <c r="E50" s="386">
        <v>0</v>
      </c>
      <c r="F50" s="386">
        <f t="shared" si="7"/>
        <v>119.1</v>
      </c>
      <c r="G50" s="384">
        <v>42285</v>
      </c>
      <c r="H50" s="385">
        <v>80</v>
      </c>
      <c r="I50" s="386">
        <v>21.14</v>
      </c>
      <c r="J50" s="386">
        <v>0.03</v>
      </c>
      <c r="K50" s="385">
        <f t="shared" si="6"/>
        <v>1691.17</v>
      </c>
      <c r="L50" s="385"/>
      <c r="M50" s="385"/>
      <c r="O50" s="83">
        <v>1.05</v>
      </c>
      <c r="P50" s="83">
        <f t="shared" si="5"/>
        <v>20.338500000000003</v>
      </c>
      <c r="Q50" s="2"/>
      <c r="T50" s="93"/>
      <c r="U50" s="88"/>
      <c r="W50" s="133">
        <v>42537</v>
      </c>
      <c r="X50" s="10">
        <v>20.09</v>
      </c>
      <c r="Y50" s="10">
        <v>20.28</v>
      </c>
      <c r="Z50" s="10">
        <v>19.43</v>
      </c>
      <c r="AA50" s="10">
        <v>20.16</v>
      </c>
      <c r="AB50" s="95">
        <v>2438300</v>
      </c>
      <c r="AC50" s="10">
        <v>20.16</v>
      </c>
      <c r="AD50" s="2">
        <f t="shared" si="0"/>
        <v>0.85000000000000142</v>
      </c>
      <c r="AE50" s="138">
        <f t="shared" si="1"/>
        <v>-5.4267390231869106E-3</v>
      </c>
    </row>
    <row r="51" spans="1:31" x14ac:dyDescent="0.25">
      <c r="A51" s="385"/>
      <c r="B51" s="384">
        <v>42185</v>
      </c>
      <c r="C51" s="385">
        <v>15</v>
      </c>
      <c r="D51" s="386">
        <v>23.71</v>
      </c>
      <c r="E51" s="386">
        <v>0</v>
      </c>
      <c r="F51" s="386">
        <f t="shared" si="7"/>
        <v>355.65000000000003</v>
      </c>
      <c r="G51" s="384">
        <v>42010</v>
      </c>
      <c r="H51" s="385">
        <v>60</v>
      </c>
      <c r="I51" s="385">
        <v>17.760000000000002</v>
      </c>
      <c r="J51" s="385">
        <v>0.02</v>
      </c>
      <c r="K51" s="385">
        <f t="shared" si="6"/>
        <v>1065.5800000000002</v>
      </c>
      <c r="L51" s="385"/>
      <c r="M51" s="385"/>
      <c r="O51" s="83">
        <v>1.04</v>
      </c>
      <c r="P51" s="83">
        <f t="shared" si="5"/>
        <v>20.1448</v>
      </c>
      <c r="Q51" s="2"/>
      <c r="T51" s="93" t="s">
        <v>105</v>
      </c>
      <c r="U51" s="88" t="s">
        <v>464</v>
      </c>
      <c r="W51" s="133">
        <v>42536</v>
      </c>
      <c r="X51" s="10">
        <v>19.670000000000002</v>
      </c>
      <c r="Y51" s="10">
        <v>20.65</v>
      </c>
      <c r="Z51" s="10">
        <v>19.61</v>
      </c>
      <c r="AA51" s="10">
        <v>20.27</v>
      </c>
      <c r="AB51" s="95">
        <v>2661300</v>
      </c>
      <c r="AC51" s="10">
        <v>20.27</v>
      </c>
      <c r="AD51" s="2">
        <f t="shared" si="0"/>
        <v>1.0399999999999991</v>
      </c>
      <c r="AE51" s="138">
        <f t="shared" si="1"/>
        <v>3.6828644501278651E-2</v>
      </c>
    </row>
    <row r="52" spans="1:31" x14ac:dyDescent="0.25">
      <c r="A52" s="385"/>
      <c r="B52" s="384">
        <v>42185</v>
      </c>
      <c r="C52" s="385">
        <v>30</v>
      </c>
      <c r="D52" s="386">
        <v>23.65</v>
      </c>
      <c r="E52" s="386">
        <v>0</v>
      </c>
      <c r="F52" s="386">
        <f t="shared" si="7"/>
        <v>709.5</v>
      </c>
      <c r="G52" s="384">
        <v>42398</v>
      </c>
      <c r="H52" s="385">
        <v>60</v>
      </c>
      <c r="I52" s="385">
        <v>17.559999999999999</v>
      </c>
      <c r="J52" s="385">
        <v>0.02</v>
      </c>
      <c r="K52" s="385">
        <f t="shared" si="6"/>
        <v>1053.58</v>
      </c>
      <c r="L52" s="385"/>
      <c r="M52" s="385"/>
      <c r="O52" s="83">
        <v>1.03</v>
      </c>
      <c r="P52" s="83">
        <f t="shared" si="5"/>
        <v>19.9511</v>
      </c>
      <c r="Q52" s="2"/>
      <c r="T52" s="93" t="s">
        <v>106</v>
      </c>
      <c r="U52" s="88" t="s">
        <v>242</v>
      </c>
      <c r="W52" s="133">
        <v>42535</v>
      </c>
      <c r="X52" s="10">
        <v>19.82</v>
      </c>
      <c r="Y52" s="10">
        <v>20.02</v>
      </c>
      <c r="Z52" s="10">
        <v>19.489999999999998</v>
      </c>
      <c r="AA52" s="10">
        <v>19.55</v>
      </c>
      <c r="AB52" s="95">
        <v>1391900</v>
      </c>
      <c r="AC52" s="10">
        <v>19.55</v>
      </c>
      <c r="AD52" s="2">
        <f t="shared" si="0"/>
        <v>0.53000000000000114</v>
      </c>
      <c r="AE52" s="138">
        <f t="shared" si="1"/>
        <v>-1.5609264853977733E-2</v>
      </c>
    </row>
    <row r="53" spans="1:31" x14ac:dyDescent="0.25">
      <c r="A53" s="385"/>
      <c r="B53" s="384">
        <v>42185</v>
      </c>
      <c r="C53" s="385">
        <v>40</v>
      </c>
      <c r="D53" s="386">
        <v>23.2</v>
      </c>
      <c r="E53" s="386">
        <v>0</v>
      </c>
      <c r="F53" s="386">
        <f t="shared" si="7"/>
        <v>928</v>
      </c>
      <c r="G53" s="384">
        <v>42416</v>
      </c>
      <c r="H53" s="385">
        <v>60</v>
      </c>
      <c r="I53" s="385">
        <v>16.82</v>
      </c>
      <c r="J53" s="385">
        <v>0.02</v>
      </c>
      <c r="K53" s="385">
        <f t="shared" si="6"/>
        <v>1009.1800000000001</v>
      </c>
      <c r="L53" s="385"/>
      <c r="M53" s="385"/>
      <c r="O53" s="83">
        <v>1.02</v>
      </c>
      <c r="P53" s="83">
        <f t="shared" si="5"/>
        <v>19.757400000000001</v>
      </c>
      <c r="Q53" s="2"/>
      <c r="T53" s="93" t="s">
        <v>107</v>
      </c>
      <c r="U53" s="90">
        <v>1374027</v>
      </c>
      <c r="W53" s="133">
        <v>42534</v>
      </c>
      <c r="X53" s="10">
        <v>20.149999999999999</v>
      </c>
      <c r="Y53" s="10">
        <v>20.420000000000002</v>
      </c>
      <c r="Z53" s="10">
        <v>19.86</v>
      </c>
      <c r="AA53" s="10">
        <v>19.86</v>
      </c>
      <c r="AB53" s="95">
        <v>1784600</v>
      </c>
      <c r="AC53" s="10">
        <v>19.86</v>
      </c>
      <c r="AD53" s="2">
        <f t="shared" si="0"/>
        <v>0.56000000000000227</v>
      </c>
      <c r="AE53" s="138">
        <f t="shared" si="1"/>
        <v>-2.1674876847290747E-2</v>
      </c>
    </row>
    <row r="54" spans="1:31" x14ac:dyDescent="0.25">
      <c r="A54" s="385"/>
      <c r="B54" s="384">
        <v>42185</v>
      </c>
      <c r="C54" s="385">
        <v>50</v>
      </c>
      <c r="D54" s="386">
        <v>22.94</v>
      </c>
      <c r="E54" s="386">
        <v>0</v>
      </c>
      <c r="F54" s="386">
        <f t="shared" si="7"/>
        <v>1147</v>
      </c>
      <c r="G54" s="384">
        <v>42423</v>
      </c>
      <c r="H54" s="385">
        <v>60</v>
      </c>
      <c r="I54" s="385">
        <v>17.84</v>
      </c>
      <c r="J54" s="385">
        <v>0.02</v>
      </c>
      <c r="K54" s="385">
        <f t="shared" si="6"/>
        <v>1070.3800000000001</v>
      </c>
      <c r="L54" s="385"/>
      <c r="M54" s="385"/>
      <c r="O54" s="83">
        <v>1.01</v>
      </c>
      <c r="P54" s="83">
        <f t="shared" si="5"/>
        <v>19.563700000000001</v>
      </c>
      <c r="Q54" s="2"/>
      <c r="T54" s="93" t="s">
        <v>110</v>
      </c>
      <c r="U54" s="90">
        <v>2881030</v>
      </c>
      <c r="W54" s="133">
        <v>42531</v>
      </c>
      <c r="X54" s="10">
        <v>21.18</v>
      </c>
      <c r="Y54" s="10">
        <v>21.19</v>
      </c>
      <c r="Z54" s="10">
        <v>20.18</v>
      </c>
      <c r="AA54" s="10">
        <v>20.3</v>
      </c>
      <c r="AB54" s="95">
        <v>2587600</v>
      </c>
      <c r="AC54" s="10">
        <v>20.3</v>
      </c>
      <c r="AD54" s="2">
        <f t="shared" si="0"/>
        <v>1.0100000000000016</v>
      </c>
      <c r="AE54" s="138">
        <f t="shared" si="1"/>
        <v>-5.2729818012132501E-2</v>
      </c>
    </row>
    <row r="55" spans="1:31" x14ac:dyDescent="0.25">
      <c r="A55" s="385"/>
      <c r="B55" s="384">
        <v>42209</v>
      </c>
      <c r="C55" s="385">
        <v>50</v>
      </c>
      <c r="D55" s="386">
        <v>19.75</v>
      </c>
      <c r="E55" s="386">
        <v>0</v>
      </c>
      <c r="F55" s="386">
        <f t="shared" si="7"/>
        <v>987.5</v>
      </c>
      <c r="G55" s="385"/>
      <c r="H55" s="385"/>
      <c r="I55" s="385"/>
      <c r="J55" s="385"/>
      <c r="K55" s="385"/>
      <c r="L55" s="385"/>
      <c r="M55" s="385"/>
      <c r="O55" s="83">
        <v>1</v>
      </c>
      <c r="P55" s="83">
        <f t="shared" si="5"/>
        <v>19.37</v>
      </c>
      <c r="Q55" s="2"/>
      <c r="T55" s="93" t="s">
        <v>108</v>
      </c>
      <c r="U55" s="88" t="s">
        <v>465</v>
      </c>
      <c r="W55" s="133">
        <v>42530</v>
      </c>
      <c r="X55" s="10">
        <v>21.43</v>
      </c>
      <c r="Y55" s="10">
        <v>21.65</v>
      </c>
      <c r="Z55" s="10">
        <v>21.16</v>
      </c>
      <c r="AA55" s="10">
        <v>21.43</v>
      </c>
      <c r="AB55" s="95">
        <v>1722000</v>
      </c>
      <c r="AC55" s="10">
        <v>21.43</v>
      </c>
      <c r="AD55" s="2">
        <f t="shared" si="0"/>
        <v>0.48999999999999844</v>
      </c>
      <c r="AE55" s="138">
        <f t="shared" si="1"/>
        <v>-5.1067780872794399E-3</v>
      </c>
    </row>
    <row r="56" spans="1:31" x14ac:dyDescent="0.25">
      <c r="A56" s="385"/>
      <c r="B56" s="384">
        <v>42212</v>
      </c>
      <c r="C56" s="385">
        <v>30</v>
      </c>
      <c r="D56" s="386">
        <v>19.2</v>
      </c>
      <c r="E56" s="386">
        <v>0</v>
      </c>
      <c r="F56" s="386">
        <f t="shared" si="7"/>
        <v>576</v>
      </c>
      <c r="G56" s="385"/>
      <c r="H56" s="385"/>
      <c r="I56" s="385"/>
      <c r="J56" s="385"/>
      <c r="K56" s="385"/>
      <c r="L56" s="385"/>
      <c r="M56" s="385"/>
      <c r="O56" s="83">
        <v>0.99</v>
      </c>
      <c r="P56" s="83">
        <f t="shared" si="5"/>
        <v>19.176300000000001</v>
      </c>
      <c r="Q56" s="2"/>
      <c r="T56" s="93" t="s">
        <v>111</v>
      </c>
      <c r="U56" s="88">
        <v>24.24</v>
      </c>
      <c r="W56" s="133">
        <v>42529</v>
      </c>
      <c r="X56" s="10">
        <v>21.87</v>
      </c>
      <c r="Y56" s="10">
        <v>21.93</v>
      </c>
      <c r="Z56" s="10">
        <v>21.54</v>
      </c>
      <c r="AA56" s="10">
        <v>21.54</v>
      </c>
      <c r="AB56" s="95">
        <v>1432800</v>
      </c>
      <c r="AC56" s="10">
        <v>21.54</v>
      </c>
      <c r="AD56" s="2">
        <f t="shared" si="0"/>
        <v>0.39000000000000057</v>
      </c>
      <c r="AE56" s="138">
        <f t="shared" si="1"/>
        <v>-1.1019283746556585E-2</v>
      </c>
    </row>
    <row r="57" spans="1:31" x14ac:dyDescent="0.25">
      <c r="A57" s="385"/>
      <c r="B57" s="384">
        <v>42240</v>
      </c>
      <c r="C57" s="385">
        <v>40</v>
      </c>
      <c r="D57" s="386">
        <v>19.93</v>
      </c>
      <c r="E57" s="386">
        <v>0</v>
      </c>
      <c r="F57" s="386">
        <f t="shared" si="7"/>
        <v>797.2</v>
      </c>
      <c r="G57" s="385"/>
      <c r="H57" s="385"/>
      <c r="I57" s="385"/>
      <c r="J57" s="385"/>
      <c r="K57" s="385"/>
      <c r="L57" s="385"/>
      <c r="M57" s="385"/>
      <c r="O57" s="83">
        <v>0.98</v>
      </c>
      <c r="P57" s="83">
        <f t="shared" si="5"/>
        <v>18.982600000000001</v>
      </c>
      <c r="Q57" s="2"/>
      <c r="T57" s="93" t="s">
        <v>112</v>
      </c>
      <c r="U57" s="88">
        <v>0.8</v>
      </c>
      <c r="W57" s="133">
        <v>42528</v>
      </c>
      <c r="X57" s="10">
        <v>21.13</v>
      </c>
      <c r="Y57" s="10">
        <v>21.99</v>
      </c>
      <c r="Z57" s="10">
        <v>21.02</v>
      </c>
      <c r="AA57" s="10">
        <v>21.78</v>
      </c>
      <c r="AB57" s="95">
        <v>1751900</v>
      </c>
      <c r="AC57" s="10">
        <v>21.78</v>
      </c>
      <c r="AD57" s="2">
        <f t="shared" si="0"/>
        <v>0.96999999999999886</v>
      </c>
      <c r="AE57" s="138">
        <f t="shared" si="1"/>
        <v>2.7358490566037785E-2</v>
      </c>
    </row>
    <row r="58" spans="1:31" x14ac:dyDescent="0.25">
      <c r="A58" s="385"/>
      <c r="B58" s="384">
        <v>42261</v>
      </c>
      <c r="C58" s="385">
        <v>120</v>
      </c>
      <c r="D58" s="386">
        <v>18.7</v>
      </c>
      <c r="E58" s="386">
        <v>0</v>
      </c>
      <c r="F58" s="386">
        <f t="shared" si="7"/>
        <v>2244</v>
      </c>
      <c r="G58" s="385"/>
      <c r="H58" s="385"/>
      <c r="I58" s="385"/>
      <c r="J58" s="385"/>
      <c r="K58" s="385"/>
      <c r="L58" s="385"/>
      <c r="M58" s="385"/>
      <c r="O58" s="83">
        <v>0.97</v>
      </c>
      <c r="P58" s="83">
        <f t="shared" si="5"/>
        <v>18.788900000000002</v>
      </c>
      <c r="T58" s="93" t="s">
        <v>109</v>
      </c>
      <c r="U58" s="88" t="s">
        <v>124</v>
      </c>
      <c r="W58" s="133">
        <v>42527</v>
      </c>
      <c r="X58" s="10">
        <v>21.25</v>
      </c>
      <c r="Y58" s="10">
        <v>21.6</v>
      </c>
      <c r="Z58" s="10">
        <v>21.03</v>
      </c>
      <c r="AA58" s="10">
        <v>21.2</v>
      </c>
      <c r="AB58" s="95">
        <v>3179600</v>
      </c>
      <c r="AC58" s="10">
        <v>21.2</v>
      </c>
      <c r="AD58" s="2">
        <f t="shared" si="0"/>
        <v>0.57000000000000028</v>
      </c>
      <c r="AE58" s="138">
        <f t="shared" si="1"/>
        <v>5.6925996204935103E-3</v>
      </c>
    </row>
    <row r="59" spans="1:31" x14ac:dyDescent="0.25">
      <c r="A59" s="385"/>
      <c r="B59" s="384">
        <v>42349</v>
      </c>
      <c r="C59" s="385">
        <v>60</v>
      </c>
      <c r="D59" s="386">
        <v>18.04</v>
      </c>
      <c r="E59" s="386">
        <v>0</v>
      </c>
      <c r="F59" s="386">
        <f t="shared" si="7"/>
        <v>1082.3999999999999</v>
      </c>
      <c r="G59" s="385"/>
      <c r="H59" s="385"/>
      <c r="I59" s="385"/>
      <c r="J59" s="385"/>
      <c r="K59" s="385"/>
      <c r="L59" s="385"/>
      <c r="M59" s="385"/>
      <c r="O59" s="83">
        <v>0.96</v>
      </c>
      <c r="P59" s="83">
        <f t="shared" si="5"/>
        <v>18.595200000000002</v>
      </c>
      <c r="W59" s="133">
        <v>42524</v>
      </c>
      <c r="X59" s="10">
        <v>21.44</v>
      </c>
      <c r="Y59" s="10">
        <v>21.48</v>
      </c>
      <c r="Z59" s="10">
        <v>20.84</v>
      </c>
      <c r="AA59" s="10">
        <v>21.08</v>
      </c>
      <c r="AB59" s="95">
        <v>5058200</v>
      </c>
      <c r="AC59" s="10">
        <v>21.08</v>
      </c>
      <c r="AD59" s="2">
        <f t="shared" si="0"/>
        <v>0.64000000000000057</v>
      </c>
      <c r="AE59" s="138">
        <f t="shared" si="1"/>
        <v>-2.5427646786870151E-2</v>
      </c>
    </row>
    <row r="60" spans="1:31" x14ac:dyDescent="0.25">
      <c r="A60" s="385"/>
      <c r="B60" s="384">
        <v>42362</v>
      </c>
      <c r="C60" s="385">
        <v>120</v>
      </c>
      <c r="D60" s="386">
        <v>17.079999999999998</v>
      </c>
      <c r="E60" s="386">
        <v>0</v>
      </c>
      <c r="F60" s="386">
        <f t="shared" si="7"/>
        <v>2049.6</v>
      </c>
      <c r="G60" s="385"/>
      <c r="H60" s="385"/>
      <c r="I60" s="385"/>
      <c r="J60" s="385"/>
      <c r="K60" s="385"/>
      <c r="L60" s="385"/>
      <c r="M60" s="385"/>
      <c r="O60" s="83">
        <v>0.95</v>
      </c>
      <c r="P60" s="83">
        <f t="shared" si="5"/>
        <v>18.401499999999999</v>
      </c>
      <c r="W60" s="133">
        <v>42523</v>
      </c>
      <c r="X60" s="10">
        <v>22.47</v>
      </c>
      <c r="Y60" s="10">
        <v>22.94</v>
      </c>
      <c r="Z60" s="10">
        <v>20.87</v>
      </c>
      <c r="AA60" s="10">
        <v>21.63</v>
      </c>
      <c r="AB60" s="95">
        <v>8642600</v>
      </c>
      <c r="AC60" s="10">
        <v>21.63</v>
      </c>
      <c r="AD60" s="2">
        <f t="shared" si="0"/>
        <v>2.0700000000000003</v>
      </c>
      <c r="AE60" s="138">
        <f t="shared" si="1"/>
        <v>-4.5454545454545525E-2</v>
      </c>
    </row>
    <row r="61" spans="1:31" x14ac:dyDescent="0.25">
      <c r="A61" s="385"/>
      <c r="B61" s="384">
        <v>42409</v>
      </c>
      <c r="C61" s="385">
        <v>60</v>
      </c>
      <c r="D61" s="386">
        <v>15.45</v>
      </c>
      <c r="E61" s="386">
        <v>0</v>
      </c>
      <c r="F61" s="386">
        <f t="shared" si="7"/>
        <v>927</v>
      </c>
      <c r="G61" s="385"/>
      <c r="H61" s="385"/>
      <c r="I61" s="385"/>
      <c r="J61" s="385"/>
      <c r="K61" s="385"/>
      <c r="L61" s="385"/>
      <c r="M61" s="385"/>
      <c r="O61" s="83">
        <v>0.94</v>
      </c>
      <c r="P61" s="83">
        <f t="shared" si="5"/>
        <v>18.207799999999999</v>
      </c>
      <c r="W61" s="133">
        <v>42522</v>
      </c>
      <c r="X61" s="10">
        <v>21.86</v>
      </c>
      <c r="Y61" s="10">
        <v>22.79</v>
      </c>
      <c r="Z61" s="10">
        <v>21.86</v>
      </c>
      <c r="AA61" s="10">
        <v>22.66</v>
      </c>
      <c r="AB61" s="95">
        <v>2983600</v>
      </c>
      <c r="AC61" s="10">
        <v>22.66</v>
      </c>
      <c r="AD61" s="2">
        <f t="shared" si="0"/>
        <v>0.92999999999999972</v>
      </c>
      <c r="AE61" s="138">
        <f t="shared" si="1"/>
        <v>3.6596523330283626E-2</v>
      </c>
    </row>
    <row r="62" spans="1:31" x14ac:dyDescent="0.25">
      <c r="A62" s="385"/>
      <c r="B62" s="385"/>
      <c r="C62" s="385"/>
      <c r="D62" s="386"/>
      <c r="E62" s="386"/>
      <c r="F62" s="386"/>
      <c r="G62" s="385"/>
      <c r="H62" s="385"/>
      <c r="I62" s="385"/>
      <c r="J62" s="385"/>
      <c r="K62" s="385"/>
      <c r="L62" s="385"/>
      <c r="M62" s="385"/>
      <c r="O62" s="83">
        <v>0.93</v>
      </c>
      <c r="P62" s="83">
        <f t="shared" si="5"/>
        <v>18.014100000000003</v>
      </c>
      <c r="W62" s="133">
        <v>42521</v>
      </c>
      <c r="X62" s="10">
        <v>22.13</v>
      </c>
      <c r="Y62" s="10">
        <v>22.27</v>
      </c>
      <c r="Z62" s="10">
        <v>21.8</v>
      </c>
      <c r="AA62" s="10">
        <v>21.86</v>
      </c>
      <c r="AB62" s="95">
        <v>1501200</v>
      </c>
      <c r="AC62" s="10">
        <v>21.86</v>
      </c>
      <c r="AD62" s="2">
        <f t="shared" si="0"/>
        <v>0.46999999999999886</v>
      </c>
      <c r="AE62" s="138">
        <f t="shared" si="1"/>
        <v>-1.4871563767462903E-2</v>
      </c>
    </row>
    <row r="63" spans="1:31" x14ac:dyDescent="0.25">
      <c r="A63" s="385"/>
      <c r="B63" s="385"/>
      <c r="C63" s="385"/>
      <c r="D63" s="386"/>
      <c r="E63" s="386"/>
      <c r="F63" s="386"/>
      <c r="G63" s="385"/>
      <c r="H63" s="385"/>
      <c r="I63" s="385"/>
      <c r="J63" s="385"/>
      <c r="K63" s="385"/>
      <c r="L63" s="385"/>
      <c r="M63" s="385"/>
      <c r="O63" s="83">
        <v>0.92</v>
      </c>
      <c r="P63" s="83">
        <f t="shared" si="5"/>
        <v>17.820400000000003</v>
      </c>
      <c r="W63" s="133">
        <v>42517</v>
      </c>
      <c r="X63" s="10">
        <v>22.13</v>
      </c>
      <c r="Y63" s="10">
        <v>22.28</v>
      </c>
      <c r="Z63" s="10">
        <v>22</v>
      </c>
      <c r="AA63" s="10">
        <v>22.19</v>
      </c>
      <c r="AB63" s="95">
        <v>2004000</v>
      </c>
      <c r="AC63" s="10">
        <v>22.19</v>
      </c>
      <c r="AD63" s="2">
        <f t="shared" si="0"/>
        <v>0.28000000000000114</v>
      </c>
      <c r="AE63" s="138">
        <f t="shared" si="1"/>
        <v>7.7202543142598223E-3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17.626700000000003</v>
      </c>
      <c r="W64" s="133">
        <v>42516</v>
      </c>
      <c r="X64" s="10">
        <v>22.67</v>
      </c>
      <c r="Y64" s="10">
        <v>22.71</v>
      </c>
      <c r="Z64" s="10">
        <v>21.98</v>
      </c>
      <c r="AA64" s="10">
        <v>22.02</v>
      </c>
      <c r="AB64" s="95">
        <v>1571200</v>
      </c>
      <c r="AC64" s="10">
        <v>22.02</v>
      </c>
      <c r="AD64" s="2">
        <f t="shared" si="0"/>
        <v>0.73000000000000043</v>
      </c>
      <c r="AE64" s="138">
        <f t="shared" si="1"/>
        <v>-1.6085790884718509E-2</v>
      </c>
    </row>
    <row r="65" spans="1:31" x14ac:dyDescent="0.25">
      <c r="A65" s="385"/>
      <c r="B65" s="385"/>
      <c r="C65" s="385"/>
      <c r="D65" s="386"/>
      <c r="E65" s="386"/>
      <c r="F65" s="386"/>
      <c r="G65" s="385"/>
      <c r="H65" s="385"/>
      <c r="I65" s="385"/>
      <c r="J65" s="385"/>
      <c r="K65" s="385"/>
      <c r="L65" s="385"/>
      <c r="M65" s="385"/>
      <c r="O65" s="83">
        <v>0.9</v>
      </c>
      <c r="P65" s="83">
        <f t="shared" si="5"/>
        <v>17.433</v>
      </c>
      <c r="W65" s="133">
        <v>42515</v>
      </c>
      <c r="X65" s="10">
        <v>22.27</v>
      </c>
      <c r="Y65" s="10">
        <v>22.45</v>
      </c>
      <c r="Z65" s="10">
        <v>21.94</v>
      </c>
      <c r="AA65" s="10">
        <v>22.38</v>
      </c>
      <c r="AB65" s="95">
        <v>1358600</v>
      </c>
      <c r="AC65" s="10">
        <v>22.38</v>
      </c>
      <c r="AD65" s="2">
        <f t="shared" si="0"/>
        <v>0.50999999999999801</v>
      </c>
      <c r="AE65" s="138">
        <f t="shared" si="1"/>
        <v>4.9393803322854701E-3</v>
      </c>
    </row>
    <row r="66" spans="1:31" x14ac:dyDescent="0.25">
      <c r="O66" s="34"/>
      <c r="W66" s="133">
        <v>42514</v>
      </c>
      <c r="X66" s="10">
        <v>22.24</v>
      </c>
      <c r="Y66" s="10">
        <v>22.49</v>
      </c>
      <c r="Z66" s="10">
        <v>22.07</v>
      </c>
      <c r="AA66" s="10">
        <v>22.27</v>
      </c>
      <c r="AB66" s="95">
        <v>1590600</v>
      </c>
      <c r="AC66" s="10">
        <v>22.27</v>
      </c>
      <c r="AD66" s="2">
        <f t="shared" si="0"/>
        <v>0.41999999999999815</v>
      </c>
      <c r="AE66" s="138">
        <f t="shared" si="1"/>
        <v>2.2502250225022724E-3</v>
      </c>
    </row>
    <row r="67" spans="1:31" x14ac:dyDescent="0.25">
      <c r="W67" s="133">
        <v>42513</v>
      </c>
      <c r="X67" s="10">
        <v>22.18</v>
      </c>
      <c r="Y67" s="10">
        <v>22.77</v>
      </c>
      <c r="Z67" s="10">
        <v>22.11</v>
      </c>
      <c r="AA67" s="10">
        <v>22.22</v>
      </c>
      <c r="AB67" s="95">
        <v>1443400</v>
      </c>
      <c r="AC67" s="10">
        <v>22.22</v>
      </c>
      <c r="AD67" s="2">
        <f>Y67-Z67</f>
        <v>0.66000000000000014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42606</v>
      </c>
      <c r="X2" s="10">
        <v>54.19</v>
      </c>
      <c r="Y2" s="10">
        <v>54.53</v>
      </c>
      <c r="Z2" s="10">
        <v>53.53</v>
      </c>
      <c r="AA2" s="10">
        <v>53.84</v>
      </c>
      <c r="AB2" s="95">
        <v>2806400</v>
      </c>
      <c r="AC2" s="10">
        <v>53.84</v>
      </c>
      <c r="AD2" s="2">
        <f>Y2-Z2</f>
        <v>1</v>
      </c>
      <c r="AE2" s="138">
        <f>AC2/AC3-1</f>
        <v>-1.1384502387073003E-2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53.84</v>
      </c>
      <c r="T3" s="1">
        <v>42312</v>
      </c>
      <c r="U3" t="s">
        <v>152</v>
      </c>
      <c r="W3" s="133">
        <v>42605</v>
      </c>
      <c r="X3" s="10">
        <v>54.33</v>
      </c>
      <c r="Y3" s="10">
        <v>54.48</v>
      </c>
      <c r="Z3" s="10">
        <v>54.07</v>
      </c>
      <c r="AA3" s="10">
        <v>54.46</v>
      </c>
      <c r="AB3" s="95">
        <v>4026600</v>
      </c>
      <c r="AC3" s="10">
        <v>54.46</v>
      </c>
      <c r="AD3" s="2">
        <f t="shared" ref="AD3:AD66" si="0">Y3-Z3</f>
        <v>0.40999999999999659</v>
      </c>
      <c r="AE3" s="138">
        <f t="shared" ref="AE3:AE66" si="1">AC3/AC4-1</f>
        <v>1.1327762302692612E-2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53.84</v>
      </c>
      <c r="W4" s="133">
        <v>42604</v>
      </c>
      <c r="X4" s="10">
        <v>53.72</v>
      </c>
      <c r="Y4" s="10">
        <v>53.87</v>
      </c>
      <c r="Z4" s="10">
        <v>53.43</v>
      </c>
      <c r="AA4" s="10">
        <v>53.85</v>
      </c>
      <c r="AB4" s="95">
        <v>2936600</v>
      </c>
      <c r="AC4" s="10">
        <v>53.85</v>
      </c>
      <c r="AD4" s="2">
        <f t="shared" si="0"/>
        <v>0.43999999999999773</v>
      </c>
      <c r="AE4" s="138">
        <f t="shared" si="1"/>
        <v>9.2936802973975219E-4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42601</v>
      </c>
      <c r="X5" s="10">
        <v>53.76</v>
      </c>
      <c r="Y5" s="10">
        <v>54.08</v>
      </c>
      <c r="Z5" s="10">
        <v>53.64</v>
      </c>
      <c r="AA5" s="10">
        <v>53.8</v>
      </c>
      <c r="AB5" s="95">
        <v>7010000</v>
      </c>
      <c r="AC5" s="10">
        <v>53.8</v>
      </c>
      <c r="AD5" s="2">
        <f t="shared" si="0"/>
        <v>0.43999999999999773</v>
      </c>
      <c r="AE5" s="138">
        <f t="shared" si="1"/>
        <v>-3.7037037037037646E-3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42600</v>
      </c>
      <c r="X6" s="10">
        <v>54.12</v>
      </c>
      <c r="Y6" s="10">
        <v>54.12</v>
      </c>
      <c r="Z6" s="10">
        <v>53.63</v>
      </c>
      <c r="AA6" s="10">
        <v>54</v>
      </c>
      <c r="AB6" s="95">
        <v>2784900</v>
      </c>
      <c r="AC6" s="10">
        <v>54</v>
      </c>
      <c r="AD6" s="2">
        <f t="shared" si="0"/>
        <v>0.48999999999999488</v>
      </c>
      <c r="AE6" s="138">
        <f t="shared" si="1"/>
        <v>9.26784059314123E-4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42599</v>
      </c>
      <c r="X7" s="10">
        <v>54.34</v>
      </c>
      <c r="Y7" s="10">
        <v>54.54</v>
      </c>
      <c r="Z7" s="10">
        <v>53.62</v>
      </c>
      <c r="AA7" s="10">
        <v>53.95</v>
      </c>
      <c r="AB7" s="95">
        <v>3564100</v>
      </c>
      <c r="AC7" s="10">
        <v>53.95</v>
      </c>
      <c r="AD7" s="2">
        <f t="shared" si="0"/>
        <v>0.92000000000000171</v>
      </c>
      <c r="AE7" s="138">
        <f t="shared" si="1"/>
        <v>-8.0897223754365921E-3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42598</v>
      </c>
      <c r="X8" s="10">
        <v>54.87</v>
      </c>
      <c r="Y8" s="10">
        <v>54.95</v>
      </c>
      <c r="Z8" s="10">
        <v>54.14</v>
      </c>
      <c r="AA8" s="10">
        <v>54.39</v>
      </c>
      <c r="AB8" s="95">
        <v>2938300</v>
      </c>
      <c r="AC8" s="10">
        <v>54.39</v>
      </c>
      <c r="AD8" s="2">
        <f t="shared" si="0"/>
        <v>0.81000000000000227</v>
      </c>
      <c r="AE8" s="138">
        <f t="shared" si="1"/>
        <v>-9.1091273456003208E-3</v>
      </c>
    </row>
    <row r="9" spans="1:41" x14ac:dyDescent="0.25">
      <c r="O9" s="11" t="s">
        <v>225</v>
      </c>
      <c r="Q9" s="138">
        <f>IF(Q2=0, 0, Q8/Q6)</f>
        <v>0</v>
      </c>
      <c r="W9" s="133">
        <v>42597</v>
      </c>
      <c r="X9" s="10">
        <v>55</v>
      </c>
      <c r="Y9" s="10">
        <v>55.45</v>
      </c>
      <c r="Z9" s="10">
        <v>54.82</v>
      </c>
      <c r="AA9" s="10">
        <v>54.89</v>
      </c>
      <c r="AB9" s="95">
        <v>3725600</v>
      </c>
      <c r="AC9" s="10">
        <v>54.89</v>
      </c>
      <c r="AD9" s="2">
        <f t="shared" si="0"/>
        <v>0.63000000000000256</v>
      </c>
      <c r="AE9" s="138">
        <f t="shared" si="1"/>
        <v>0</v>
      </c>
    </row>
    <row r="10" spans="1:41" x14ac:dyDescent="0.25">
      <c r="O10" s="11" t="s">
        <v>224</v>
      </c>
      <c r="P10" s="34"/>
      <c r="Q10" s="2">
        <f>M36</f>
        <v>75.019999999999982</v>
      </c>
      <c r="W10" s="133">
        <v>42594</v>
      </c>
      <c r="X10" s="10">
        <v>54.31</v>
      </c>
      <c r="Y10" s="10">
        <v>54.98</v>
      </c>
      <c r="Z10" s="10">
        <v>54.26</v>
      </c>
      <c r="AA10" s="10">
        <v>54.89</v>
      </c>
      <c r="AB10" s="95">
        <v>3167700</v>
      </c>
      <c r="AC10" s="10">
        <v>54.89</v>
      </c>
      <c r="AD10" s="2">
        <f t="shared" si="0"/>
        <v>0.71999999999999886</v>
      </c>
      <c r="AE10" s="138">
        <f t="shared" si="1"/>
        <v>7.7106664218835608E-3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42593</v>
      </c>
      <c r="X11" s="10">
        <v>54.3</v>
      </c>
      <c r="Y11" s="10">
        <v>54.71</v>
      </c>
      <c r="Z11" s="10">
        <v>54.23</v>
      </c>
      <c r="AA11" s="10">
        <v>54.47</v>
      </c>
      <c r="AB11" s="95">
        <v>3393700</v>
      </c>
      <c r="AC11" s="10">
        <v>54.47</v>
      </c>
      <c r="AD11" s="2">
        <f t="shared" si="0"/>
        <v>0.48000000000000398</v>
      </c>
      <c r="AE11" s="138">
        <f t="shared" si="1"/>
        <v>5.1670049824690256E-3</v>
      </c>
    </row>
    <row r="12" spans="1:41" x14ac:dyDescent="0.25">
      <c r="W12" s="133">
        <v>42592</v>
      </c>
      <c r="X12" s="10">
        <v>54.32</v>
      </c>
      <c r="Y12" s="10">
        <v>54.56</v>
      </c>
      <c r="Z12" s="10">
        <v>53.97</v>
      </c>
      <c r="AA12" s="10">
        <v>54.19</v>
      </c>
      <c r="AB12" s="95">
        <v>1908300</v>
      </c>
      <c r="AC12" s="10">
        <v>54.19</v>
      </c>
      <c r="AD12" s="2">
        <f t="shared" si="0"/>
        <v>0.59000000000000341</v>
      </c>
      <c r="AE12" s="138">
        <f t="shared" si="1"/>
        <v>7.3868882733152397E-4</v>
      </c>
    </row>
    <row r="13" spans="1:41" x14ac:dyDescent="0.25">
      <c r="W13" s="133">
        <v>42591</v>
      </c>
      <c r="X13" s="10">
        <v>54.27</v>
      </c>
      <c r="Y13" s="10">
        <v>54.46</v>
      </c>
      <c r="Z13" s="10">
        <v>53.99</v>
      </c>
      <c r="AA13" s="10">
        <v>54.15</v>
      </c>
      <c r="AB13" s="95">
        <v>2586100</v>
      </c>
      <c r="AC13" s="10">
        <v>54.15</v>
      </c>
      <c r="AD13" s="2">
        <f t="shared" si="0"/>
        <v>0.46999999999999886</v>
      </c>
      <c r="AE13" s="138">
        <f t="shared" si="1"/>
        <v>-1.8463810930569036E-4</v>
      </c>
    </row>
    <row r="14" spans="1:41" x14ac:dyDescent="0.25">
      <c r="W14" s="133">
        <v>42590</v>
      </c>
      <c r="X14" s="10">
        <v>54.09</v>
      </c>
      <c r="Y14" s="10">
        <v>54.41</v>
      </c>
      <c r="Z14" s="10">
        <v>53.59</v>
      </c>
      <c r="AA14" s="10">
        <v>54.16</v>
      </c>
      <c r="AB14" s="95">
        <v>3780800</v>
      </c>
      <c r="AC14" s="10">
        <v>54.16</v>
      </c>
      <c r="AD14" s="2">
        <f t="shared" si="0"/>
        <v>0.81999999999999318</v>
      </c>
      <c r="AE14" s="138">
        <f t="shared" si="1"/>
        <v>7.6279069767442031E-3</v>
      </c>
    </row>
    <row r="15" spans="1:41" x14ac:dyDescent="0.25">
      <c r="W15" s="133">
        <v>42587</v>
      </c>
      <c r="X15" s="10">
        <v>53.43</v>
      </c>
      <c r="Y15" s="10">
        <v>53.99</v>
      </c>
      <c r="Z15" s="10">
        <v>53.31</v>
      </c>
      <c r="AA15" s="10">
        <v>53.75</v>
      </c>
      <c r="AB15" s="95">
        <v>3260900</v>
      </c>
      <c r="AC15" s="10">
        <v>53.75</v>
      </c>
      <c r="AD15" s="2">
        <f t="shared" si="0"/>
        <v>0.67999999999999972</v>
      </c>
      <c r="AE15" s="138">
        <f t="shared" si="1"/>
        <v>8.821321321321296E-3</v>
      </c>
    </row>
    <row r="16" spans="1:41" x14ac:dyDescent="0.25">
      <c r="W16" s="133">
        <v>42586</v>
      </c>
      <c r="X16" s="10">
        <v>53.51</v>
      </c>
      <c r="Y16" s="10">
        <v>53.78</v>
      </c>
      <c r="Z16" s="10">
        <v>53.25</v>
      </c>
      <c r="AA16" s="10">
        <v>53.28</v>
      </c>
      <c r="AB16" s="95">
        <v>2537800</v>
      </c>
      <c r="AC16" s="10">
        <v>53.28</v>
      </c>
      <c r="AD16" s="2">
        <f t="shared" si="0"/>
        <v>0.53000000000000114</v>
      </c>
      <c r="AE16" s="138">
        <f t="shared" si="1"/>
        <v>-4.2982620071013722E-3</v>
      </c>
    </row>
    <row r="17" spans="1:31" x14ac:dyDescent="0.25">
      <c r="W17" s="133">
        <v>42585</v>
      </c>
      <c r="X17" s="10">
        <v>53.55</v>
      </c>
      <c r="Y17" s="10">
        <v>53.58</v>
      </c>
      <c r="Z17" s="10">
        <v>53.09</v>
      </c>
      <c r="AA17" s="10">
        <v>53.51</v>
      </c>
      <c r="AB17" s="95">
        <v>2780900</v>
      </c>
      <c r="AC17" s="10">
        <v>53.51</v>
      </c>
      <c r="AD17" s="2">
        <f t="shared" si="0"/>
        <v>0.48999999999999488</v>
      </c>
      <c r="AE17" s="138">
        <f t="shared" si="1"/>
        <v>-5.7599405425492467E-3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42584</v>
      </c>
      <c r="X18" s="10">
        <v>53.93</v>
      </c>
      <c r="Y18" s="10">
        <v>54.06</v>
      </c>
      <c r="Z18" s="10">
        <v>53.09</v>
      </c>
      <c r="AA18" s="10">
        <v>53.82</v>
      </c>
      <c r="AB18" s="95">
        <v>5514500</v>
      </c>
      <c r="AC18" s="10">
        <v>53.82</v>
      </c>
      <c r="AD18" s="2">
        <f t="shared" si="0"/>
        <v>0.96999999999999886</v>
      </c>
      <c r="AE18" s="138">
        <f t="shared" si="1"/>
        <v>-2.7793218454696955E-3</v>
      </c>
    </row>
    <row r="19" spans="1:31" x14ac:dyDescent="0.25">
      <c r="G19" s="2"/>
      <c r="W19" s="133">
        <v>42583</v>
      </c>
      <c r="X19" s="10">
        <v>52.58</v>
      </c>
      <c r="Y19" s="10">
        <v>54.53</v>
      </c>
      <c r="Z19" s="10">
        <v>52.41</v>
      </c>
      <c r="AA19" s="10">
        <v>53.97</v>
      </c>
      <c r="AB19" s="95">
        <v>10461500</v>
      </c>
      <c r="AC19" s="10">
        <v>53.97</v>
      </c>
      <c r="AD19" s="2">
        <f t="shared" si="0"/>
        <v>2.1200000000000045</v>
      </c>
      <c r="AE19" s="138">
        <f t="shared" si="1"/>
        <v>2.8783835303088035E-2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42580</v>
      </c>
      <c r="X20" s="10">
        <v>51.82</v>
      </c>
      <c r="Y20" s="10">
        <v>53.75</v>
      </c>
      <c r="Z20" s="10">
        <v>51.82</v>
      </c>
      <c r="AA20" s="10">
        <v>52.46</v>
      </c>
      <c r="AB20" s="95">
        <v>11512700</v>
      </c>
      <c r="AC20" s="10">
        <v>52.46</v>
      </c>
      <c r="AD20" s="2">
        <f t="shared" si="0"/>
        <v>1.9299999999999997</v>
      </c>
      <c r="AE20" s="138">
        <f t="shared" si="1"/>
        <v>6.215833164608231E-2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42579</v>
      </c>
      <c r="X21" s="10">
        <v>49.09</v>
      </c>
      <c r="Y21" s="10">
        <v>49.51</v>
      </c>
      <c r="Z21" s="10">
        <v>48.78</v>
      </c>
      <c r="AA21" s="10">
        <v>49.39</v>
      </c>
      <c r="AB21" s="95">
        <v>3742400</v>
      </c>
      <c r="AC21" s="10">
        <v>49.39</v>
      </c>
      <c r="AD21" s="2">
        <f t="shared" si="0"/>
        <v>0.72999999999999687</v>
      </c>
      <c r="AE21" s="138">
        <f t="shared" si="1"/>
        <v>4.6786004882017895E-3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42578</v>
      </c>
      <c r="X22" s="10">
        <v>49.58</v>
      </c>
      <c r="Y22" s="10">
        <v>49.93</v>
      </c>
      <c r="Z22" s="10">
        <v>48.99</v>
      </c>
      <c r="AA22" s="10">
        <v>49.16</v>
      </c>
      <c r="AB22" s="95">
        <v>3298700</v>
      </c>
      <c r="AC22" s="10">
        <v>49.16</v>
      </c>
      <c r="AD22" s="2">
        <f t="shared" si="0"/>
        <v>0.93999999999999773</v>
      </c>
      <c r="AE22" s="138">
        <f t="shared" si="1"/>
        <v>-8.0710250201776468E-3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42577</v>
      </c>
      <c r="X23" s="10">
        <v>49.09</v>
      </c>
      <c r="Y23" s="10">
        <v>49.63</v>
      </c>
      <c r="Z23" s="10">
        <v>49.01</v>
      </c>
      <c r="AA23" s="10">
        <v>49.56</v>
      </c>
      <c r="AB23" s="95">
        <v>3131300</v>
      </c>
      <c r="AC23" s="10">
        <v>49.56</v>
      </c>
      <c r="AD23" s="2">
        <f t="shared" si="0"/>
        <v>0.62000000000000455</v>
      </c>
      <c r="AE23" s="138">
        <f t="shared" si="1"/>
        <v>1.2048192771084487E-2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42576</v>
      </c>
      <c r="X24" s="10">
        <v>48.75</v>
      </c>
      <c r="Y24" s="10">
        <v>49</v>
      </c>
      <c r="Z24" s="10">
        <v>48.42</v>
      </c>
      <c r="AA24" s="10">
        <v>48.97</v>
      </c>
      <c r="AB24" s="95">
        <v>1879800</v>
      </c>
      <c r="AC24" s="10">
        <v>48.97</v>
      </c>
      <c r="AD24" s="2">
        <f t="shared" si="0"/>
        <v>0.57999999999999829</v>
      </c>
      <c r="AE24" s="138">
        <f t="shared" si="1"/>
        <v>-2.0416496529196415E-4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42573</v>
      </c>
      <c r="X25" s="10">
        <v>48.74</v>
      </c>
      <c r="Y25" s="10">
        <v>49.08</v>
      </c>
      <c r="Z25" s="10">
        <v>48.68</v>
      </c>
      <c r="AA25" s="10">
        <v>48.98</v>
      </c>
      <c r="AB25" s="95">
        <v>2673500</v>
      </c>
      <c r="AC25" s="10">
        <v>48.98</v>
      </c>
      <c r="AD25" s="2">
        <f t="shared" si="0"/>
        <v>0.39999999999999858</v>
      </c>
      <c r="AE25" s="138">
        <f t="shared" si="1"/>
        <v>7.4043603455367091E-3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42572</v>
      </c>
      <c r="X26" s="10">
        <v>48.71</v>
      </c>
      <c r="Y26" s="10">
        <v>48.83</v>
      </c>
      <c r="Z26" s="10">
        <v>48.45</v>
      </c>
      <c r="AA26" s="10">
        <v>48.62</v>
      </c>
      <c r="AB26" s="95">
        <v>2463600</v>
      </c>
      <c r="AC26" s="10">
        <v>48.62</v>
      </c>
      <c r="AD26" s="2">
        <f t="shared" si="0"/>
        <v>0.37999999999999545</v>
      </c>
      <c r="AE26" s="138">
        <f t="shared" si="1"/>
        <v>-4.300634855621599E-3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42571</v>
      </c>
      <c r="X27" s="10">
        <v>48.24</v>
      </c>
      <c r="Y27" s="10">
        <v>48.89</v>
      </c>
      <c r="Z27" s="10">
        <v>48.07</v>
      </c>
      <c r="AA27" s="10">
        <v>48.83</v>
      </c>
      <c r="AB27" s="95">
        <v>2701700</v>
      </c>
      <c r="AC27" s="10">
        <v>48.83</v>
      </c>
      <c r="AD27" s="2">
        <f t="shared" si="0"/>
        <v>0.82000000000000028</v>
      </c>
      <c r="AE27" s="138">
        <f t="shared" si="1"/>
        <v>1.6444629475437011E-2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42570</v>
      </c>
      <c r="X28" s="10">
        <v>48.09</v>
      </c>
      <c r="Y28" s="10">
        <v>48.39</v>
      </c>
      <c r="Z28" s="10">
        <v>47.41</v>
      </c>
      <c r="AA28" s="10">
        <v>48.04</v>
      </c>
      <c r="AB28" s="95">
        <v>2349800</v>
      </c>
      <c r="AC28" s="10">
        <v>48.04</v>
      </c>
      <c r="AD28" s="2">
        <f t="shared" si="0"/>
        <v>0.98000000000000398</v>
      </c>
      <c r="AE28" s="138">
        <f t="shared" si="1"/>
        <v>-5.5889049886153064E-3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42569</v>
      </c>
      <c r="X29" s="10">
        <v>48.61</v>
      </c>
      <c r="Y29" s="10">
        <v>48.84</v>
      </c>
      <c r="Z29" s="10">
        <v>48.13</v>
      </c>
      <c r="AA29" s="10">
        <v>48.31</v>
      </c>
      <c r="AB29" s="95">
        <v>2853400</v>
      </c>
      <c r="AC29" s="10">
        <v>48.31</v>
      </c>
      <c r="AD29" s="2">
        <f t="shared" si="0"/>
        <v>0.71000000000000085</v>
      </c>
      <c r="AE29" s="138">
        <f t="shared" si="1"/>
        <v>-7.8044773054014582E-3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42566</v>
      </c>
      <c r="X30" s="10">
        <v>48.8</v>
      </c>
      <c r="Y30" s="10">
        <v>48.96</v>
      </c>
      <c r="Z30" s="10">
        <v>48.55</v>
      </c>
      <c r="AA30" s="10">
        <v>48.69</v>
      </c>
      <c r="AB30" s="95">
        <v>2316100</v>
      </c>
      <c r="AC30" s="10">
        <v>48.69</v>
      </c>
      <c r="AD30" s="2">
        <f t="shared" si="0"/>
        <v>0.41000000000000369</v>
      </c>
      <c r="AE30" s="138">
        <f t="shared" si="1"/>
        <v>-6.1576354679804268E-4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42565</v>
      </c>
      <c r="X31" s="10">
        <v>49.24</v>
      </c>
      <c r="Y31" s="10">
        <v>49.5</v>
      </c>
      <c r="Z31" s="10">
        <v>48.64</v>
      </c>
      <c r="AA31" s="10">
        <v>48.72</v>
      </c>
      <c r="AB31" s="95">
        <v>2921200</v>
      </c>
      <c r="AC31" s="10">
        <v>48.72</v>
      </c>
      <c r="AD31" s="2">
        <f t="shared" si="0"/>
        <v>0.85999999999999943</v>
      </c>
      <c r="AE31" s="138">
        <f t="shared" si="1"/>
        <v>-5.1051664284255116E-3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42564</v>
      </c>
      <c r="X32" s="10">
        <v>49.29</v>
      </c>
      <c r="Y32" s="10">
        <v>49.41</v>
      </c>
      <c r="Z32" s="10">
        <v>48.61</v>
      </c>
      <c r="AA32" s="10">
        <v>48.97</v>
      </c>
      <c r="AB32" s="95">
        <v>2958700</v>
      </c>
      <c r="AC32" s="10">
        <v>48.97</v>
      </c>
      <c r="AD32" s="2">
        <f t="shared" si="0"/>
        <v>0.79999999999999716</v>
      </c>
      <c r="AE32" s="138">
        <f t="shared" si="1"/>
        <v>-6.4921890850071495E-3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42563</v>
      </c>
      <c r="X33" s="10">
        <v>49.09</v>
      </c>
      <c r="Y33" s="10">
        <v>49.42</v>
      </c>
      <c r="Z33" s="10">
        <v>48.88</v>
      </c>
      <c r="AA33" s="10">
        <v>49.29</v>
      </c>
      <c r="AB33" s="95">
        <v>10751400</v>
      </c>
      <c r="AC33" s="10">
        <v>49.29</v>
      </c>
      <c r="AD33" s="2">
        <f t="shared" si="0"/>
        <v>0.53999999999999915</v>
      </c>
      <c r="AE33" s="138">
        <f t="shared" si="1"/>
        <v>1.4406256431364284E-2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42562</v>
      </c>
      <c r="X34" s="10">
        <v>48.93</v>
      </c>
      <c r="Y34" s="10">
        <v>49.33</v>
      </c>
      <c r="Z34" s="10">
        <v>48.56</v>
      </c>
      <c r="AA34" s="10">
        <v>48.59</v>
      </c>
      <c r="AB34" s="95">
        <v>5338500</v>
      </c>
      <c r="AC34" s="10">
        <v>48.59</v>
      </c>
      <c r="AD34" s="2">
        <f t="shared" si="0"/>
        <v>0.76999999999999602</v>
      </c>
      <c r="AE34" s="138">
        <f t="shared" si="1"/>
        <v>-5.5259926320097019E-3</v>
      </c>
    </row>
    <row r="35" spans="1:31" x14ac:dyDescent="0.25">
      <c r="W35" s="133">
        <v>42559</v>
      </c>
      <c r="X35" s="10">
        <v>48.52</v>
      </c>
      <c r="Y35" s="10">
        <v>49.2</v>
      </c>
      <c r="Z35" s="10">
        <v>48.43</v>
      </c>
      <c r="AA35" s="10">
        <v>48.86</v>
      </c>
      <c r="AB35" s="95">
        <v>3488200</v>
      </c>
      <c r="AC35" s="10">
        <v>48.86</v>
      </c>
      <c r="AD35" s="2">
        <f t="shared" si="0"/>
        <v>0.77000000000000313</v>
      </c>
      <c r="AE35" s="138">
        <f t="shared" si="1"/>
        <v>1.558927457908954E-2</v>
      </c>
    </row>
    <row r="36" spans="1:31" x14ac:dyDescent="0.25">
      <c r="L36" t="s">
        <v>226</v>
      </c>
      <c r="M36" s="2">
        <f>M50+K50-F50</f>
        <v>75.019999999999982</v>
      </c>
      <c r="W36" s="133">
        <v>42558</v>
      </c>
      <c r="X36" s="10">
        <v>48.19</v>
      </c>
      <c r="Y36" s="10">
        <v>48.62</v>
      </c>
      <c r="Z36" s="10">
        <v>47.68</v>
      </c>
      <c r="AA36" s="10">
        <v>48.11</v>
      </c>
      <c r="AB36" s="95">
        <v>2793300</v>
      </c>
      <c r="AC36" s="10">
        <v>48.11</v>
      </c>
      <c r="AD36" s="2">
        <f t="shared" si="0"/>
        <v>0.93999999999999773</v>
      </c>
      <c r="AE36" s="138">
        <f t="shared" si="1"/>
        <v>-1.2455885405854294E-3</v>
      </c>
    </row>
    <row r="37" spans="1:31" x14ac:dyDescent="0.25">
      <c r="A37" s="391" t="s">
        <v>1</v>
      </c>
      <c r="B37" s="391" t="s">
        <v>2</v>
      </c>
      <c r="C37" s="391" t="s">
        <v>4</v>
      </c>
      <c r="D37" s="393" t="s">
        <v>5</v>
      </c>
      <c r="E37" s="393" t="s">
        <v>94</v>
      </c>
      <c r="F37" s="393" t="s">
        <v>60</v>
      </c>
      <c r="G37" s="391" t="s">
        <v>3</v>
      </c>
      <c r="H37" s="391" t="s">
        <v>6</v>
      </c>
      <c r="I37" s="393" t="s">
        <v>7</v>
      </c>
      <c r="J37" s="393" t="s">
        <v>95</v>
      </c>
      <c r="K37" s="393" t="s">
        <v>61</v>
      </c>
      <c r="L37" s="391" t="s">
        <v>77</v>
      </c>
      <c r="M37" s="391" t="s">
        <v>38</v>
      </c>
      <c r="W37" s="133">
        <v>42557</v>
      </c>
      <c r="X37" s="10">
        <v>47.76</v>
      </c>
      <c r="Y37" s="10">
        <v>48.2</v>
      </c>
      <c r="Z37" s="10">
        <v>47.07</v>
      </c>
      <c r="AA37" s="10">
        <v>48.17</v>
      </c>
      <c r="AB37" s="95">
        <v>5170100</v>
      </c>
      <c r="AC37" s="10">
        <v>48.17</v>
      </c>
      <c r="AD37" s="2">
        <f t="shared" si="0"/>
        <v>1.1300000000000026</v>
      </c>
      <c r="AE37" s="138">
        <f t="shared" si="1"/>
        <v>3.1236984589753103E-3</v>
      </c>
    </row>
    <row r="38" spans="1:31" x14ac:dyDescent="0.25">
      <c r="A38" s="394" t="s">
        <v>182</v>
      </c>
      <c r="B38" s="384">
        <v>42376</v>
      </c>
      <c r="C38" s="385">
        <v>60</v>
      </c>
      <c r="D38" s="386">
        <v>41.01</v>
      </c>
      <c r="E38" s="386">
        <v>0</v>
      </c>
      <c r="F38" s="386">
        <f>C38*D38</f>
        <v>2460.6</v>
      </c>
      <c r="G38" s="384">
        <v>42426</v>
      </c>
      <c r="H38" s="389">
        <v>20</v>
      </c>
      <c r="I38" s="386">
        <v>38.450000000000003</v>
      </c>
      <c r="J38" s="386">
        <v>0.02</v>
      </c>
      <c r="K38" s="386">
        <f>H38*I38-J38</f>
        <v>768.98</v>
      </c>
      <c r="L38" s="384">
        <v>42444</v>
      </c>
      <c r="M38" s="386">
        <v>15.2</v>
      </c>
      <c r="W38" s="133">
        <v>42556</v>
      </c>
      <c r="X38" s="10">
        <v>48.41</v>
      </c>
      <c r="Y38" s="10">
        <v>48.69</v>
      </c>
      <c r="Z38" s="10">
        <v>47.51</v>
      </c>
      <c r="AA38" s="10">
        <v>48.02</v>
      </c>
      <c r="AB38" s="95">
        <v>3022000</v>
      </c>
      <c r="AC38" s="10">
        <v>48.02</v>
      </c>
      <c r="AD38" s="2">
        <f t="shared" si="0"/>
        <v>1.1799999999999997</v>
      </c>
      <c r="AE38" s="138">
        <f t="shared" si="1"/>
        <v>-1.5580155801558027E-2</v>
      </c>
    </row>
    <row r="39" spans="1:31" x14ac:dyDescent="0.25">
      <c r="A39" s="395" t="s">
        <v>71</v>
      </c>
      <c r="B39" s="384">
        <v>42403</v>
      </c>
      <c r="C39" s="385">
        <v>20</v>
      </c>
      <c r="D39" s="386">
        <v>35.5</v>
      </c>
      <c r="E39" s="386">
        <v>0</v>
      </c>
      <c r="F39" s="386">
        <f>C39*D39</f>
        <v>710</v>
      </c>
      <c r="G39" s="384">
        <v>42426</v>
      </c>
      <c r="H39" s="389">
        <v>30</v>
      </c>
      <c r="I39" s="386">
        <v>38.75</v>
      </c>
      <c r="J39" s="386">
        <v>0.03</v>
      </c>
      <c r="K39" s="386">
        <f>H39*I39-J39</f>
        <v>1162.47</v>
      </c>
      <c r="L39" s="385"/>
      <c r="M39" s="385"/>
      <c r="W39" s="133">
        <v>42552</v>
      </c>
      <c r="X39" s="10">
        <v>48.57</v>
      </c>
      <c r="Y39" s="10">
        <v>49.26</v>
      </c>
      <c r="Z39" s="10">
        <v>48.47</v>
      </c>
      <c r="AA39" s="10">
        <v>48.78</v>
      </c>
      <c r="AB39" s="95">
        <v>3187000</v>
      </c>
      <c r="AC39" s="10">
        <v>48.78</v>
      </c>
      <c r="AD39" s="2">
        <f t="shared" si="0"/>
        <v>0.78999999999999915</v>
      </c>
      <c r="AE39" s="138">
        <f t="shared" si="1"/>
        <v>4.3236565781346048E-3</v>
      </c>
    </row>
    <row r="40" spans="1:31" x14ac:dyDescent="0.25">
      <c r="A40" s="385"/>
      <c r="B40" s="385"/>
      <c r="C40" s="385"/>
      <c r="D40" s="386"/>
      <c r="E40" s="386"/>
      <c r="F40" s="386"/>
      <c r="G40" s="384">
        <v>42447</v>
      </c>
      <c r="H40" s="389">
        <v>30</v>
      </c>
      <c r="I40" s="386">
        <v>43.3</v>
      </c>
      <c r="J40" s="386">
        <v>0.03</v>
      </c>
      <c r="K40" s="386">
        <f>H40*I40-J40</f>
        <v>1298.97</v>
      </c>
      <c r="L40" s="385"/>
      <c r="M40" s="385"/>
      <c r="W40" s="133">
        <v>42551</v>
      </c>
      <c r="X40" s="10">
        <v>47.88</v>
      </c>
      <c r="Y40" s="10">
        <v>48.7</v>
      </c>
      <c r="Z40" s="10">
        <v>47.6</v>
      </c>
      <c r="AA40" s="10">
        <v>48.57</v>
      </c>
      <c r="AB40" s="95">
        <v>4978000</v>
      </c>
      <c r="AC40" s="10">
        <v>48.57</v>
      </c>
      <c r="AD40" s="2">
        <f t="shared" si="0"/>
        <v>1.1000000000000014</v>
      </c>
      <c r="AE40" s="138">
        <f t="shared" si="1"/>
        <v>1.5259197324414719E-2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5"/>
      <c r="I41" s="386"/>
      <c r="J41" s="386"/>
      <c r="K41" s="386"/>
      <c r="L41" s="385"/>
      <c r="M41" s="385"/>
      <c r="O41" s="34"/>
      <c r="R41" s="34"/>
      <c r="W41" s="133">
        <v>42550</v>
      </c>
      <c r="X41" s="10">
        <v>47.53</v>
      </c>
      <c r="Y41" s="10">
        <v>48.19</v>
      </c>
      <c r="Z41" s="10">
        <v>47.53</v>
      </c>
      <c r="AA41" s="10">
        <v>47.84</v>
      </c>
      <c r="AB41" s="95">
        <v>4270600</v>
      </c>
      <c r="AC41" s="10">
        <v>47.84</v>
      </c>
      <c r="AD41" s="2">
        <f t="shared" si="0"/>
        <v>0.65999999999999659</v>
      </c>
      <c r="AE41" s="138">
        <f t="shared" si="1"/>
        <v>1.873935264054527E-2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6"/>
      <c r="J42" s="386"/>
      <c r="K42" s="386"/>
      <c r="L42" s="385"/>
      <c r="M42" s="385"/>
      <c r="O42" s="246" t="s">
        <v>78</v>
      </c>
      <c r="P42" s="246"/>
      <c r="Q42" s="34"/>
      <c r="R42" s="34"/>
      <c r="T42" s="91" t="s">
        <v>113</v>
      </c>
      <c r="W42" s="133">
        <v>42549</v>
      </c>
      <c r="X42" s="10">
        <v>45.67</v>
      </c>
      <c r="Y42" s="10">
        <v>46.96</v>
      </c>
      <c r="Z42" s="10">
        <v>45.57</v>
      </c>
      <c r="AA42" s="10">
        <v>46.96</v>
      </c>
      <c r="AB42" s="95">
        <v>5266700</v>
      </c>
      <c r="AC42" s="10">
        <v>46.96</v>
      </c>
      <c r="AD42" s="2">
        <f t="shared" si="0"/>
        <v>1.3900000000000006</v>
      </c>
      <c r="AE42" s="138">
        <f t="shared" si="1"/>
        <v>4.1703637976929997E-2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6"/>
      <c r="J43" s="386"/>
      <c r="K43" s="386"/>
      <c r="L43" s="385"/>
      <c r="M43" s="385"/>
      <c r="O43" s="83">
        <v>1.1000000000000001</v>
      </c>
      <c r="P43" s="83">
        <f>O43*$Q$4</f>
        <v>59.224000000000011</v>
      </c>
      <c r="Q43" s="34"/>
      <c r="R43" s="34"/>
      <c r="T43" s="128" t="s">
        <v>98</v>
      </c>
      <c r="U43" s="98">
        <v>54.46</v>
      </c>
      <c r="W43" s="133">
        <v>42548</v>
      </c>
      <c r="X43" s="10">
        <v>45.85</v>
      </c>
      <c r="Y43" s="10">
        <v>45.96</v>
      </c>
      <c r="Z43" s="10">
        <v>44.83</v>
      </c>
      <c r="AA43" s="10">
        <v>45.08</v>
      </c>
      <c r="AB43" s="95">
        <v>6297100</v>
      </c>
      <c r="AC43" s="10">
        <v>45.08</v>
      </c>
      <c r="AD43" s="2">
        <f t="shared" si="0"/>
        <v>1.1300000000000026</v>
      </c>
      <c r="AE43" s="138">
        <f t="shared" si="1"/>
        <v>-3.0746076112663889E-2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6"/>
      <c r="J44" s="386"/>
      <c r="K44" s="386"/>
      <c r="L44" s="385"/>
      <c r="M44" s="385"/>
      <c r="O44" s="83">
        <v>1.0900000000000001</v>
      </c>
      <c r="P44" s="83">
        <f t="shared" ref="P44:P63" si="5">O44*$Q$4</f>
        <v>58.685600000000008</v>
      </c>
      <c r="Q44" s="34"/>
      <c r="R44" s="34"/>
      <c r="T44" s="93" t="s">
        <v>99</v>
      </c>
      <c r="U44" s="88">
        <v>54.19</v>
      </c>
      <c r="W44" s="133">
        <v>42545</v>
      </c>
      <c r="X44" s="10">
        <v>47.1</v>
      </c>
      <c r="Y44" s="10">
        <v>48.16</v>
      </c>
      <c r="Z44" s="10">
        <v>46.27</v>
      </c>
      <c r="AA44" s="10">
        <v>46.51</v>
      </c>
      <c r="AB44" s="95">
        <v>8470500</v>
      </c>
      <c r="AC44" s="10">
        <v>46.51</v>
      </c>
      <c r="AD44" s="2">
        <f t="shared" si="0"/>
        <v>1.8899999999999935</v>
      </c>
      <c r="AE44" s="138">
        <f t="shared" si="1"/>
        <v>-5.9644156894460232E-2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6"/>
      <c r="J45" s="386"/>
      <c r="K45" s="386"/>
      <c r="L45" s="385"/>
      <c r="M45" s="385"/>
      <c r="O45" s="83">
        <v>1.08</v>
      </c>
      <c r="P45" s="83">
        <f t="shared" si="5"/>
        <v>58.147200000000005</v>
      </c>
      <c r="Q45" s="34"/>
      <c r="R45" s="34"/>
      <c r="T45" s="93" t="s">
        <v>100</v>
      </c>
      <c r="U45" s="88" t="s">
        <v>466</v>
      </c>
      <c r="W45" s="133">
        <v>42544</v>
      </c>
      <c r="X45" s="10">
        <v>49.02</v>
      </c>
      <c r="Y45" s="10">
        <v>49.49</v>
      </c>
      <c r="Z45" s="10">
        <v>48.99</v>
      </c>
      <c r="AA45" s="10">
        <v>49.46</v>
      </c>
      <c r="AB45" s="95">
        <v>3091700</v>
      </c>
      <c r="AC45" s="10">
        <v>49.46</v>
      </c>
      <c r="AD45" s="2">
        <f t="shared" si="0"/>
        <v>0.5</v>
      </c>
      <c r="AE45" s="138">
        <f t="shared" si="1"/>
        <v>1.8114450391107484E-2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6"/>
      <c r="J46" s="386"/>
      <c r="K46" s="386"/>
      <c r="L46" s="385"/>
      <c r="M46" s="385"/>
      <c r="O46" s="83">
        <v>1.07</v>
      </c>
      <c r="P46" s="83">
        <f t="shared" si="5"/>
        <v>57.608800000000009</v>
      </c>
      <c r="Q46" s="83"/>
      <c r="R46" s="34"/>
      <c r="T46" s="93" t="s">
        <v>101</v>
      </c>
      <c r="U46" s="88" t="s">
        <v>467</v>
      </c>
      <c r="W46" s="133">
        <v>42543</v>
      </c>
      <c r="X46" s="10">
        <v>48.51</v>
      </c>
      <c r="Y46" s="10">
        <v>49.06</v>
      </c>
      <c r="Z46" s="10">
        <v>48.43</v>
      </c>
      <c r="AA46" s="10">
        <v>48.58</v>
      </c>
      <c r="AB46" s="95">
        <v>3230600</v>
      </c>
      <c r="AC46" s="10">
        <v>48.58</v>
      </c>
      <c r="AD46" s="2">
        <f t="shared" si="0"/>
        <v>0.63000000000000256</v>
      </c>
      <c r="AE46" s="138">
        <f t="shared" si="1"/>
        <v>1.4430014430013571E-3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6"/>
      <c r="J47" s="386"/>
      <c r="K47" s="386"/>
      <c r="L47" s="385"/>
      <c r="M47" s="385"/>
      <c r="O47" s="83">
        <v>1.06</v>
      </c>
      <c r="P47" s="83">
        <f t="shared" si="5"/>
        <v>57.070400000000006</v>
      </c>
      <c r="Q47" s="83"/>
      <c r="R47" s="34"/>
      <c r="T47" s="93" t="s">
        <v>102</v>
      </c>
      <c r="U47" s="88">
        <v>59.57</v>
      </c>
      <c r="W47" s="133">
        <v>42542</v>
      </c>
      <c r="X47" s="10">
        <v>48.88</v>
      </c>
      <c r="Y47" s="10">
        <v>48.96</v>
      </c>
      <c r="Z47" s="10">
        <v>48.23</v>
      </c>
      <c r="AA47" s="10">
        <v>48.51</v>
      </c>
      <c r="AB47" s="95">
        <v>3423100</v>
      </c>
      <c r="AC47" s="10">
        <v>48.51</v>
      </c>
      <c r="AD47" s="2">
        <f t="shared" si="0"/>
        <v>0.73000000000000398</v>
      </c>
      <c r="AE47" s="138">
        <f t="shared" si="1"/>
        <v>-2.0571898786257981E-3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6"/>
      <c r="J48" s="386"/>
      <c r="K48" s="386"/>
      <c r="L48" s="385"/>
      <c r="M48" s="385"/>
      <c r="O48" s="83">
        <v>1.05</v>
      </c>
      <c r="P48" s="83">
        <f t="shared" si="5"/>
        <v>56.532000000000004</v>
      </c>
      <c r="Q48" s="83"/>
      <c r="R48" s="34"/>
      <c r="T48" s="93" t="s">
        <v>103</v>
      </c>
      <c r="U48" s="88">
        <v>1.2537700000000001</v>
      </c>
      <c r="W48" s="133">
        <v>42541</v>
      </c>
      <c r="X48" s="10">
        <v>48.85</v>
      </c>
      <c r="Y48" s="10">
        <v>49.21</v>
      </c>
      <c r="Z48" s="10">
        <v>48.51</v>
      </c>
      <c r="AA48" s="10">
        <v>48.61</v>
      </c>
      <c r="AB48" s="95">
        <v>3318900</v>
      </c>
      <c r="AC48" s="10">
        <v>48.61</v>
      </c>
      <c r="AD48" s="2">
        <f t="shared" si="0"/>
        <v>0.70000000000000284</v>
      </c>
      <c r="AE48" s="138">
        <f t="shared" si="1"/>
        <v>4.9617531527808012E-3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6"/>
      <c r="J49" s="386"/>
      <c r="K49" s="386"/>
      <c r="L49" s="385"/>
      <c r="M49" s="385"/>
      <c r="O49" s="83">
        <v>1.04</v>
      </c>
      <c r="P49" s="83">
        <f t="shared" si="5"/>
        <v>55.993600000000008</v>
      </c>
      <c r="Q49" s="83"/>
      <c r="R49" s="34"/>
      <c r="T49" s="93" t="s">
        <v>123</v>
      </c>
      <c r="U49" s="88" t="s">
        <v>330</v>
      </c>
      <c r="W49" s="133">
        <v>42538</v>
      </c>
      <c r="X49" s="10">
        <v>48.7</v>
      </c>
      <c r="Y49" s="10">
        <v>48.92</v>
      </c>
      <c r="Z49" s="10">
        <v>48.27</v>
      </c>
      <c r="AA49" s="10">
        <v>48.37</v>
      </c>
      <c r="AB49" s="95">
        <v>8023600</v>
      </c>
      <c r="AC49" s="10">
        <v>48.37</v>
      </c>
      <c r="AD49" s="2">
        <f t="shared" si="0"/>
        <v>0.64999999999999858</v>
      </c>
      <c r="AE49" s="138">
        <f t="shared" si="1"/>
        <v>-7.1839080459770166E-3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55.455200000000005</v>
      </c>
      <c r="Q50" s="83"/>
      <c r="R50" s="34"/>
      <c r="T50" s="93"/>
      <c r="U50" s="88"/>
      <c r="W50" s="133">
        <v>42537</v>
      </c>
      <c r="X50" s="10">
        <v>48.26</v>
      </c>
      <c r="Y50" s="10">
        <v>48.78</v>
      </c>
      <c r="Z50" s="10">
        <v>47.89</v>
      </c>
      <c r="AA50" s="10">
        <v>48.72</v>
      </c>
      <c r="AB50" s="95">
        <v>3182300</v>
      </c>
      <c r="AC50" s="10">
        <v>48.72</v>
      </c>
      <c r="AD50" s="2">
        <f t="shared" si="0"/>
        <v>0.89000000000000057</v>
      </c>
      <c r="AE50" s="138">
        <f t="shared" si="1"/>
        <v>5.3652496904663671E-3</v>
      </c>
    </row>
    <row r="51" spans="1:31" x14ac:dyDescent="0.25">
      <c r="G51" s="2"/>
      <c r="O51" s="83">
        <v>1.02</v>
      </c>
      <c r="P51" s="83">
        <f t="shared" si="5"/>
        <v>54.916800000000002</v>
      </c>
      <c r="Q51" s="83"/>
      <c r="R51" s="34"/>
      <c r="T51" s="93" t="s">
        <v>105</v>
      </c>
      <c r="U51" s="88" t="s">
        <v>468</v>
      </c>
      <c r="W51" s="133">
        <v>42536</v>
      </c>
      <c r="X51" s="10">
        <v>48.31</v>
      </c>
      <c r="Y51" s="10">
        <v>49.08</v>
      </c>
      <c r="Z51" s="10">
        <v>47.95</v>
      </c>
      <c r="AA51" s="10">
        <v>48.46</v>
      </c>
      <c r="AB51" s="95">
        <v>3602300</v>
      </c>
      <c r="AC51" s="10">
        <v>48.46</v>
      </c>
      <c r="AD51" s="2">
        <f t="shared" si="0"/>
        <v>1.1299999999999955</v>
      </c>
      <c r="AE51" s="138">
        <f t="shared" si="1"/>
        <v>8.3229296712441503E-3</v>
      </c>
    </row>
    <row r="52" spans="1:31" x14ac:dyDescent="0.25">
      <c r="O52" s="83">
        <v>1.01</v>
      </c>
      <c r="P52" s="83">
        <f t="shared" si="5"/>
        <v>54.378400000000006</v>
      </c>
      <c r="Q52" s="83"/>
      <c r="R52" s="34"/>
      <c r="T52" s="93" t="s">
        <v>106</v>
      </c>
      <c r="U52" s="88" t="s">
        <v>361</v>
      </c>
      <c r="W52" s="133">
        <v>42535</v>
      </c>
      <c r="X52" s="10">
        <v>47.61</v>
      </c>
      <c r="Y52" s="10">
        <v>48.12</v>
      </c>
      <c r="Z52" s="10">
        <v>47.36</v>
      </c>
      <c r="AA52" s="10">
        <v>48.06</v>
      </c>
      <c r="AB52" s="95">
        <v>3589300</v>
      </c>
      <c r="AC52" s="10">
        <v>48.06</v>
      </c>
      <c r="AD52" s="2">
        <f t="shared" si="0"/>
        <v>0.75999999999999801</v>
      </c>
      <c r="AE52" s="138">
        <f t="shared" si="1"/>
        <v>6.9138906348209517E-3</v>
      </c>
    </row>
    <row r="53" spans="1:31" x14ac:dyDescent="0.25">
      <c r="O53" s="83">
        <v>1</v>
      </c>
      <c r="P53" s="83">
        <f t="shared" si="5"/>
        <v>53.84</v>
      </c>
      <c r="Q53" s="83"/>
      <c r="R53" s="34"/>
      <c r="T53" s="93" t="s">
        <v>107</v>
      </c>
      <c r="U53" s="90">
        <v>2807667</v>
      </c>
      <c r="W53" s="133">
        <v>42534</v>
      </c>
      <c r="X53" s="10">
        <v>47.72</v>
      </c>
      <c r="Y53" s="10">
        <v>48.03</v>
      </c>
      <c r="Z53" s="10">
        <v>47.47</v>
      </c>
      <c r="AA53" s="10">
        <v>47.73</v>
      </c>
      <c r="AB53" s="95">
        <v>3772000</v>
      </c>
      <c r="AC53" s="10">
        <v>47.73</v>
      </c>
      <c r="AD53" s="2">
        <f t="shared" si="0"/>
        <v>0.56000000000000227</v>
      </c>
      <c r="AE53" s="138">
        <f t="shared" si="1"/>
        <v>-4.5881126173098474E-3</v>
      </c>
    </row>
    <row r="54" spans="1:31" x14ac:dyDescent="0.25">
      <c r="O54" s="83">
        <v>0.99</v>
      </c>
      <c r="P54" s="83">
        <f t="shared" si="5"/>
        <v>53.301600000000001</v>
      </c>
      <c r="Q54" s="83"/>
      <c r="R54" s="34"/>
      <c r="T54" s="93" t="s">
        <v>110</v>
      </c>
      <c r="U54" s="90">
        <v>3958180</v>
      </c>
      <c r="W54" s="133">
        <v>42531</v>
      </c>
      <c r="X54" s="10">
        <v>48.59</v>
      </c>
      <c r="Y54" s="10">
        <v>48.67</v>
      </c>
      <c r="Z54" s="10">
        <v>47.94</v>
      </c>
      <c r="AA54" s="10">
        <v>47.95</v>
      </c>
      <c r="AB54" s="95">
        <v>4735000</v>
      </c>
      <c r="AC54" s="10">
        <v>47.95</v>
      </c>
      <c r="AD54" s="2">
        <f t="shared" si="0"/>
        <v>0.73000000000000398</v>
      </c>
      <c r="AE54" s="138">
        <f t="shared" si="1"/>
        <v>-2.0629084967320188E-2</v>
      </c>
    </row>
    <row r="55" spans="1:31" x14ac:dyDescent="0.25">
      <c r="O55" s="83">
        <v>0.98</v>
      </c>
      <c r="P55" s="83">
        <f t="shared" si="5"/>
        <v>52.763200000000005</v>
      </c>
      <c r="Q55" s="83"/>
      <c r="T55" s="93" t="s">
        <v>108</v>
      </c>
      <c r="U55" s="88" t="s">
        <v>469</v>
      </c>
      <c r="W55" s="133">
        <v>42530</v>
      </c>
      <c r="X55" s="10">
        <v>48.65</v>
      </c>
      <c r="Y55" s="10">
        <v>49.03</v>
      </c>
      <c r="Z55" s="10">
        <v>48.44</v>
      </c>
      <c r="AA55" s="10">
        <v>48.96</v>
      </c>
      <c r="AB55" s="95">
        <v>2569300</v>
      </c>
      <c r="AC55" s="10">
        <v>48.96</v>
      </c>
      <c r="AD55" s="2">
        <f t="shared" si="0"/>
        <v>0.59000000000000341</v>
      </c>
      <c r="AE55" s="138">
        <f t="shared" si="1"/>
        <v>-4.0832993058381728E-4</v>
      </c>
    </row>
    <row r="56" spans="1:31" x14ac:dyDescent="0.25">
      <c r="O56" s="83">
        <v>0.97</v>
      </c>
      <c r="P56" s="83">
        <f t="shared" si="5"/>
        <v>52.224800000000002</v>
      </c>
      <c r="Q56" s="83"/>
      <c r="T56" s="93" t="s">
        <v>111</v>
      </c>
      <c r="U56" s="88">
        <v>52.22</v>
      </c>
      <c r="W56" s="133">
        <v>42529</v>
      </c>
      <c r="X56" s="10">
        <v>49.04</v>
      </c>
      <c r="Y56" s="10">
        <v>49.46</v>
      </c>
      <c r="Z56" s="10">
        <v>48.77</v>
      </c>
      <c r="AA56" s="10">
        <v>48.98</v>
      </c>
      <c r="AB56" s="95">
        <v>3460500</v>
      </c>
      <c r="AC56" s="10">
        <v>48.98</v>
      </c>
      <c r="AD56" s="2">
        <f t="shared" si="0"/>
        <v>0.68999999999999773</v>
      </c>
      <c r="AE56" s="138">
        <f t="shared" si="1"/>
        <v>2.4559967253376946E-3</v>
      </c>
    </row>
    <row r="57" spans="1:31" x14ac:dyDescent="0.25">
      <c r="O57" s="83">
        <v>0.96</v>
      </c>
      <c r="P57" s="83">
        <f t="shared" si="5"/>
        <v>51.686399999999999</v>
      </c>
      <c r="Q57" s="83"/>
      <c r="T57" s="93" t="s">
        <v>112</v>
      </c>
      <c r="U57" s="88">
        <v>1.03</v>
      </c>
      <c r="W57" s="133">
        <v>42528</v>
      </c>
      <c r="X57" s="10">
        <v>48.21</v>
      </c>
      <c r="Y57" s="10">
        <v>49.2</v>
      </c>
      <c r="Z57" s="10">
        <v>48.21</v>
      </c>
      <c r="AA57" s="10">
        <v>48.86</v>
      </c>
      <c r="AB57" s="95">
        <v>4169900</v>
      </c>
      <c r="AC57" s="10">
        <v>48.86</v>
      </c>
      <c r="AD57" s="2">
        <f t="shared" si="0"/>
        <v>0.99000000000000199</v>
      </c>
      <c r="AE57" s="138">
        <f t="shared" si="1"/>
        <v>1.6645859342488523E-2</v>
      </c>
    </row>
    <row r="58" spans="1:31" x14ac:dyDescent="0.25">
      <c r="O58" s="83">
        <v>0.95</v>
      </c>
      <c r="P58" s="83">
        <f t="shared" si="5"/>
        <v>51.148000000000003</v>
      </c>
      <c r="Q58" s="83"/>
      <c r="T58" s="93" t="s">
        <v>109</v>
      </c>
      <c r="U58" s="88" t="s">
        <v>376</v>
      </c>
      <c r="W58" s="133">
        <v>42527</v>
      </c>
      <c r="X58" s="10">
        <v>48.01</v>
      </c>
      <c r="Y58" s="10">
        <v>48.16</v>
      </c>
      <c r="Z58" s="10">
        <v>47.87</v>
      </c>
      <c r="AA58" s="10">
        <v>48.06</v>
      </c>
      <c r="AB58" s="95">
        <v>5026600</v>
      </c>
      <c r="AC58" s="10">
        <v>48.06</v>
      </c>
      <c r="AD58" s="2">
        <f t="shared" si="0"/>
        <v>0.28999999999999915</v>
      </c>
      <c r="AE58" s="138">
        <f t="shared" si="1"/>
        <v>2.085070892410279E-3</v>
      </c>
    </row>
    <row r="59" spans="1:31" x14ac:dyDescent="0.25">
      <c r="O59" s="83">
        <v>0.94</v>
      </c>
      <c r="P59" s="83">
        <f t="shared" si="5"/>
        <v>50.6096</v>
      </c>
      <c r="Q59" s="83"/>
      <c r="W59" s="133">
        <v>42524</v>
      </c>
      <c r="X59" s="10">
        <v>47.88</v>
      </c>
      <c r="Y59" s="10">
        <v>48.01</v>
      </c>
      <c r="Z59" s="10">
        <v>46.95</v>
      </c>
      <c r="AA59" s="10">
        <v>47.96</v>
      </c>
      <c r="AB59" s="95">
        <v>3564600</v>
      </c>
      <c r="AC59" s="10">
        <v>47.96</v>
      </c>
      <c r="AD59" s="2">
        <f t="shared" si="0"/>
        <v>1.0599999999999952</v>
      </c>
      <c r="AE59" s="138">
        <f t="shared" si="1"/>
        <v>-8.3333333333335258E-4</v>
      </c>
    </row>
    <row r="60" spans="1:31" x14ac:dyDescent="0.25">
      <c r="O60" s="83">
        <v>0.93</v>
      </c>
      <c r="P60" s="83">
        <f t="shared" si="5"/>
        <v>50.071200000000005</v>
      </c>
      <c r="Q60" s="83"/>
      <c r="W60" s="133">
        <v>42523</v>
      </c>
      <c r="X60" s="10">
        <v>47.9</v>
      </c>
      <c r="Y60" s="10">
        <v>48</v>
      </c>
      <c r="Z60" s="10">
        <v>47.58</v>
      </c>
      <c r="AA60" s="10">
        <v>48</v>
      </c>
      <c r="AB60" s="95">
        <v>2843400</v>
      </c>
      <c r="AC60" s="10">
        <v>48</v>
      </c>
      <c r="AD60" s="2">
        <f t="shared" si="0"/>
        <v>0.42000000000000171</v>
      </c>
      <c r="AE60" s="138">
        <f t="shared" si="1"/>
        <v>1.4604631754642217E-3</v>
      </c>
    </row>
    <row r="61" spans="1:31" x14ac:dyDescent="0.25">
      <c r="O61" s="83">
        <v>0.92</v>
      </c>
      <c r="P61" s="83">
        <f t="shared" si="5"/>
        <v>49.532800000000009</v>
      </c>
      <c r="Q61" s="83"/>
      <c r="W61" s="133">
        <v>42522</v>
      </c>
      <c r="X61" s="10">
        <v>47.69</v>
      </c>
      <c r="Y61" s="10">
        <v>48</v>
      </c>
      <c r="Z61" s="10">
        <v>47.3</v>
      </c>
      <c r="AA61" s="10">
        <v>47.93</v>
      </c>
      <c r="AB61" s="95">
        <v>3158500</v>
      </c>
      <c r="AC61" s="10">
        <v>47.93</v>
      </c>
      <c r="AD61" s="2">
        <f t="shared" si="0"/>
        <v>0.70000000000000284</v>
      </c>
      <c r="AE61" s="138">
        <f t="shared" si="1"/>
        <v>5.0325015726568889E-3</v>
      </c>
    </row>
    <row r="62" spans="1:31" x14ac:dyDescent="0.25">
      <c r="O62" s="83">
        <v>0.91</v>
      </c>
      <c r="P62" s="83">
        <f t="shared" si="5"/>
        <v>48.994400000000006</v>
      </c>
      <c r="Q62" s="83"/>
      <c r="W62" s="133">
        <v>42521</v>
      </c>
      <c r="X62" s="10">
        <v>47.69</v>
      </c>
      <c r="Y62" s="10">
        <v>48.15</v>
      </c>
      <c r="Z62" s="10">
        <v>47.17</v>
      </c>
      <c r="AA62" s="10">
        <v>47.69</v>
      </c>
      <c r="AB62" s="95">
        <v>3410700</v>
      </c>
      <c r="AC62" s="10">
        <v>47.69</v>
      </c>
      <c r="AD62" s="2">
        <f t="shared" si="0"/>
        <v>0.97999999999999687</v>
      </c>
      <c r="AE62" s="138">
        <f t="shared" si="1"/>
        <v>-1.4656616415410495E-3</v>
      </c>
    </row>
    <row r="63" spans="1:31" x14ac:dyDescent="0.25">
      <c r="O63" s="83">
        <v>0.9</v>
      </c>
      <c r="P63" s="83">
        <f t="shared" si="5"/>
        <v>48.456000000000003</v>
      </c>
      <c r="Q63" s="83"/>
      <c r="W63" s="133">
        <v>42517</v>
      </c>
      <c r="X63" s="10">
        <v>47.73</v>
      </c>
      <c r="Y63" s="10">
        <v>48</v>
      </c>
      <c r="Z63" s="10">
        <v>47.51</v>
      </c>
      <c r="AA63" s="10">
        <v>47.76</v>
      </c>
      <c r="AB63" s="95">
        <v>2012300</v>
      </c>
      <c r="AC63" s="10">
        <v>47.76</v>
      </c>
      <c r="AD63" s="2">
        <f t="shared" si="0"/>
        <v>0.49000000000000199</v>
      </c>
      <c r="AE63" s="138">
        <f t="shared" si="1"/>
        <v>8.3822296730917678E-4</v>
      </c>
    </row>
    <row r="64" spans="1:31" x14ac:dyDescent="0.25">
      <c r="O64" s="34"/>
      <c r="W64" s="133">
        <v>42516</v>
      </c>
      <c r="X64" s="10">
        <v>47.9</v>
      </c>
      <c r="Y64" s="10">
        <v>48</v>
      </c>
      <c r="Z64" s="10">
        <v>47.52</v>
      </c>
      <c r="AA64" s="10">
        <v>47.72</v>
      </c>
      <c r="AB64" s="95">
        <v>2568700</v>
      </c>
      <c r="AC64" s="10">
        <v>47.72</v>
      </c>
      <c r="AD64" s="2">
        <f t="shared" si="0"/>
        <v>0.47999999999999687</v>
      </c>
      <c r="AE64" s="138" t="e">
        <f t="shared" si="1"/>
        <v>#DIV/0!</v>
      </c>
    </row>
    <row r="65" spans="15:31" x14ac:dyDescent="0.25">
      <c r="W65" s="133">
        <v>42516</v>
      </c>
      <c r="X65" s="10" t="s">
        <v>186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42515</v>
      </c>
      <c r="X66" s="10">
        <v>47.85</v>
      </c>
      <c r="Y66" s="10">
        <v>48.19</v>
      </c>
      <c r="Z66" s="10">
        <v>47.78</v>
      </c>
      <c r="AA66" s="10">
        <v>47.88</v>
      </c>
      <c r="AB66" s="95">
        <v>3549300</v>
      </c>
      <c r="AC66" s="10">
        <v>47.69</v>
      </c>
      <c r="AD66" s="2">
        <f t="shared" si="0"/>
        <v>0.40999999999999659</v>
      </c>
      <c r="AE66" s="138">
        <f t="shared" si="1"/>
        <v>-2.0964360587016895E-4</v>
      </c>
    </row>
    <row r="67" spans="15:31" x14ac:dyDescent="0.25">
      <c r="W67" s="133">
        <v>42514</v>
      </c>
      <c r="X67" s="10">
        <v>47.72</v>
      </c>
      <c r="Y67" s="10">
        <v>48.3</v>
      </c>
      <c r="Z67" s="10">
        <v>47.68</v>
      </c>
      <c r="AA67" s="10">
        <v>47.89</v>
      </c>
      <c r="AB67" s="95">
        <v>4559800</v>
      </c>
      <c r="AC67" s="10">
        <v>47.7</v>
      </c>
      <c r="AD67" s="2">
        <f>Y67-Z67</f>
        <v>0.61999999999999744</v>
      </c>
      <c r="AE67" s="138">
        <f>AC67/AC68-1</f>
        <v>8.2435003170577836E-3</v>
      </c>
    </row>
    <row r="68" spans="15:31" x14ac:dyDescent="0.25">
      <c r="W68" s="133">
        <v>42513</v>
      </c>
      <c r="X68" s="10">
        <v>46.95</v>
      </c>
      <c r="Y68" s="10">
        <v>47.75</v>
      </c>
      <c r="Z68" s="10">
        <v>46.85</v>
      </c>
      <c r="AA68" s="10">
        <v>47.5</v>
      </c>
      <c r="AB68" s="95">
        <v>3941400</v>
      </c>
      <c r="AC68" s="10">
        <v>47.31</v>
      </c>
      <c r="AD68" s="2">
        <f>Y68-Z68</f>
        <v>0.89999999999999858</v>
      </c>
      <c r="AE68" s="138" t="e">
        <f>AC68/AC69-1</f>
        <v>#DIV/0!</v>
      </c>
    </row>
    <row r="69" spans="15:31" x14ac:dyDescent="0.25">
      <c r="O69" s="34"/>
      <c r="W69" s="285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42606</v>
      </c>
      <c r="X2" s="10">
        <v>50.66</v>
      </c>
      <c r="Y2" s="10">
        <v>51</v>
      </c>
      <c r="Z2" s="10">
        <v>49.99</v>
      </c>
      <c r="AA2" s="10">
        <v>50.34</v>
      </c>
      <c r="AB2" s="95">
        <v>2171600</v>
      </c>
      <c r="AC2" s="10">
        <v>50.34</v>
      </c>
      <c r="AD2" s="2">
        <f>Y2-Z2</f>
        <v>1.009999999999998</v>
      </c>
      <c r="AE2" s="138">
        <f>AC2/AC3-1</f>
        <v>-8.6648286727057933E-3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50.34</v>
      </c>
      <c r="T3" s="1">
        <v>42312</v>
      </c>
      <c r="U3" t="s">
        <v>152</v>
      </c>
      <c r="W3" s="133">
        <v>42605</v>
      </c>
      <c r="X3" s="10">
        <v>50.33</v>
      </c>
      <c r="Y3" s="10">
        <v>50.96</v>
      </c>
      <c r="Z3" s="10">
        <v>50.23</v>
      </c>
      <c r="AA3" s="10">
        <v>50.78</v>
      </c>
      <c r="AB3" s="95">
        <v>2197500</v>
      </c>
      <c r="AC3" s="10">
        <v>50.78</v>
      </c>
      <c r="AD3" s="2">
        <f t="shared" ref="AD3:AD66" si="0">Y3-Z3</f>
        <v>0.73000000000000398</v>
      </c>
      <c r="AE3" s="138">
        <f t="shared" ref="AE3:AE66" si="1">AC3/AC4-1</f>
        <v>1.2966287652104391E-2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50.34</v>
      </c>
      <c r="W4" s="133">
        <v>42604</v>
      </c>
      <c r="X4" s="10">
        <v>49.84</v>
      </c>
      <c r="Y4" s="10">
        <v>50.31</v>
      </c>
      <c r="Z4" s="10">
        <v>49.68</v>
      </c>
      <c r="AA4" s="10">
        <v>50.13</v>
      </c>
      <c r="AB4" s="95">
        <v>2025700</v>
      </c>
      <c r="AC4" s="10">
        <v>50.13</v>
      </c>
      <c r="AD4" s="2">
        <f t="shared" si="0"/>
        <v>0.63000000000000256</v>
      </c>
      <c r="AE4" s="138">
        <f t="shared" si="1"/>
        <v>9.9840255591066018E-4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42601</v>
      </c>
      <c r="X5" s="10">
        <v>49.21</v>
      </c>
      <c r="Y5" s="10">
        <v>50.32</v>
      </c>
      <c r="Z5" s="10">
        <v>48.98</v>
      </c>
      <c r="AA5" s="10">
        <v>50.08</v>
      </c>
      <c r="AB5" s="95">
        <v>2497600</v>
      </c>
      <c r="AC5" s="10">
        <v>50.08</v>
      </c>
      <c r="AD5" s="2">
        <f t="shared" si="0"/>
        <v>1.3400000000000034</v>
      </c>
      <c r="AE5" s="138">
        <f t="shared" si="1"/>
        <v>1.5615493814642001E-2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42600</v>
      </c>
      <c r="X6" s="10">
        <v>48.95</v>
      </c>
      <c r="Y6" s="10">
        <v>49.44</v>
      </c>
      <c r="Z6" s="10">
        <v>48.51</v>
      </c>
      <c r="AA6" s="10">
        <v>49.31</v>
      </c>
      <c r="AB6" s="95">
        <v>2737400</v>
      </c>
      <c r="AC6" s="10">
        <v>49.31</v>
      </c>
      <c r="AD6" s="2">
        <f t="shared" si="0"/>
        <v>0.92999999999999972</v>
      </c>
      <c r="AE6" s="138">
        <f t="shared" si="1"/>
        <v>1.0450819672131351E-2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42599</v>
      </c>
      <c r="X7" s="10">
        <v>49.77</v>
      </c>
      <c r="Y7" s="10">
        <v>49.94</v>
      </c>
      <c r="Z7" s="10">
        <v>48.68</v>
      </c>
      <c r="AA7" s="10">
        <v>48.8</v>
      </c>
      <c r="AB7" s="95">
        <v>3607600</v>
      </c>
      <c r="AC7" s="10">
        <v>48.8</v>
      </c>
      <c r="AD7" s="2">
        <f t="shared" si="0"/>
        <v>1.259999999999998</v>
      </c>
      <c r="AE7" s="138">
        <f t="shared" si="1"/>
        <v>-2.2044088176352727E-2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49.69</v>
      </c>
      <c r="Y8" s="10">
        <v>50.52</v>
      </c>
      <c r="Z8" s="10">
        <v>49.55</v>
      </c>
      <c r="AA8" s="10">
        <v>49.9</v>
      </c>
      <c r="AB8" s="95">
        <v>2091500</v>
      </c>
      <c r="AC8" s="10">
        <v>49.9</v>
      </c>
      <c r="AD8" s="2">
        <f t="shared" si="0"/>
        <v>0.97000000000000597</v>
      </c>
      <c r="AE8" s="138">
        <f t="shared" si="1"/>
        <v>-1.2009607686149781E-3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49</v>
      </c>
      <c r="Y9" s="10">
        <v>50.34</v>
      </c>
      <c r="Z9" s="10">
        <v>48.79</v>
      </c>
      <c r="AA9" s="10">
        <v>49.96</v>
      </c>
      <c r="AB9" s="95">
        <v>2883100</v>
      </c>
      <c r="AC9" s="10">
        <v>49.96</v>
      </c>
      <c r="AD9" s="2">
        <f t="shared" si="0"/>
        <v>1.5500000000000043</v>
      </c>
      <c r="AE9" s="138">
        <f t="shared" si="1"/>
        <v>2.3980323836851891E-2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224</v>
      </c>
      <c r="P10" s="34"/>
      <c r="Q10" s="2">
        <f>M35</f>
        <v>745.43999999999505</v>
      </c>
      <c r="W10" s="133">
        <v>42594</v>
      </c>
      <c r="X10" s="10">
        <v>48.81</v>
      </c>
      <c r="Y10" s="10">
        <v>49.21</v>
      </c>
      <c r="Z10" s="10">
        <v>48.5</v>
      </c>
      <c r="AA10" s="10">
        <v>48.79</v>
      </c>
      <c r="AB10" s="95">
        <v>2481500</v>
      </c>
      <c r="AC10" s="10">
        <v>48.79</v>
      </c>
      <c r="AD10" s="2">
        <f t="shared" si="0"/>
        <v>0.71000000000000085</v>
      </c>
      <c r="AE10" s="138">
        <f t="shared" si="1"/>
        <v>-6.9204152249136008E-3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42593</v>
      </c>
      <c r="X11" s="10">
        <v>49.22</v>
      </c>
      <c r="Y11" s="10">
        <v>49.84</v>
      </c>
      <c r="Z11" s="10">
        <v>48.48</v>
      </c>
      <c r="AA11" s="10">
        <v>49.13</v>
      </c>
      <c r="AB11" s="95">
        <v>4339600</v>
      </c>
      <c r="AC11" s="10">
        <v>49.13</v>
      </c>
      <c r="AD11" s="2">
        <f t="shared" si="0"/>
        <v>1.3600000000000065</v>
      </c>
      <c r="AE11" s="138">
        <f t="shared" si="1"/>
        <v>8.6224594539110466E-3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42592</v>
      </c>
      <c r="X12" s="10">
        <v>49.59</v>
      </c>
      <c r="Y12" s="10">
        <v>51.14</v>
      </c>
      <c r="Z12" s="10">
        <v>48.45</v>
      </c>
      <c r="AA12" s="10">
        <v>48.71</v>
      </c>
      <c r="AB12" s="95">
        <v>8246700</v>
      </c>
      <c r="AC12" s="10">
        <v>48.71</v>
      </c>
      <c r="AD12" s="2">
        <f t="shared" si="0"/>
        <v>2.6899999999999977</v>
      </c>
      <c r="AE12" s="138">
        <f t="shared" si="1"/>
        <v>-2.7938535222510441E-2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42591</v>
      </c>
      <c r="X13" s="10">
        <v>49.97</v>
      </c>
      <c r="Y13" s="10">
        <v>50.55</v>
      </c>
      <c r="Z13" s="10">
        <v>49.51</v>
      </c>
      <c r="AA13" s="10">
        <v>50.11</v>
      </c>
      <c r="AB13" s="95">
        <v>5645600</v>
      </c>
      <c r="AC13" s="10">
        <v>50.11</v>
      </c>
      <c r="AD13" s="2">
        <f t="shared" si="0"/>
        <v>1.0399999999999991</v>
      </c>
      <c r="AE13" s="138">
        <f t="shared" si="1"/>
        <v>-3.1828128108216669E-3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42590</v>
      </c>
      <c r="X14" s="10">
        <v>50.88</v>
      </c>
      <c r="Y14" s="10">
        <v>51.84</v>
      </c>
      <c r="Z14" s="10">
        <v>50.09</v>
      </c>
      <c r="AA14" s="10">
        <v>50.27</v>
      </c>
      <c r="AB14" s="95">
        <v>4161800</v>
      </c>
      <c r="AC14" s="10">
        <v>50.27</v>
      </c>
      <c r="AD14" s="2">
        <f t="shared" si="0"/>
        <v>1.75</v>
      </c>
      <c r="AE14" s="138">
        <f t="shared" si="1"/>
        <v>-2.777226740725891E-3</v>
      </c>
    </row>
    <row r="15" spans="1:43" x14ac:dyDescent="0.25">
      <c r="W15" s="133">
        <v>42587</v>
      </c>
      <c r="X15" s="10">
        <v>49.89</v>
      </c>
      <c r="Y15" s="10">
        <v>50.73</v>
      </c>
      <c r="Z15" s="10">
        <v>49.81</v>
      </c>
      <c r="AA15" s="10">
        <v>50.41</v>
      </c>
      <c r="AB15" s="95">
        <v>2645000</v>
      </c>
      <c r="AC15" s="10">
        <v>50.41</v>
      </c>
      <c r="AD15" s="2">
        <f t="shared" si="0"/>
        <v>0.9199999999999946</v>
      </c>
      <c r="AE15" s="138">
        <f t="shared" si="1"/>
        <v>1.4898328971209907E-2</v>
      </c>
    </row>
    <row r="16" spans="1:43" x14ac:dyDescent="0.25">
      <c r="W16" s="133">
        <v>42586</v>
      </c>
      <c r="X16" s="10">
        <v>49.26</v>
      </c>
      <c r="Y16" s="10">
        <v>50.66</v>
      </c>
      <c r="Z16" s="10">
        <v>49.26</v>
      </c>
      <c r="AA16" s="10">
        <v>49.67</v>
      </c>
      <c r="AB16" s="95">
        <v>3211100</v>
      </c>
      <c r="AC16" s="10">
        <v>49.67</v>
      </c>
      <c r="AD16" s="2">
        <f t="shared" si="0"/>
        <v>1.3999999999999986</v>
      </c>
      <c r="AE16" s="138">
        <f t="shared" si="1"/>
        <v>1.3259893920848587E-2</v>
      </c>
    </row>
    <row r="17" spans="1:31" x14ac:dyDescent="0.25">
      <c r="B17" s="1"/>
      <c r="C17" s="4"/>
      <c r="W17" s="133">
        <v>42585</v>
      </c>
      <c r="X17" s="10">
        <v>47.64</v>
      </c>
      <c r="Y17" s="10">
        <v>49.29</v>
      </c>
      <c r="Z17" s="10">
        <v>46.5</v>
      </c>
      <c r="AA17" s="10">
        <v>49.02</v>
      </c>
      <c r="AB17" s="95">
        <v>5565000</v>
      </c>
      <c r="AC17" s="10">
        <v>49.02</v>
      </c>
      <c r="AD17" s="2">
        <f t="shared" si="0"/>
        <v>2.7899999999999991</v>
      </c>
      <c r="AE17" s="138">
        <f t="shared" si="1"/>
        <v>-2.5834658187599335E-2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42584</v>
      </c>
      <c r="X18" s="10">
        <v>52.65</v>
      </c>
      <c r="Y18" s="10">
        <v>53.17</v>
      </c>
      <c r="Z18" s="10">
        <v>50.32</v>
      </c>
      <c r="AA18" s="10">
        <v>50.32</v>
      </c>
      <c r="AB18" s="95">
        <v>3304800</v>
      </c>
      <c r="AC18" s="10">
        <v>50.32</v>
      </c>
      <c r="AD18" s="2">
        <f t="shared" si="0"/>
        <v>2.8500000000000014</v>
      </c>
      <c r="AE18" s="138">
        <f t="shared" si="1"/>
        <v>-4.8771266540642677E-2</v>
      </c>
    </row>
    <row r="19" spans="1:31" x14ac:dyDescent="0.25">
      <c r="G19" s="2"/>
      <c r="W19" s="133">
        <v>42583</v>
      </c>
      <c r="X19" s="10">
        <v>51.8</v>
      </c>
      <c r="Y19" s="10">
        <v>53.29</v>
      </c>
      <c r="Z19" s="10">
        <v>51.52</v>
      </c>
      <c r="AA19" s="10">
        <v>52.9</v>
      </c>
      <c r="AB19" s="95">
        <v>3217900</v>
      </c>
      <c r="AC19" s="10">
        <v>52.9</v>
      </c>
      <c r="AD19" s="2">
        <f t="shared" si="0"/>
        <v>1.769999999999996</v>
      </c>
      <c r="AE19" s="138">
        <f t="shared" si="1"/>
        <v>2.2815158546017011E-2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42580</v>
      </c>
      <c r="X20" s="10">
        <v>51.86</v>
      </c>
      <c r="Y20" s="10">
        <v>51.97</v>
      </c>
      <c r="Z20" s="10">
        <v>51.27</v>
      </c>
      <c r="AA20" s="10">
        <v>51.72</v>
      </c>
      <c r="AB20" s="95">
        <v>1628500</v>
      </c>
      <c r="AC20" s="10">
        <v>51.72</v>
      </c>
      <c r="AD20" s="2">
        <f t="shared" si="0"/>
        <v>0.69999999999999574</v>
      </c>
      <c r="AE20" s="138">
        <f t="shared" si="1"/>
        <v>-6.5309258547829874E-3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42579</v>
      </c>
      <c r="X21" s="10">
        <v>52.23</v>
      </c>
      <c r="Y21" s="10">
        <v>52.36</v>
      </c>
      <c r="Z21" s="10">
        <v>51.78</v>
      </c>
      <c r="AA21" s="10">
        <v>52.06</v>
      </c>
      <c r="AB21" s="95">
        <v>1743300</v>
      </c>
      <c r="AC21" s="10">
        <v>52.06</v>
      </c>
      <c r="AD21" s="2">
        <f t="shared" si="0"/>
        <v>0.57999999999999829</v>
      </c>
      <c r="AE21" s="138">
        <f t="shared" si="1"/>
        <v>-5.1595643034587635E-3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42578</v>
      </c>
      <c r="X22" s="10">
        <v>52.16</v>
      </c>
      <c r="Y22" s="10">
        <v>52.85</v>
      </c>
      <c r="Z22" s="10">
        <v>51.93</v>
      </c>
      <c r="AA22" s="10">
        <v>52.33</v>
      </c>
      <c r="AB22" s="95">
        <v>2904900</v>
      </c>
      <c r="AC22" s="10">
        <v>52.33</v>
      </c>
      <c r="AD22" s="2">
        <f t="shared" si="0"/>
        <v>0.92000000000000171</v>
      </c>
      <c r="AE22" s="138">
        <f t="shared" si="1"/>
        <v>3.2592024539876974E-3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42577</v>
      </c>
      <c r="X23" s="10">
        <v>51.68</v>
      </c>
      <c r="Y23" s="10">
        <v>52.97</v>
      </c>
      <c r="Z23" s="10">
        <v>51.56</v>
      </c>
      <c r="AA23" s="10">
        <v>52.16</v>
      </c>
      <c r="AB23" s="95">
        <v>2694100</v>
      </c>
      <c r="AC23" s="10">
        <v>52.16</v>
      </c>
      <c r="AD23" s="2">
        <f t="shared" si="0"/>
        <v>1.4099999999999966</v>
      </c>
      <c r="AE23" s="138">
        <f t="shared" si="1"/>
        <v>9.2879256965943124E-3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42576</v>
      </c>
      <c r="X24" s="10">
        <v>50.95</v>
      </c>
      <c r="Y24" s="10">
        <v>51.88</v>
      </c>
      <c r="Z24" s="10">
        <v>50.64</v>
      </c>
      <c r="AA24" s="10">
        <v>51.68</v>
      </c>
      <c r="AB24" s="95">
        <v>1824000</v>
      </c>
      <c r="AC24" s="10">
        <v>51.68</v>
      </c>
      <c r="AD24" s="2">
        <f t="shared" si="0"/>
        <v>1.240000000000002</v>
      </c>
      <c r="AE24" s="138">
        <f t="shared" si="1"/>
        <v>4.6656298600311619E-3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42573</v>
      </c>
      <c r="X25" s="10">
        <v>51.22</v>
      </c>
      <c r="Y25" s="10">
        <v>51.6</v>
      </c>
      <c r="Z25" s="10">
        <v>50.45</v>
      </c>
      <c r="AA25" s="10">
        <v>51.44</v>
      </c>
      <c r="AB25" s="95">
        <v>1903100</v>
      </c>
      <c r="AC25" s="10">
        <v>51.44</v>
      </c>
      <c r="AD25" s="2">
        <f t="shared" si="0"/>
        <v>1.1499999999999986</v>
      </c>
      <c r="AE25" s="138">
        <f t="shared" si="1"/>
        <v>1.7526777020446804E-3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42572</v>
      </c>
      <c r="X26" s="10">
        <v>51.5</v>
      </c>
      <c r="Y26" s="10">
        <v>52.21</v>
      </c>
      <c r="Z26" s="10">
        <v>51.26</v>
      </c>
      <c r="AA26" s="10">
        <v>51.35</v>
      </c>
      <c r="AB26" s="95">
        <v>2001500</v>
      </c>
      <c r="AC26" s="10">
        <v>51.35</v>
      </c>
      <c r="AD26" s="2">
        <f t="shared" si="0"/>
        <v>0.95000000000000284</v>
      </c>
      <c r="AE26" s="138">
        <f t="shared" si="1"/>
        <v>-4.6520643535569173E-3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42571</v>
      </c>
      <c r="X27" s="10">
        <v>51.16</v>
      </c>
      <c r="Y27" s="10">
        <v>51.67</v>
      </c>
      <c r="Z27" s="10">
        <v>50.89</v>
      </c>
      <c r="AA27" s="10">
        <v>51.59</v>
      </c>
      <c r="AB27" s="95">
        <v>1470300</v>
      </c>
      <c r="AC27" s="10">
        <v>51.59</v>
      </c>
      <c r="AD27" s="2">
        <f t="shared" si="0"/>
        <v>0.78000000000000114</v>
      </c>
      <c r="AE27" s="138">
        <f t="shared" si="1"/>
        <v>7.8140261769878983E-3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42570</v>
      </c>
      <c r="X28" s="10">
        <v>51.6</v>
      </c>
      <c r="Y28" s="10">
        <v>51.96</v>
      </c>
      <c r="Z28" s="10">
        <v>50.72</v>
      </c>
      <c r="AA28" s="10">
        <v>51.19</v>
      </c>
      <c r="AB28" s="95">
        <v>2120900</v>
      </c>
      <c r="AC28" s="10">
        <v>51.19</v>
      </c>
      <c r="AD28" s="2">
        <f t="shared" si="0"/>
        <v>1.240000000000002</v>
      </c>
      <c r="AE28" s="138">
        <f t="shared" si="1"/>
        <v>-1.5576923076923155E-2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42569</v>
      </c>
      <c r="X29" s="10">
        <v>51.64</v>
      </c>
      <c r="Y29" s="10">
        <v>52.7</v>
      </c>
      <c r="Z29" s="10">
        <v>51.48</v>
      </c>
      <c r="AA29" s="10">
        <v>52</v>
      </c>
      <c r="AB29" s="95">
        <v>1678100</v>
      </c>
      <c r="AC29" s="10">
        <v>52</v>
      </c>
      <c r="AD29" s="2">
        <f t="shared" si="0"/>
        <v>1.220000000000006</v>
      </c>
      <c r="AE29" s="138">
        <f t="shared" si="1"/>
        <v>6.9713400464754827E-3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42566</v>
      </c>
      <c r="X30" s="10">
        <v>51.84</v>
      </c>
      <c r="Y30" s="10">
        <v>51.85</v>
      </c>
      <c r="Z30" s="10">
        <v>51.37</v>
      </c>
      <c r="AA30" s="10">
        <v>51.64</v>
      </c>
      <c r="AB30" s="95">
        <v>1226800</v>
      </c>
      <c r="AC30" s="10">
        <v>51.64</v>
      </c>
      <c r="AD30" s="2">
        <f t="shared" si="0"/>
        <v>0.48000000000000398</v>
      </c>
      <c r="AE30" s="138">
        <f t="shared" si="1"/>
        <v>1.3573783207290191E-3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42565</v>
      </c>
      <c r="X31" s="10">
        <v>51.91</v>
      </c>
      <c r="Y31" s="10">
        <v>51.98</v>
      </c>
      <c r="Z31" s="10">
        <v>51.49</v>
      </c>
      <c r="AA31" s="10">
        <v>51.57</v>
      </c>
      <c r="AB31" s="95">
        <v>1748200</v>
      </c>
      <c r="AC31" s="10">
        <v>51.57</v>
      </c>
      <c r="AD31" s="2">
        <f t="shared" si="0"/>
        <v>0.48999999999999488</v>
      </c>
      <c r="AE31" s="138">
        <f t="shared" si="1"/>
        <v>-2.9002320185614883E-3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42564</v>
      </c>
      <c r="X32" s="10">
        <v>51.84</v>
      </c>
      <c r="Y32" s="10">
        <v>52</v>
      </c>
      <c r="Z32" s="10">
        <v>51.35</v>
      </c>
      <c r="AA32" s="10">
        <v>51.72</v>
      </c>
      <c r="AB32" s="95">
        <v>1631300</v>
      </c>
      <c r="AC32" s="10">
        <v>51.72</v>
      </c>
      <c r="AD32" s="2">
        <f t="shared" si="0"/>
        <v>0.64999999999999858</v>
      </c>
      <c r="AE32" s="138">
        <f t="shared" si="1"/>
        <v>-3.6601810826429881E-3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42563</v>
      </c>
      <c r="X33" s="10">
        <v>51.54</v>
      </c>
      <c r="Y33" s="10">
        <v>52.11</v>
      </c>
      <c r="Z33" s="10">
        <v>51.41</v>
      </c>
      <c r="AA33" s="10">
        <v>51.91</v>
      </c>
      <c r="AB33" s="95">
        <v>2286900</v>
      </c>
      <c r="AC33" s="10">
        <v>51.91</v>
      </c>
      <c r="AD33" s="2">
        <f t="shared" si="0"/>
        <v>0.70000000000000284</v>
      </c>
      <c r="AE33" s="138">
        <f t="shared" si="1"/>
        <v>1.5851272015655393E-2</v>
      </c>
    </row>
    <row r="34" spans="1:31" x14ac:dyDescent="0.25">
      <c r="W34" s="133">
        <v>42562</v>
      </c>
      <c r="X34" s="10">
        <v>50.4</v>
      </c>
      <c r="Y34" s="10">
        <v>51.63</v>
      </c>
      <c r="Z34" s="10">
        <v>50.27</v>
      </c>
      <c r="AA34" s="10">
        <v>51.1</v>
      </c>
      <c r="AB34" s="95">
        <v>2990800</v>
      </c>
      <c r="AC34" s="10">
        <v>51.1</v>
      </c>
      <c r="AD34" s="2">
        <f t="shared" si="0"/>
        <v>1.3599999999999994</v>
      </c>
      <c r="AE34" s="138">
        <f t="shared" si="1"/>
        <v>1.7320326498108773E-2</v>
      </c>
    </row>
    <row r="35" spans="1:31" x14ac:dyDescent="0.25">
      <c r="L35" t="s">
        <v>224</v>
      </c>
      <c r="M35" s="2">
        <f>M51+K51-F51</f>
        <v>745.43999999999505</v>
      </c>
      <c r="W35" s="133">
        <v>42559</v>
      </c>
      <c r="X35" s="10">
        <v>49.69</v>
      </c>
      <c r="Y35" s="10">
        <v>50.33</v>
      </c>
      <c r="Z35" s="10">
        <v>49.48</v>
      </c>
      <c r="AA35" s="10">
        <v>50.23</v>
      </c>
      <c r="AB35" s="95">
        <v>2876800</v>
      </c>
      <c r="AC35" s="10">
        <v>50.23</v>
      </c>
      <c r="AD35" s="2">
        <f t="shared" si="0"/>
        <v>0.85000000000000142</v>
      </c>
      <c r="AE35" s="138">
        <f t="shared" si="1"/>
        <v>2.4057084607543411E-2</v>
      </c>
    </row>
    <row r="36" spans="1:31" x14ac:dyDescent="0.25">
      <c r="A36" s="391" t="s">
        <v>1</v>
      </c>
      <c r="B36" s="391" t="s">
        <v>2</v>
      </c>
      <c r="C36" s="391" t="s">
        <v>4</v>
      </c>
      <c r="D36" s="393" t="s">
        <v>5</v>
      </c>
      <c r="E36" s="393" t="s">
        <v>94</v>
      </c>
      <c r="F36" s="393" t="s">
        <v>60</v>
      </c>
      <c r="G36" s="391" t="s">
        <v>3</v>
      </c>
      <c r="H36" s="391" t="s">
        <v>6</v>
      </c>
      <c r="I36" s="393" t="s">
        <v>7</v>
      </c>
      <c r="J36" s="393" t="s">
        <v>95</v>
      </c>
      <c r="K36" s="393" t="s">
        <v>61</v>
      </c>
      <c r="L36" s="391" t="s">
        <v>77</v>
      </c>
      <c r="M36" s="391" t="s">
        <v>38</v>
      </c>
      <c r="W36" s="133">
        <v>42558</v>
      </c>
      <c r="X36" s="10">
        <v>48.58</v>
      </c>
      <c r="Y36" s="10">
        <v>49.84</v>
      </c>
      <c r="Z36" s="10">
        <v>48.48</v>
      </c>
      <c r="AA36" s="10">
        <v>49.05</v>
      </c>
      <c r="AB36" s="95">
        <v>3622300</v>
      </c>
      <c r="AC36" s="10">
        <v>49.05</v>
      </c>
      <c r="AD36" s="2">
        <f t="shared" si="0"/>
        <v>1.3600000000000065</v>
      </c>
      <c r="AE36" s="138">
        <f t="shared" si="1"/>
        <v>1.0506798516687121E-2</v>
      </c>
    </row>
    <row r="37" spans="1:31" x14ac:dyDescent="0.25">
      <c r="A37" s="394" t="s">
        <v>24</v>
      </c>
      <c r="B37" s="384">
        <v>42156</v>
      </c>
      <c r="C37" s="385">
        <v>5</v>
      </c>
      <c r="D37" s="386">
        <v>48.55</v>
      </c>
      <c r="E37" s="386">
        <v>0</v>
      </c>
      <c r="F37" s="386">
        <f>C37*D37</f>
        <v>242.75</v>
      </c>
      <c r="G37" s="384">
        <v>42186</v>
      </c>
      <c r="H37" s="385">
        <v>100</v>
      </c>
      <c r="I37" s="386">
        <v>44.99</v>
      </c>
      <c r="J37" s="386">
        <v>0.08</v>
      </c>
      <c r="K37" s="386">
        <f>H37*I37-J37</f>
        <v>4498.92</v>
      </c>
      <c r="L37" s="385" t="s">
        <v>80</v>
      </c>
      <c r="M37" s="385"/>
      <c r="W37" s="133">
        <v>42557</v>
      </c>
      <c r="X37" s="10">
        <v>49</v>
      </c>
      <c r="Y37" s="10">
        <v>49.02</v>
      </c>
      <c r="Z37" s="10">
        <v>48</v>
      </c>
      <c r="AA37" s="10">
        <v>48.54</v>
      </c>
      <c r="AB37" s="95">
        <v>4745700</v>
      </c>
      <c r="AC37" s="10">
        <v>48.54</v>
      </c>
      <c r="AD37" s="2">
        <f t="shared" si="0"/>
        <v>1.0200000000000031</v>
      </c>
      <c r="AE37" s="138">
        <f t="shared" si="1"/>
        <v>-1.2611879576891694E-2</v>
      </c>
    </row>
    <row r="38" spans="1:31" x14ac:dyDescent="0.25">
      <c r="A38" s="395" t="s">
        <v>71</v>
      </c>
      <c r="B38" s="384">
        <v>42156</v>
      </c>
      <c r="C38" s="385">
        <v>5</v>
      </c>
      <c r="D38" s="386">
        <v>47.01</v>
      </c>
      <c r="E38" s="386">
        <v>0</v>
      </c>
      <c r="F38" s="386">
        <f t="shared" ref="F38:F49" si="5">C38*D38</f>
        <v>235.04999999999998</v>
      </c>
      <c r="G38" s="384">
        <v>42227</v>
      </c>
      <c r="H38" s="385">
        <v>100</v>
      </c>
      <c r="I38" s="386">
        <v>43</v>
      </c>
      <c r="J38" s="386">
        <v>0.08</v>
      </c>
      <c r="K38" s="386">
        <f>H38*I38-J38</f>
        <v>4299.92</v>
      </c>
      <c r="L38" s="385"/>
      <c r="M38" s="385"/>
      <c r="W38" s="133">
        <v>42556</v>
      </c>
      <c r="X38" s="10">
        <v>49.66</v>
      </c>
      <c r="Y38" s="10">
        <v>49.84</v>
      </c>
      <c r="Z38" s="10">
        <v>48.63</v>
      </c>
      <c r="AA38" s="10">
        <v>49.16</v>
      </c>
      <c r="AB38" s="95">
        <v>2755500</v>
      </c>
      <c r="AC38" s="10">
        <v>49.16</v>
      </c>
      <c r="AD38" s="2">
        <f t="shared" si="0"/>
        <v>1.2100000000000009</v>
      </c>
      <c r="AE38" s="138">
        <f t="shared" si="1"/>
        <v>-1.8370607028754038E-2</v>
      </c>
    </row>
    <row r="39" spans="1:31" x14ac:dyDescent="0.25">
      <c r="A39" s="385"/>
      <c r="B39" s="384">
        <v>42156</v>
      </c>
      <c r="C39" s="385">
        <v>10</v>
      </c>
      <c r="D39" s="386">
        <v>46.5</v>
      </c>
      <c r="E39" s="386">
        <v>0</v>
      </c>
      <c r="F39" s="386">
        <f t="shared" si="5"/>
        <v>465</v>
      </c>
      <c r="G39" s="384">
        <v>42312</v>
      </c>
      <c r="H39" s="389">
        <v>40</v>
      </c>
      <c r="I39" s="386">
        <v>42.5</v>
      </c>
      <c r="J39" s="386">
        <v>0.03</v>
      </c>
      <c r="K39" s="386">
        <f>H39*I39-J39</f>
        <v>1699.97</v>
      </c>
      <c r="L39" s="385"/>
      <c r="M39" s="385"/>
      <c r="W39" s="133">
        <v>42552</v>
      </c>
      <c r="X39" s="10">
        <v>49.53</v>
      </c>
      <c r="Y39" s="10">
        <v>50.26</v>
      </c>
      <c r="Z39" s="10">
        <v>49.16</v>
      </c>
      <c r="AA39" s="10">
        <v>50.08</v>
      </c>
      <c r="AB39" s="95">
        <v>1870100</v>
      </c>
      <c r="AC39" s="10">
        <v>50.08</v>
      </c>
      <c r="AD39" s="2">
        <f t="shared" si="0"/>
        <v>1.1000000000000014</v>
      </c>
      <c r="AE39" s="138">
        <f t="shared" si="1"/>
        <v>1.2126111560226471E-2</v>
      </c>
    </row>
    <row r="40" spans="1:31" x14ac:dyDescent="0.25">
      <c r="A40" s="385"/>
      <c r="B40" s="384">
        <v>42156</v>
      </c>
      <c r="C40" s="385">
        <v>50</v>
      </c>
      <c r="D40" s="386">
        <v>45.95</v>
      </c>
      <c r="E40" s="386">
        <v>0</v>
      </c>
      <c r="F40" s="386">
        <f t="shared" si="5"/>
        <v>2297.5</v>
      </c>
      <c r="G40" s="384">
        <v>42318</v>
      </c>
      <c r="H40" s="389">
        <v>14</v>
      </c>
      <c r="I40" s="386">
        <v>43.5</v>
      </c>
      <c r="J40" s="386">
        <v>0.01</v>
      </c>
      <c r="K40" s="386">
        <f t="shared" ref="K40:K47" si="6">H40*I40-J40</f>
        <v>608.99</v>
      </c>
      <c r="L40" s="385"/>
      <c r="M40" s="385"/>
      <c r="W40" s="133">
        <v>42551</v>
      </c>
      <c r="X40" s="10">
        <v>48.47</v>
      </c>
      <c r="Y40" s="10">
        <v>49.48</v>
      </c>
      <c r="Z40" s="10">
        <v>48.02</v>
      </c>
      <c r="AA40" s="10">
        <v>49.48</v>
      </c>
      <c r="AB40" s="95">
        <v>2675100</v>
      </c>
      <c r="AC40" s="10">
        <v>49.48</v>
      </c>
      <c r="AD40" s="2">
        <f t="shared" si="0"/>
        <v>1.4599999999999937</v>
      </c>
      <c r="AE40" s="138">
        <f t="shared" si="1"/>
        <v>2.1891780256092508E-2</v>
      </c>
    </row>
    <row r="41" spans="1:31" x14ac:dyDescent="0.25">
      <c r="A41" s="385"/>
      <c r="B41" s="384">
        <v>42156</v>
      </c>
      <c r="C41" s="385">
        <v>30</v>
      </c>
      <c r="D41" s="386">
        <v>45.95</v>
      </c>
      <c r="E41" s="386">
        <v>0</v>
      </c>
      <c r="F41" s="386">
        <f t="shared" si="5"/>
        <v>1378.5</v>
      </c>
      <c r="G41" s="384">
        <v>42318</v>
      </c>
      <c r="H41" s="389">
        <v>26</v>
      </c>
      <c r="I41" s="386">
        <v>43.78</v>
      </c>
      <c r="J41" s="386">
        <v>0.02</v>
      </c>
      <c r="K41" s="386">
        <f t="shared" si="6"/>
        <v>1138.26</v>
      </c>
      <c r="L41" s="385"/>
      <c r="M41" s="385"/>
      <c r="W41" s="133">
        <v>42550</v>
      </c>
      <c r="X41" s="10">
        <v>48.01</v>
      </c>
      <c r="Y41" s="10">
        <v>48.9</v>
      </c>
      <c r="Z41" s="10">
        <v>47.78</v>
      </c>
      <c r="AA41" s="10">
        <v>48.42</v>
      </c>
      <c r="AB41" s="95">
        <v>2968600</v>
      </c>
      <c r="AC41" s="10">
        <v>48.42</v>
      </c>
      <c r="AD41" s="2">
        <f t="shared" si="0"/>
        <v>1.1199999999999974</v>
      </c>
      <c r="AE41" s="138">
        <f t="shared" si="1"/>
        <v>2.0657672849915709E-2</v>
      </c>
    </row>
    <row r="42" spans="1:31" ht="20.25" thickBot="1" x14ac:dyDescent="0.35">
      <c r="A42" s="385"/>
      <c r="B42" s="384">
        <v>42186</v>
      </c>
      <c r="C42" s="385">
        <v>100</v>
      </c>
      <c r="D42" s="386">
        <v>44.9</v>
      </c>
      <c r="E42" s="386">
        <v>0</v>
      </c>
      <c r="F42" s="386">
        <f t="shared" si="5"/>
        <v>4490</v>
      </c>
      <c r="G42" s="384">
        <v>42320</v>
      </c>
      <c r="H42" s="389">
        <v>10</v>
      </c>
      <c r="I42" s="386">
        <v>43.9</v>
      </c>
      <c r="J42" s="386">
        <v>0.01</v>
      </c>
      <c r="K42" s="386">
        <f t="shared" si="6"/>
        <v>438.99</v>
      </c>
      <c r="L42" s="385"/>
      <c r="M42" s="385"/>
      <c r="O42" s="160" t="s">
        <v>78</v>
      </c>
      <c r="P42" s="160"/>
      <c r="T42" s="91" t="s">
        <v>113</v>
      </c>
      <c r="W42" s="133">
        <v>42549</v>
      </c>
      <c r="X42" s="10">
        <v>46.8</v>
      </c>
      <c r="Y42" s="10">
        <v>47.57</v>
      </c>
      <c r="Z42" s="10">
        <v>46.77</v>
      </c>
      <c r="AA42" s="10">
        <v>47.44</v>
      </c>
      <c r="AB42" s="95">
        <v>2575200</v>
      </c>
      <c r="AC42" s="10">
        <v>47.44</v>
      </c>
      <c r="AD42" s="2">
        <f t="shared" si="0"/>
        <v>0.79999999999999716</v>
      </c>
      <c r="AE42" s="138">
        <f t="shared" si="1"/>
        <v>2.7062134661182125E-2</v>
      </c>
    </row>
    <row r="43" spans="1:31" ht="15.75" thickTop="1" x14ac:dyDescent="0.25">
      <c r="A43" s="385"/>
      <c r="B43" s="384">
        <v>42206</v>
      </c>
      <c r="C43" s="385">
        <v>20</v>
      </c>
      <c r="D43" s="386">
        <v>41.2</v>
      </c>
      <c r="E43" s="386">
        <v>0</v>
      </c>
      <c r="F43" s="386">
        <f t="shared" si="5"/>
        <v>824</v>
      </c>
      <c r="G43" s="384">
        <v>42333</v>
      </c>
      <c r="H43" s="389">
        <v>50</v>
      </c>
      <c r="I43" s="386">
        <v>41.67</v>
      </c>
      <c r="J43" s="386">
        <v>0.04</v>
      </c>
      <c r="K43" s="386">
        <f t="shared" si="6"/>
        <v>2083.46</v>
      </c>
      <c r="L43" s="385"/>
      <c r="M43" s="385"/>
      <c r="O43" s="83">
        <v>1.1000000000000001</v>
      </c>
      <c r="P43" s="83">
        <f>O43*$Q$4</f>
        <v>55.374000000000009</v>
      </c>
      <c r="T43" s="128" t="s">
        <v>98</v>
      </c>
      <c r="U43" s="98">
        <v>50.78</v>
      </c>
      <c r="W43" s="133">
        <v>42548</v>
      </c>
      <c r="X43" s="10">
        <v>47.14</v>
      </c>
      <c r="Y43" s="10">
        <v>47.19</v>
      </c>
      <c r="Z43" s="10">
        <v>45.26</v>
      </c>
      <c r="AA43" s="10">
        <v>46.19</v>
      </c>
      <c r="AB43" s="95">
        <v>3293400</v>
      </c>
      <c r="AC43" s="10">
        <v>46.19</v>
      </c>
      <c r="AD43" s="2">
        <f t="shared" si="0"/>
        <v>1.9299999999999997</v>
      </c>
      <c r="AE43" s="138">
        <f t="shared" si="1"/>
        <v>-2.9825666876706625E-2</v>
      </c>
    </row>
    <row r="44" spans="1:31" x14ac:dyDescent="0.25">
      <c r="A44" s="385"/>
      <c r="B44" s="384">
        <v>42207</v>
      </c>
      <c r="C44" s="385">
        <v>20</v>
      </c>
      <c r="D44" s="386">
        <v>40.68</v>
      </c>
      <c r="E44" s="386">
        <v>0</v>
      </c>
      <c r="F44" s="386">
        <f t="shared" si="5"/>
        <v>813.6</v>
      </c>
      <c r="G44" s="384">
        <v>42335</v>
      </c>
      <c r="H44" s="389">
        <v>50</v>
      </c>
      <c r="I44" s="386">
        <v>41.85</v>
      </c>
      <c r="J44" s="386">
        <v>0.04</v>
      </c>
      <c r="K44" s="386">
        <f t="shared" si="6"/>
        <v>2092.46</v>
      </c>
      <c r="L44" s="385"/>
      <c r="M44" s="385"/>
      <c r="O44" s="83">
        <v>1.0900000000000001</v>
      </c>
      <c r="P44" s="83">
        <f t="shared" ref="P44:P63" si="7">O44*$Q$4</f>
        <v>54.87060000000001</v>
      </c>
      <c r="T44" s="93" t="s">
        <v>99</v>
      </c>
      <c r="U44" s="88">
        <v>50.66</v>
      </c>
      <c r="W44" s="133">
        <v>42545</v>
      </c>
      <c r="X44" s="10">
        <v>48.4</v>
      </c>
      <c r="Y44" s="10">
        <v>49.2</v>
      </c>
      <c r="Z44" s="10">
        <v>47.5</v>
      </c>
      <c r="AA44" s="10">
        <v>47.61</v>
      </c>
      <c r="AB44" s="95">
        <v>5684500</v>
      </c>
      <c r="AC44" s="10">
        <v>47.61</v>
      </c>
      <c r="AD44" s="2">
        <f t="shared" si="0"/>
        <v>1.7000000000000028</v>
      </c>
      <c r="AE44" s="138">
        <f t="shared" si="1"/>
        <v>-6.3164108618654069E-2</v>
      </c>
    </row>
    <row r="45" spans="1:31" x14ac:dyDescent="0.25">
      <c r="A45" s="385"/>
      <c r="B45" s="384">
        <v>42292</v>
      </c>
      <c r="C45" s="385">
        <v>40</v>
      </c>
      <c r="D45" s="386">
        <v>41.65</v>
      </c>
      <c r="E45" s="386">
        <v>0</v>
      </c>
      <c r="F45" s="386">
        <f t="shared" si="5"/>
        <v>1666</v>
      </c>
      <c r="G45" s="384">
        <v>42335</v>
      </c>
      <c r="H45" s="389">
        <v>50</v>
      </c>
      <c r="I45" s="386">
        <v>42.4</v>
      </c>
      <c r="J45" s="386">
        <v>0.04</v>
      </c>
      <c r="K45" s="386">
        <f t="shared" si="6"/>
        <v>2119.96</v>
      </c>
      <c r="L45" s="385"/>
      <c r="M45" s="385"/>
      <c r="O45" s="83">
        <v>1.08</v>
      </c>
      <c r="P45" s="83">
        <f t="shared" si="7"/>
        <v>54.367200000000004</v>
      </c>
      <c r="R45" s="34"/>
      <c r="T45" s="93" t="s">
        <v>100</v>
      </c>
      <c r="U45" s="88" t="s">
        <v>470</v>
      </c>
      <c r="W45" s="133">
        <v>42544</v>
      </c>
      <c r="X45" s="10">
        <v>51.37</v>
      </c>
      <c r="Y45" s="10">
        <v>51.58</v>
      </c>
      <c r="Z45" s="10">
        <v>50.58</v>
      </c>
      <c r="AA45" s="10">
        <v>50.82</v>
      </c>
      <c r="AB45" s="95">
        <v>3150500</v>
      </c>
      <c r="AC45" s="10">
        <v>50.82</v>
      </c>
      <c r="AD45" s="2">
        <f t="shared" si="0"/>
        <v>1</v>
      </c>
      <c r="AE45" s="138">
        <f t="shared" si="1"/>
        <v>3.9370078740152969E-4</v>
      </c>
    </row>
    <row r="46" spans="1:31" x14ac:dyDescent="0.25">
      <c r="A46" s="385"/>
      <c r="B46" s="384">
        <v>42298</v>
      </c>
      <c r="C46" s="385">
        <v>80</v>
      </c>
      <c r="D46" s="386">
        <v>40.450000000000003</v>
      </c>
      <c r="E46" s="386">
        <v>0</v>
      </c>
      <c r="F46" s="386">
        <f t="shared" si="5"/>
        <v>3236</v>
      </c>
      <c r="G46" s="384">
        <v>42398</v>
      </c>
      <c r="H46" s="389">
        <v>50</v>
      </c>
      <c r="I46" s="386">
        <v>39.65</v>
      </c>
      <c r="J46" s="386">
        <v>0.04</v>
      </c>
      <c r="K46" s="386">
        <f t="shared" si="6"/>
        <v>1982.46</v>
      </c>
      <c r="L46" s="385"/>
      <c r="M46" s="385"/>
      <c r="O46" s="83">
        <v>1.07</v>
      </c>
      <c r="P46" s="83">
        <f t="shared" si="7"/>
        <v>53.863800000000005</v>
      </c>
      <c r="Q46" s="34"/>
      <c r="R46" s="34"/>
      <c r="T46" s="93" t="s">
        <v>101</v>
      </c>
      <c r="U46" s="88" t="s">
        <v>471</v>
      </c>
      <c r="W46" s="133">
        <v>42543</v>
      </c>
      <c r="X46" s="10">
        <v>50.4</v>
      </c>
      <c r="Y46" s="10">
        <v>51.49</v>
      </c>
      <c r="Z46" s="10">
        <v>50.31</v>
      </c>
      <c r="AA46" s="10">
        <v>50.8</v>
      </c>
      <c r="AB46" s="95">
        <v>3417300</v>
      </c>
      <c r="AC46" s="10">
        <v>50.8</v>
      </c>
      <c r="AD46" s="2">
        <f t="shared" si="0"/>
        <v>1.1799999999999997</v>
      </c>
      <c r="AE46" s="138">
        <f t="shared" si="1"/>
        <v>2.7635215159889093E-3</v>
      </c>
    </row>
    <row r="47" spans="1:31" x14ac:dyDescent="0.25">
      <c r="A47" s="385"/>
      <c r="B47" s="384">
        <v>42298</v>
      </c>
      <c r="C47" s="385">
        <v>80</v>
      </c>
      <c r="D47" s="386">
        <v>39.9</v>
      </c>
      <c r="E47" s="386">
        <v>0</v>
      </c>
      <c r="F47" s="386">
        <f t="shared" si="5"/>
        <v>3192</v>
      </c>
      <c r="G47" s="384">
        <v>42408</v>
      </c>
      <c r="H47" s="389">
        <v>50</v>
      </c>
      <c r="I47" s="386">
        <v>51.5</v>
      </c>
      <c r="J47" s="386">
        <v>0.05</v>
      </c>
      <c r="K47" s="386">
        <f t="shared" si="6"/>
        <v>2574.9499999999998</v>
      </c>
      <c r="L47" s="385"/>
      <c r="M47" s="385"/>
      <c r="O47" s="83">
        <v>1.06</v>
      </c>
      <c r="P47" s="83">
        <f t="shared" si="7"/>
        <v>53.360400000000006</v>
      </c>
      <c r="Q47" s="34"/>
      <c r="R47" s="34"/>
      <c r="T47" s="93" t="s">
        <v>102</v>
      </c>
      <c r="U47" s="88">
        <v>55.55</v>
      </c>
      <c r="W47" s="133">
        <v>42542</v>
      </c>
      <c r="X47" s="10">
        <v>50.33</v>
      </c>
      <c r="Y47" s="10">
        <v>50.74</v>
      </c>
      <c r="Z47" s="10">
        <v>49.89</v>
      </c>
      <c r="AA47" s="10">
        <v>50.66</v>
      </c>
      <c r="AB47" s="95">
        <v>2973100</v>
      </c>
      <c r="AC47" s="10">
        <v>50.66</v>
      </c>
      <c r="AD47" s="2">
        <f t="shared" si="0"/>
        <v>0.85000000000000142</v>
      </c>
      <c r="AE47" s="138">
        <f t="shared" si="1"/>
        <v>1.2390087929656124E-2</v>
      </c>
    </row>
    <row r="48" spans="1:31" x14ac:dyDescent="0.25">
      <c r="A48" s="385"/>
      <c r="B48" s="384">
        <v>42333</v>
      </c>
      <c r="C48" s="385">
        <v>50</v>
      </c>
      <c r="D48" s="386">
        <v>41.2</v>
      </c>
      <c r="E48" s="386">
        <v>0</v>
      </c>
      <c r="F48" s="386">
        <f t="shared" si="5"/>
        <v>2060</v>
      </c>
      <c r="G48" s="385"/>
      <c r="H48" s="385"/>
      <c r="I48" s="386"/>
      <c r="J48" s="386"/>
      <c r="K48" s="386"/>
      <c r="L48" s="385"/>
      <c r="M48" s="385"/>
      <c r="O48" s="83">
        <v>1.05</v>
      </c>
      <c r="P48" s="83">
        <f t="shared" si="7"/>
        <v>52.857000000000006</v>
      </c>
      <c r="Q48" s="34"/>
      <c r="R48" s="34"/>
      <c r="T48" s="93" t="s">
        <v>103</v>
      </c>
      <c r="U48" s="88">
        <v>7.9588000000000006E-2</v>
      </c>
      <c r="W48" s="133">
        <v>42541</v>
      </c>
      <c r="X48" s="10">
        <v>50.89</v>
      </c>
      <c r="Y48" s="10">
        <v>51.08</v>
      </c>
      <c r="Z48" s="10">
        <v>50.01</v>
      </c>
      <c r="AA48" s="10">
        <v>50.04</v>
      </c>
      <c r="AB48" s="95">
        <v>2350100</v>
      </c>
      <c r="AC48" s="10">
        <v>50.04</v>
      </c>
      <c r="AD48" s="2">
        <f t="shared" si="0"/>
        <v>1.0700000000000003</v>
      </c>
      <c r="AE48" s="138">
        <f t="shared" si="1"/>
        <v>1.4008405043026695E-3</v>
      </c>
    </row>
    <row r="49" spans="1:31" x14ac:dyDescent="0.25">
      <c r="A49" s="385"/>
      <c r="B49" s="384">
        <v>42377</v>
      </c>
      <c r="C49" s="385">
        <v>50</v>
      </c>
      <c r="D49" s="386">
        <v>37.85</v>
      </c>
      <c r="E49" s="386">
        <v>0</v>
      </c>
      <c r="F49" s="386">
        <f t="shared" si="5"/>
        <v>1892.5</v>
      </c>
      <c r="G49" s="385"/>
      <c r="H49" s="385"/>
      <c r="I49" s="386"/>
      <c r="J49" s="386"/>
      <c r="K49" s="386"/>
      <c r="L49" s="385"/>
      <c r="M49" s="385"/>
      <c r="O49" s="83">
        <v>1.04</v>
      </c>
      <c r="P49" s="83">
        <f t="shared" si="7"/>
        <v>52.353600000000007</v>
      </c>
      <c r="Q49" s="34"/>
      <c r="R49" s="34"/>
      <c r="T49" s="93" t="s">
        <v>123</v>
      </c>
      <c r="U49" s="88" t="s">
        <v>344</v>
      </c>
      <c r="W49" s="133">
        <v>42538</v>
      </c>
      <c r="X49" s="10">
        <v>49.1</v>
      </c>
      <c r="Y49" s="10">
        <v>50.09</v>
      </c>
      <c r="Z49" s="10">
        <v>48.85</v>
      </c>
      <c r="AA49" s="10">
        <v>49.97</v>
      </c>
      <c r="AB49" s="95">
        <v>2793100</v>
      </c>
      <c r="AC49" s="10">
        <v>49.97</v>
      </c>
      <c r="AD49" s="2">
        <f t="shared" si="0"/>
        <v>1.240000000000002</v>
      </c>
      <c r="AE49" s="138">
        <f t="shared" si="1"/>
        <v>1.7926257893664532E-2</v>
      </c>
    </row>
    <row r="50" spans="1:31" x14ac:dyDescent="0.25">
      <c r="A50" s="385"/>
      <c r="B50" s="384"/>
      <c r="C50" s="385"/>
      <c r="D50" s="386"/>
      <c r="E50" s="386"/>
      <c r="F50" s="386"/>
      <c r="G50" s="385"/>
      <c r="H50" s="385"/>
      <c r="I50" s="386"/>
      <c r="J50" s="386"/>
      <c r="K50" s="386"/>
      <c r="L50" s="385"/>
      <c r="M50" s="385"/>
      <c r="O50" s="83">
        <v>1.03</v>
      </c>
      <c r="P50" s="83">
        <f t="shared" si="7"/>
        <v>51.850200000000008</v>
      </c>
      <c r="Q50" s="83"/>
      <c r="R50" s="34"/>
      <c r="T50" s="93"/>
      <c r="U50" s="88"/>
      <c r="W50" s="133">
        <v>42537</v>
      </c>
      <c r="X50" s="10">
        <v>49.63</v>
      </c>
      <c r="Y50" s="10">
        <v>49.94</v>
      </c>
      <c r="Z50" s="10">
        <v>48.85</v>
      </c>
      <c r="AA50" s="10">
        <v>49.09</v>
      </c>
      <c r="AB50" s="95">
        <v>2786800</v>
      </c>
      <c r="AC50" s="10">
        <v>49.09</v>
      </c>
      <c r="AD50" s="2">
        <f t="shared" si="0"/>
        <v>1.0899999999999963</v>
      </c>
      <c r="AE50" s="138">
        <f t="shared" si="1"/>
        <v>-1.5838011226944615E-2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51.346800000000002</v>
      </c>
      <c r="Q51" s="83"/>
      <c r="R51" s="34"/>
      <c r="T51" s="93" t="s">
        <v>105</v>
      </c>
      <c r="U51" s="88" t="s">
        <v>472</v>
      </c>
      <c r="W51" s="133">
        <v>42536</v>
      </c>
      <c r="X51" s="10">
        <v>49.73</v>
      </c>
      <c r="Y51" s="10">
        <v>50.92</v>
      </c>
      <c r="Z51" s="10">
        <v>49.69</v>
      </c>
      <c r="AA51" s="10">
        <v>49.88</v>
      </c>
      <c r="AB51" s="95">
        <v>2861800</v>
      </c>
      <c r="AC51" s="10">
        <v>49.88</v>
      </c>
      <c r="AD51" s="2">
        <f t="shared" si="0"/>
        <v>1.230000000000004</v>
      </c>
      <c r="AE51" s="138">
        <f t="shared" si="1"/>
        <v>9.3079724807769715E-3</v>
      </c>
    </row>
    <row r="52" spans="1:31" x14ac:dyDescent="0.25">
      <c r="A52" s="385"/>
      <c r="B52" s="385"/>
      <c r="C52" s="385"/>
      <c r="D52" s="386"/>
      <c r="E52" s="386"/>
      <c r="F52" s="386"/>
      <c r="G52" s="386"/>
      <c r="H52" s="385"/>
      <c r="I52" s="386"/>
      <c r="J52" s="386"/>
      <c r="K52" s="386"/>
      <c r="L52" s="385"/>
      <c r="M52" s="385"/>
      <c r="O52" s="83">
        <v>1.01</v>
      </c>
      <c r="P52" s="83">
        <f t="shared" si="7"/>
        <v>50.843400000000003</v>
      </c>
      <c r="Q52" s="83"/>
      <c r="R52" s="34"/>
      <c r="T52" s="93" t="s">
        <v>106</v>
      </c>
      <c r="U52" s="88" t="s">
        <v>238</v>
      </c>
      <c r="W52" s="133">
        <v>42535</v>
      </c>
      <c r="X52" s="10">
        <v>49.28</v>
      </c>
      <c r="Y52" s="10">
        <v>49.97</v>
      </c>
      <c r="Z52" s="10">
        <v>48.77</v>
      </c>
      <c r="AA52" s="10">
        <v>49.42</v>
      </c>
      <c r="AB52" s="95">
        <v>3996000</v>
      </c>
      <c r="AC52" s="10">
        <v>49.42</v>
      </c>
      <c r="AD52" s="2">
        <f t="shared" si="0"/>
        <v>1.1999999999999957</v>
      </c>
      <c r="AE52" s="138">
        <f t="shared" si="1"/>
        <v>-5.0332192470303738E-3</v>
      </c>
    </row>
    <row r="53" spans="1:31" x14ac:dyDescent="0.25">
      <c r="O53" s="83">
        <v>1</v>
      </c>
      <c r="P53" s="83">
        <f t="shared" si="7"/>
        <v>50.34</v>
      </c>
      <c r="Q53" s="83"/>
      <c r="R53" s="34"/>
      <c r="T53" s="93" t="s">
        <v>107</v>
      </c>
      <c r="U53" s="90">
        <v>2282743</v>
      </c>
      <c r="W53" s="133">
        <v>42534</v>
      </c>
      <c r="X53" s="10">
        <v>49.65</v>
      </c>
      <c r="Y53" s="10">
        <v>50.16</v>
      </c>
      <c r="Z53" s="10">
        <v>49.5</v>
      </c>
      <c r="AA53" s="10">
        <v>49.67</v>
      </c>
      <c r="AB53" s="95">
        <v>4274000</v>
      </c>
      <c r="AC53" s="10">
        <v>49.67</v>
      </c>
      <c r="AD53" s="2">
        <f t="shared" si="0"/>
        <v>0.65999999999999659</v>
      </c>
      <c r="AE53" s="138">
        <f t="shared" si="1"/>
        <v>-3.4109149277689044E-3</v>
      </c>
    </row>
    <row r="54" spans="1:31" x14ac:dyDescent="0.25">
      <c r="O54" s="83">
        <v>0.99</v>
      </c>
      <c r="P54" s="83">
        <f t="shared" si="7"/>
        <v>49.836600000000004</v>
      </c>
      <c r="Q54" s="83"/>
      <c r="R54" s="34"/>
      <c r="T54" s="93" t="s">
        <v>110</v>
      </c>
      <c r="U54" s="90">
        <v>3647930</v>
      </c>
      <c r="W54" s="133">
        <v>42531</v>
      </c>
      <c r="X54" s="10">
        <v>50</v>
      </c>
      <c r="Y54" s="10">
        <v>50.49</v>
      </c>
      <c r="Z54" s="10">
        <v>49.76</v>
      </c>
      <c r="AA54" s="10">
        <v>49.84</v>
      </c>
      <c r="AB54" s="95">
        <v>3804500</v>
      </c>
      <c r="AC54" s="10">
        <v>49.84</v>
      </c>
      <c r="AD54" s="2">
        <f t="shared" si="0"/>
        <v>0.73000000000000398</v>
      </c>
      <c r="AE54" s="138">
        <f t="shared" si="1"/>
        <v>-1.7737485218762283E-2</v>
      </c>
    </row>
    <row r="55" spans="1:31" x14ac:dyDescent="0.25">
      <c r="O55" s="83">
        <v>0.98</v>
      </c>
      <c r="P55" s="83">
        <f t="shared" si="7"/>
        <v>49.333200000000005</v>
      </c>
      <c r="Q55" s="83"/>
      <c r="R55" s="34"/>
      <c r="T55" s="93" t="s">
        <v>108</v>
      </c>
      <c r="U55" s="88" t="s">
        <v>473</v>
      </c>
      <c r="W55" s="133">
        <v>42530</v>
      </c>
      <c r="X55" s="10">
        <v>50.33</v>
      </c>
      <c r="Y55" s="10">
        <v>50.87</v>
      </c>
      <c r="Z55" s="10">
        <v>49.8</v>
      </c>
      <c r="AA55" s="10">
        <v>50.74</v>
      </c>
      <c r="AB55" s="95">
        <v>4610400</v>
      </c>
      <c r="AC55" s="10">
        <v>50.74</v>
      </c>
      <c r="AD55" s="2">
        <f t="shared" si="0"/>
        <v>1.0700000000000003</v>
      </c>
      <c r="AE55" s="138">
        <f t="shared" si="1"/>
        <v>1.38148805999605E-3</v>
      </c>
    </row>
    <row r="56" spans="1:31" x14ac:dyDescent="0.25">
      <c r="O56" s="83">
        <v>0.97</v>
      </c>
      <c r="P56" s="83">
        <f t="shared" si="7"/>
        <v>48.829799999999999</v>
      </c>
      <c r="Q56" s="83"/>
      <c r="R56" s="34"/>
      <c r="T56" s="93" t="s">
        <v>111</v>
      </c>
      <c r="U56" s="88">
        <v>11.36</v>
      </c>
      <c r="W56" s="133">
        <v>42529</v>
      </c>
      <c r="X56" s="10">
        <v>50.86</v>
      </c>
      <c r="Y56" s="10">
        <v>50.9</v>
      </c>
      <c r="Z56" s="10">
        <v>50.3</v>
      </c>
      <c r="AA56" s="10">
        <v>50.67</v>
      </c>
      <c r="AB56" s="95">
        <v>6388800</v>
      </c>
      <c r="AC56" s="10">
        <v>50.67</v>
      </c>
      <c r="AD56" s="2">
        <f t="shared" si="0"/>
        <v>0.60000000000000142</v>
      </c>
      <c r="AE56" s="138">
        <f t="shared" si="1"/>
        <v>-3.5398230088495852E-3</v>
      </c>
    </row>
    <row r="57" spans="1:31" x14ac:dyDescent="0.25">
      <c r="O57" s="83">
        <v>0.96</v>
      </c>
      <c r="P57" s="83">
        <f t="shared" si="7"/>
        <v>48.3264</v>
      </c>
      <c r="Q57" s="83"/>
      <c r="R57" s="34"/>
      <c r="T57" s="93" t="s">
        <v>112</v>
      </c>
      <c r="U57" s="88">
        <v>4.43</v>
      </c>
      <c r="W57" s="133">
        <v>42528</v>
      </c>
      <c r="X57" s="10">
        <v>49.17</v>
      </c>
      <c r="Y57" s="10">
        <v>50.97</v>
      </c>
      <c r="Z57" s="10">
        <v>49.16</v>
      </c>
      <c r="AA57" s="10">
        <v>50.85</v>
      </c>
      <c r="AB57" s="95">
        <v>6035200</v>
      </c>
      <c r="AC57" s="10">
        <v>50.85</v>
      </c>
      <c r="AD57" s="2">
        <f t="shared" si="0"/>
        <v>1.8100000000000023</v>
      </c>
      <c r="AE57" s="138">
        <f t="shared" si="1"/>
        <v>2.5408348457350183E-2</v>
      </c>
    </row>
    <row r="58" spans="1:31" x14ac:dyDescent="0.25">
      <c r="O58" s="83">
        <v>0.95</v>
      </c>
      <c r="P58" s="83">
        <f t="shared" si="7"/>
        <v>47.823</v>
      </c>
      <c r="Q58" s="83"/>
      <c r="R58" s="34"/>
      <c r="T58" s="93" t="s">
        <v>109</v>
      </c>
      <c r="U58" s="88" t="s">
        <v>124</v>
      </c>
      <c r="W58" s="133">
        <v>42527</v>
      </c>
      <c r="X58" s="10">
        <v>48.45</v>
      </c>
      <c r="Y58" s="10">
        <v>49.88</v>
      </c>
      <c r="Z58" s="10">
        <v>48.16</v>
      </c>
      <c r="AA58" s="10">
        <v>49.59</v>
      </c>
      <c r="AB58" s="95">
        <v>5458400</v>
      </c>
      <c r="AC58" s="10">
        <v>49.59</v>
      </c>
      <c r="AD58" s="2">
        <f t="shared" si="0"/>
        <v>1.720000000000006</v>
      </c>
      <c r="AE58" s="138">
        <f t="shared" si="1"/>
        <v>2.3529411764705799E-2</v>
      </c>
    </row>
    <row r="59" spans="1:31" x14ac:dyDescent="0.25">
      <c r="O59" s="83">
        <v>0.94</v>
      </c>
      <c r="P59" s="83">
        <f t="shared" si="7"/>
        <v>47.319600000000001</v>
      </c>
      <c r="Q59" s="83"/>
      <c r="W59" s="133">
        <v>42524</v>
      </c>
      <c r="X59" s="10">
        <v>46.88</v>
      </c>
      <c r="Y59" s="10">
        <v>49.02</v>
      </c>
      <c r="Z59" s="10">
        <v>46.88</v>
      </c>
      <c r="AA59" s="10">
        <v>48.45</v>
      </c>
      <c r="AB59" s="95">
        <v>7149700</v>
      </c>
      <c r="AC59" s="10">
        <v>48.45</v>
      </c>
      <c r="AD59" s="2">
        <f t="shared" si="0"/>
        <v>2.1400000000000006</v>
      </c>
      <c r="AE59" s="138">
        <f t="shared" si="1"/>
        <v>1.9785308356135678E-2</v>
      </c>
    </row>
    <row r="60" spans="1:31" x14ac:dyDescent="0.25">
      <c r="O60" s="83">
        <v>0.93</v>
      </c>
      <c r="P60" s="83">
        <f t="shared" si="7"/>
        <v>46.816200000000009</v>
      </c>
      <c r="Q60" s="83"/>
      <c r="W60" s="133">
        <v>42523</v>
      </c>
      <c r="X60" s="10">
        <v>45.42</v>
      </c>
      <c r="Y60" s="10">
        <v>47.83</v>
      </c>
      <c r="Z60" s="10">
        <v>45.3</v>
      </c>
      <c r="AA60" s="10">
        <v>47.51</v>
      </c>
      <c r="AB60" s="95">
        <v>9374100</v>
      </c>
      <c r="AC60" s="10">
        <v>47.51</v>
      </c>
      <c r="AD60" s="2">
        <f t="shared" si="0"/>
        <v>2.5300000000000011</v>
      </c>
      <c r="AE60" s="138">
        <f t="shared" si="1"/>
        <v>4.3029637760702455E-2</v>
      </c>
    </row>
    <row r="61" spans="1:31" x14ac:dyDescent="0.25">
      <c r="O61" s="83">
        <v>0.92</v>
      </c>
      <c r="P61" s="83">
        <f t="shared" si="7"/>
        <v>46.312800000000003</v>
      </c>
      <c r="Q61" s="83"/>
      <c r="W61" s="133">
        <v>42522</v>
      </c>
      <c r="X61" s="10">
        <v>42.72</v>
      </c>
      <c r="Y61" s="10">
        <v>46</v>
      </c>
      <c r="Z61" s="10">
        <v>42.72</v>
      </c>
      <c r="AA61" s="10">
        <v>45.55</v>
      </c>
      <c r="AB61" s="95">
        <v>16533400</v>
      </c>
      <c r="AC61" s="10">
        <v>45.55</v>
      </c>
      <c r="AD61" s="2">
        <f t="shared" si="0"/>
        <v>3.2800000000000011</v>
      </c>
      <c r="AE61" s="138">
        <f t="shared" si="1"/>
        <v>6.6245318352059934E-2</v>
      </c>
    </row>
    <row r="62" spans="1:31" x14ac:dyDescent="0.25">
      <c r="O62" s="83">
        <v>0.91</v>
      </c>
      <c r="P62" s="83">
        <f t="shared" si="7"/>
        <v>45.809400000000004</v>
      </c>
      <c r="Q62" s="83"/>
      <c r="W62" s="133">
        <v>42521</v>
      </c>
      <c r="X62" s="10">
        <v>41.66</v>
      </c>
      <c r="Y62" s="10">
        <v>42.93</v>
      </c>
      <c r="Z62" s="10">
        <v>41.41</v>
      </c>
      <c r="AA62" s="10">
        <v>42.72</v>
      </c>
      <c r="AB62" s="95">
        <v>10067900</v>
      </c>
      <c r="AC62" s="10">
        <v>42.72</v>
      </c>
      <c r="AD62" s="2">
        <f t="shared" si="0"/>
        <v>1.5200000000000031</v>
      </c>
      <c r="AE62" s="138">
        <f t="shared" si="1"/>
        <v>2.2254127781766053E-2</v>
      </c>
    </row>
    <row r="63" spans="1:31" x14ac:dyDescent="0.25">
      <c r="O63" s="83">
        <v>0.9</v>
      </c>
      <c r="P63" s="83">
        <f t="shared" si="7"/>
        <v>45.306000000000004</v>
      </c>
      <c r="Q63" s="83"/>
      <c r="W63" s="133">
        <v>42517</v>
      </c>
      <c r="X63" s="10">
        <v>41.94</v>
      </c>
      <c r="Y63" s="10">
        <v>42.08</v>
      </c>
      <c r="Z63" s="10">
        <v>41.55</v>
      </c>
      <c r="AA63" s="10">
        <v>41.79</v>
      </c>
      <c r="AB63" s="95">
        <v>2944600</v>
      </c>
      <c r="AC63" s="10">
        <v>41.79</v>
      </c>
      <c r="AD63" s="2">
        <f t="shared" si="0"/>
        <v>0.53000000000000114</v>
      </c>
      <c r="AE63" s="138">
        <f t="shared" si="1"/>
        <v>-7.1736011477763206E-4</v>
      </c>
    </row>
    <row r="64" spans="1:31" x14ac:dyDescent="0.25">
      <c r="Q64" s="83"/>
      <c r="W64" s="133">
        <v>42516</v>
      </c>
      <c r="X64" s="10">
        <v>42.34</v>
      </c>
      <c r="Y64" s="10">
        <v>42.6</v>
      </c>
      <c r="Z64" s="10">
        <v>41.48</v>
      </c>
      <c r="AA64" s="10">
        <v>41.82</v>
      </c>
      <c r="AB64" s="95">
        <v>2992400</v>
      </c>
      <c r="AC64" s="10">
        <v>41.82</v>
      </c>
      <c r="AD64" s="2">
        <f t="shared" si="0"/>
        <v>1.1200000000000045</v>
      </c>
      <c r="AE64" s="138">
        <f t="shared" si="1"/>
        <v>4.7846889952163352E-4</v>
      </c>
    </row>
    <row r="65" spans="15:31" x14ac:dyDescent="0.25">
      <c r="Q65" s="83"/>
      <c r="W65" s="133">
        <v>42515</v>
      </c>
      <c r="X65" s="10">
        <v>41.06</v>
      </c>
      <c r="Y65" s="10">
        <v>41.89</v>
      </c>
      <c r="Z65" s="10">
        <v>40.99</v>
      </c>
      <c r="AA65" s="10">
        <v>41.8</v>
      </c>
      <c r="AB65" s="95">
        <v>2735500</v>
      </c>
      <c r="AC65" s="10">
        <v>41.8</v>
      </c>
      <c r="AD65" s="2">
        <f t="shared" si="0"/>
        <v>0.89999999999999858</v>
      </c>
      <c r="AE65" s="138">
        <f t="shared" si="1"/>
        <v>5.7747834456207681E-3</v>
      </c>
    </row>
    <row r="66" spans="15:31" x14ac:dyDescent="0.25">
      <c r="Q66" s="83"/>
      <c r="W66" s="133">
        <v>42514</v>
      </c>
      <c r="X66" s="10">
        <v>41.51</v>
      </c>
      <c r="Y66" s="10">
        <v>41.93</v>
      </c>
      <c r="Z66" s="10">
        <v>40.72</v>
      </c>
      <c r="AA66" s="10">
        <v>41.56</v>
      </c>
      <c r="AB66" s="95">
        <v>3967300</v>
      </c>
      <c r="AC66" s="10">
        <v>41.56</v>
      </c>
      <c r="AD66" s="2">
        <f t="shared" si="0"/>
        <v>1.2100000000000009</v>
      </c>
      <c r="AE66" s="138">
        <f t="shared" si="1"/>
        <v>1.2045290291498034E-3</v>
      </c>
    </row>
    <row r="67" spans="15:31" x14ac:dyDescent="0.25">
      <c r="Q67" s="83"/>
      <c r="W67" s="133">
        <v>42513</v>
      </c>
      <c r="X67" s="10">
        <v>41.87</v>
      </c>
      <c r="Y67" s="10">
        <v>42.74</v>
      </c>
      <c r="Z67" s="10">
        <v>41.49</v>
      </c>
      <c r="AA67" s="10">
        <v>41.51</v>
      </c>
      <c r="AB67" s="95">
        <v>3709800</v>
      </c>
      <c r="AC67" s="10">
        <v>41.51</v>
      </c>
      <c r="AD67" s="2">
        <f>Y67-Z67</f>
        <v>1.25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42606</v>
      </c>
      <c r="Y2" s="9">
        <v>68.31</v>
      </c>
      <c r="Z2" s="9">
        <v>68.45</v>
      </c>
      <c r="AA2" s="9">
        <v>68.16</v>
      </c>
      <c r="AB2" s="9">
        <v>68.260000000000005</v>
      </c>
      <c r="AC2" s="104">
        <v>1003500</v>
      </c>
      <c r="AD2" s="9">
        <v>68.260000000000005</v>
      </c>
      <c r="AE2" s="2">
        <f>Z2-AA2</f>
        <v>0.29000000000000625</v>
      </c>
      <c r="AF2" s="138">
        <f>AD2/AD3-1</f>
        <v>-1.4628437682854267E-3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68.260000000000005</v>
      </c>
      <c r="T3" s="85"/>
      <c r="X3" s="110">
        <v>42605</v>
      </c>
      <c r="Y3" s="9">
        <v>68.91</v>
      </c>
      <c r="Z3" s="9">
        <v>69.14</v>
      </c>
      <c r="AA3" s="9">
        <v>68.36</v>
      </c>
      <c r="AB3" s="9">
        <v>68.36</v>
      </c>
      <c r="AC3" s="104">
        <v>1716200</v>
      </c>
      <c r="AD3" s="9">
        <v>68.36</v>
      </c>
      <c r="AE3" s="2">
        <f t="shared" ref="AE3:AE66" si="0">Z3-AA3</f>
        <v>0.78000000000000114</v>
      </c>
      <c r="AF3" s="138">
        <f t="shared" ref="AF3:AF66" si="1">AD3/AD4-1</f>
        <v>-7.4052562799478139E-3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68.260000000000005</v>
      </c>
      <c r="X4" s="110">
        <v>42604</v>
      </c>
      <c r="Y4" s="9">
        <v>69.040000000000006</v>
      </c>
      <c r="Z4" s="9">
        <v>69.05</v>
      </c>
      <c r="AA4" s="9">
        <v>68.78</v>
      </c>
      <c r="AB4" s="9">
        <v>68.87</v>
      </c>
      <c r="AC4" s="104">
        <v>1171400</v>
      </c>
      <c r="AD4" s="9">
        <v>68.87</v>
      </c>
      <c r="AE4" s="2">
        <f t="shared" si="0"/>
        <v>0.26999999999999602</v>
      </c>
      <c r="AF4" s="138">
        <f t="shared" si="1"/>
        <v>-4.3371403787768603E-3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42601</v>
      </c>
      <c r="Y5" s="9">
        <v>69.13</v>
      </c>
      <c r="Z5" s="9">
        <v>69.42</v>
      </c>
      <c r="AA5" s="9">
        <v>69.03</v>
      </c>
      <c r="AB5" s="9">
        <v>69.17</v>
      </c>
      <c r="AC5" s="104">
        <v>1269400</v>
      </c>
      <c r="AD5" s="9">
        <v>69.17</v>
      </c>
      <c r="AE5" s="2">
        <f t="shared" si="0"/>
        <v>0.39000000000000057</v>
      </c>
      <c r="AF5" s="138">
        <f t="shared" si="1"/>
        <v>-3.8882488479261568E-3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42600</v>
      </c>
      <c r="Y6" s="9">
        <v>69.16</v>
      </c>
      <c r="Z6" s="9">
        <v>69.55</v>
      </c>
      <c r="AA6" s="9">
        <v>69.069999999999993</v>
      </c>
      <c r="AB6" s="9">
        <v>69.44</v>
      </c>
      <c r="AC6" s="104">
        <v>1657000</v>
      </c>
      <c r="AD6" s="9">
        <v>69.44</v>
      </c>
      <c r="AE6" s="2">
        <f t="shared" si="0"/>
        <v>0.48000000000000398</v>
      </c>
      <c r="AF6" s="138">
        <f t="shared" si="1"/>
        <v>4.6296296296295392E-3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42599</v>
      </c>
      <c r="Y7" s="9">
        <v>68.95</v>
      </c>
      <c r="Z7" s="9">
        <v>69.16</v>
      </c>
      <c r="AA7" s="9">
        <v>68.66</v>
      </c>
      <c r="AB7" s="9">
        <v>69.12</v>
      </c>
      <c r="AC7" s="104">
        <v>2091700</v>
      </c>
      <c r="AD7" s="9">
        <v>69.12</v>
      </c>
      <c r="AE7" s="2">
        <f t="shared" si="0"/>
        <v>0.5</v>
      </c>
      <c r="AF7" s="138">
        <f t="shared" si="1"/>
        <v>2.4655547498186881E-3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42598</v>
      </c>
      <c r="Y8" s="9">
        <v>68.91</v>
      </c>
      <c r="Z8" s="9">
        <v>69.47</v>
      </c>
      <c r="AA8" s="9">
        <v>68.91</v>
      </c>
      <c r="AB8" s="9">
        <v>68.95</v>
      </c>
      <c r="AC8" s="104">
        <v>1436800</v>
      </c>
      <c r="AD8" s="9">
        <v>68.95</v>
      </c>
      <c r="AE8" s="2">
        <f t="shared" si="0"/>
        <v>0.56000000000000227</v>
      </c>
      <c r="AF8" s="138">
        <f t="shared" si="1"/>
        <v>-6.3409713215160091E-3</v>
      </c>
    </row>
    <row r="9" spans="1:32" x14ac:dyDescent="0.25">
      <c r="O9" s="11" t="s">
        <v>225</v>
      </c>
      <c r="Q9" s="138">
        <f>IF(Q2=0, 0, Q8/Q6)</f>
        <v>0</v>
      </c>
      <c r="X9" s="110">
        <v>42597</v>
      </c>
      <c r="Y9" s="9">
        <v>69.13</v>
      </c>
      <c r="Z9" s="9">
        <v>69.45</v>
      </c>
      <c r="AA9" s="9">
        <v>69.010000000000005</v>
      </c>
      <c r="AB9" s="9">
        <v>69.39</v>
      </c>
      <c r="AC9" s="104">
        <v>1537700</v>
      </c>
      <c r="AD9" s="9">
        <v>69.39</v>
      </c>
      <c r="AE9" s="2">
        <f t="shared" si="0"/>
        <v>0.43999999999999773</v>
      </c>
      <c r="AF9" s="138">
        <f t="shared" si="1"/>
        <v>3.7610299435846262E-3</v>
      </c>
    </row>
    <row r="10" spans="1:32" x14ac:dyDescent="0.25">
      <c r="O10" s="11" t="s">
        <v>224</v>
      </c>
      <c r="P10" s="34"/>
      <c r="Q10" s="2">
        <f>M40</f>
        <v>523.61999999999898</v>
      </c>
      <c r="T10" s="121"/>
      <c r="U10" s="68"/>
      <c r="X10" s="110">
        <v>42594</v>
      </c>
      <c r="Y10" s="9">
        <v>69.06</v>
      </c>
      <c r="Z10" s="9">
        <v>69.25</v>
      </c>
      <c r="AA10" s="9">
        <v>68.84</v>
      </c>
      <c r="AB10" s="9">
        <v>69.13</v>
      </c>
      <c r="AC10" s="104">
        <v>903100</v>
      </c>
      <c r="AD10" s="9">
        <v>69.13</v>
      </c>
      <c r="AE10" s="2">
        <f t="shared" si="0"/>
        <v>0.40999999999999659</v>
      </c>
      <c r="AF10" s="138">
        <f t="shared" si="1"/>
        <v>2.893937201562391E-4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42593</v>
      </c>
      <c r="Y11" s="9">
        <v>69.42</v>
      </c>
      <c r="Z11" s="9">
        <v>69.510000000000005</v>
      </c>
      <c r="AA11" s="9">
        <v>69.040000000000006</v>
      </c>
      <c r="AB11" s="9">
        <v>69.11</v>
      </c>
      <c r="AC11" s="104">
        <v>1796700</v>
      </c>
      <c r="AD11" s="9">
        <v>69.11</v>
      </c>
      <c r="AE11" s="2">
        <f t="shared" si="0"/>
        <v>0.46999999999999886</v>
      </c>
      <c r="AF11" s="138">
        <f t="shared" si="1"/>
        <v>-4.4655718813022549E-3</v>
      </c>
    </row>
    <row r="12" spans="1:32" x14ac:dyDescent="0.25">
      <c r="X12" s="110">
        <v>42592</v>
      </c>
      <c r="Y12" s="9">
        <v>69.37</v>
      </c>
      <c r="Z12" s="9">
        <v>69.47</v>
      </c>
      <c r="AA12" s="9">
        <v>69.16</v>
      </c>
      <c r="AB12" s="9">
        <v>69.42</v>
      </c>
      <c r="AC12" s="104">
        <v>941800</v>
      </c>
      <c r="AD12" s="9">
        <v>69.42</v>
      </c>
      <c r="AE12" s="2">
        <f t="shared" si="0"/>
        <v>0.31000000000000227</v>
      </c>
      <c r="AF12" s="138">
        <f t="shared" si="1"/>
        <v>7.2077266830028464E-4</v>
      </c>
    </row>
    <row r="13" spans="1:32" x14ac:dyDescent="0.25">
      <c r="Q13" s="2"/>
      <c r="X13" s="110">
        <v>42591</v>
      </c>
      <c r="Y13" s="9">
        <v>69.17</v>
      </c>
      <c r="Z13" s="9">
        <v>69.5</v>
      </c>
      <c r="AA13" s="9">
        <v>69</v>
      </c>
      <c r="AB13" s="9">
        <v>69.37</v>
      </c>
      <c r="AC13" s="104">
        <v>1053100</v>
      </c>
      <c r="AD13" s="9">
        <v>69.37</v>
      </c>
      <c r="AE13" s="2">
        <f t="shared" si="0"/>
        <v>0.5</v>
      </c>
      <c r="AF13" s="138">
        <f t="shared" si="1"/>
        <v>2.8914269191846476E-3</v>
      </c>
    </row>
    <row r="14" spans="1:32" x14ac:dyDescent="0.25">
      <c r="X14" s="110">
        <v>42590</v>
      </c>
      <c r="Y14" s="9">
        <v>68.84</v>
      </c>
      <c r="Z14" s="9">
        <v>69.180000000000007</v>
      </c>
      <c r="AA14" s="9">
        <v>68.709999999999994</v>
      </c>
      <c r="AB14" s="9">
        <v>69.17</v>
      </c>
      <c r="AC14" s="104">
        <v>2194500</v>
      </c>
      <c r="AD14" s="9">
        <v>69.17</v>
      </c>
      <c r="AE14" s="2">
        <f t="shared" si="0"/>
        <v>0.47000000000001307</v>
      </c>
      <c r="AF14" s="138">
        <f t="shared" si="1"/>
        <v>4.7937245787332827E-3</v>
      </c>
    </row>
    <row r="15" spans="1:32" x14ac:dyDescent="0.25">
      <c r="X15" s="110">
        <v>42587</v>
      </c>
      <c r="Y15" s="9">
        <v>68.72</v>
      </c>
      <c r="Z15" s="9">
        <v>68.97</v>
      </c>
      <c r="AA15" s="9">
        <v>68.5</v>
      </c>
      <c r="AB15" s="9">
        <v>68.84</v>
      </c>
      <c r="AC15" s="104">
        <v>1620200</v>
      </c>
      <c r="AD15" s="9">
        <v>68.84</v>
      </c>
      <c r="AE15" s="2">
        <f t="shared" si="0"/>
        <v>0.46999999999999886</v>
      </c>
      <c r="AF15" s="138">
        <f t="shared" si="1"/>
        <v>3.206062372486107E-3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42586</v>
      </c>
      <c r="Y16" s="9">
        <v>67.989999999999995</v>
      </c>
      <c r="Z16" s="9">
        <v>69.239999999999995</v>
      </c>
      <c r="AA16" s="9">
        <v>67.989999999999995</v>
      </c>
      <c r="AB16" s="9">
        <v>68.62</v>
      </c>
      <c r="AC16" s="104">
        <v>2149800</v>
      </c>
      <c r="AD16" s="9">
        <v>68.62</v>
      </c>
      <c r="AE16" s="2">
        <f t="shared" si="0"/>
        <v>1.25</v>
      </c>
      <c r="AF16" s="138">
        <f t="shared" si="1"/>
        <v>-1.4570887367026941E-4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42585</v>
      </c>
      <c r="Y17" s="9">
        <v>68.28</v>
      </c>
      <c r="Z17" s="9">
        <v>68.709999999999994</v>
      </c>
      <c r="AA17" s="9">
        <v>68.180000000000007</v>
      </c>
      <c r="AB17" s="9">
        <v>68.63</v>
      </c>
      <c r="AC17" s="104">
        <v>2032700</v>
      </c>
      <c r="AD17" s="9">
        <v>68.63</v>
      </c>
      <c r="AE17" s="2">
        <f t="shared" si="0"/>
        <v>0.52999999999998693</v>
      </c>
      <c r="AF17" s="138">
        <f t="shared" si="1"/>
        <v>7.6347085596828457E-3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42584</v>
      </c>
      <c r="Y18" s="9">
        <v>68.33</v>
      </c>
      <c r="Z18" s="9">
        <v>68.55</v>
      </c>
      <c r="AA18" s="9">
        <v>68.03</v>
      </c>
      <c r="AB18" s="9">
        <v>68.11</v>
      </c>
      <c r="AC18" s="104">
        <v>1344400</v>
      </c>
      <c r="AD18" s="9">
        <v>68.11</v>
      </c>
      <c r="AE18" s="2">
        <f t="shared" si="0"/>
        <v>0.51999999999999602</v>
      </c>
      <c r="AF18" s="138">
        <f t="shared" si="1"/>
        <v>-4.0941658137154668E-3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42583</v>
      </c>
      <c r="Y19" s="9">
        <v>68.44</v>
      </c>
      <c r="Z19" s="9">
        <v>68.569999999999993</v>
      </c>
      <c r="AA19" s="9">
        <v>68.03</v>
      </c>
      <c r="AB19" s="9">
        <v>68.39</v>
      </c>
      <c r="AC19" s="104">
        <v>1728900</v>
      </c>
      <c r="AD19" s="9">
        <v>68.39</v>
      </c>
      <c r="AE19" s="2">
        <f t="shared" si="0"/>
        <v>0.53999999999999204</v>
      </c>
      <c r="AF19" s="138">
        <f t="shared" si="1"/>
        <v>8.7809161422502946E-4</v>
      </c>
    </row>
    <row r="20" spans="1:32" x14ac:dyDescent="0.25">
      <c r="X20" s="110">
        <v>42580</v>
      </c>
      <c r="Y20" s="9">
        <v>68.91</v>
      </c>
      <c r="Z20" s="9">
        <v>68.98</v>
      </c>
      <c r="AA20" s="9">
        <v>68.099999999999994</v>
      </c>
      <c r="AB20" s="9">
        <v>68.33</v>
      </c>
      <c r="AC20" s="104">
        <v>2614600</v>
      </c>
      <c r="AD20" s="9">
        <v>68.33</v>
      </c>
      <c r="AE20" s="2">
        <f t="shared" si="0"/>
        <v>0.88000000000000966</v>
      </c>
      <c r="AF20" s="138">
        <f t="shared" si="1"/>
        <v>-1.2143993060575453E-2</v>
      </c>
    </row>
    <row r="21" spans="1:32" x14ac:dyDescent="0.25">
      <c r="X21" s="110">
        <v>42579</v>
      </c>
      <c r="Y21" s="9">
        <v>68.84</v>
      </c>
      <c r="Z21" s="9">
        <v>69.37</v>
      </c>
      <c r="AA21" s="9">
        <v>68.64</v>
      </c>
      <c r="AB21" s="9">
        <v>69.17</v>
      </c>
      <c r="AC21" s="104">
        <v>903600</v>
      </c>
      <c r="AD21" s="9">
        <v>69.17</v>
      </c>
      <c r="AE21" s="2">
        <f t="shared" si="0"/>
        <v>0.73000000000000398</v>
      </c>
      <c r="AF21" s="138">
        <f t="shared" si="1"/>
        <v>4.5018878884692803E-3</v>
      </c>
    </row>
    <row r="22" spans="1:32" x14ac:dyDescent="0.25">
      <c r="X22" s="110">
        <v>42578</v>
      </c>
      <c r="Y22" s="9">
        <v>68.94</v>
      </c>
      <c r="Z22" s="9">
        <v>69.17</v>
      </c>
      <c r="AA22" s="9">
        <v>68.7</v>
      </c>
      <c r="AB22" s="9">
        <v>68.86</v>
      </c>
      <c r="AC22" s="104">
        <v>1321600</v>
      </c>
      <c r="AD22" s="9">
        <v>68.86</v>
      </c>
      <c r="AE22" s="2">
        <f t="shared" si="0"/>
        <v>0.46999999999999886</v>
      </c>
      <c r="AF22" s="138">
        <f t="shared" si="1"/>
        <v>-2.6071842410197998E-3</v>
      </c>
    </row>
    <row r="23" spans="1:32" x14ac:dyDescent="0.25">
      <c r="X23" s="110">
        <v>42577</v>
      </c>
      <c r="Y23" s="9">
        <v>69.27</v>
      </c>
      <c r="Z23" s="9">
        <v>69.5</v>
      </c>
      <c r="AA23" s="9">
        <v>68.86</v>
      </c>
      <c r="AB23" s="9">
        <v>69.040000000000006</v>
      </c>
      <c r="AC23" s="104">
        <v>905700</v>
      </c>
      <c r="AD23" s="9">
        <v>69.040000000000006</v>
      </c>
      <c r="AE23" s="2">
        <f t="shared" si="0"/>
        <v>0.64000000000000057</v>
      </c>
      <c r="AF23" s="138">
        <f t="shared" si="1"/>
        <v>-2.6004045073677595E-3</v>
      </c>
    </row>
    <row r="24" spans="1:32" x14ac:dyDescent="0.25">
      <c r="X24" s="110">
        <v>42576</v>
      </c>
      <c r="Y24" s="9">
        <v>69.16</v>
      </c>
      <c r="Z24" s="9">
        <v>69.3</v>
      </c>
      <c r="AA24" s="9">
        <v>69</v>
      </c>
      <c r="AB24" s="9">
        <v>69.22</v>
      </c>
      <c r="AC24" s="104">
        <v>1011700</v>
      </c>
      <c r="AD24" s="9">
        <v>69.22</v>
      </c>
      <c r="AE24" s="2">
        <f t="shared" si="0"/>
        <v>0.29999999999999716</v>
      </c>
      <c r="AF24" s="138">
        <f t="shared" si="1"/>
        <v>2.8901734104036514E-4</v>
      </c>
    </row>
    <row r="25" spans="1:32" x14ac:dyDescent="0.25">
      <c r="X25" s="110">
        <v>42573</v>
      </c>
      <c r="Y25" s="9">
        <v>69.069999999999993</v>
      </c>
      <c r="Z25" s="9">
        <v>69.31</v>
      </c>
      <c r="AA25" s="9">
        <v>68.98</v>
      </c>
      <c r="AB25" s="9">
        <v>69.2</v>
      </c>
      <c r="AC25" s="104">
        <v>1185600</v>
      </c>
      <c r="AD25" s="9">
        <v>69.2</v>
      </c>
      <c r="AE25" s="2">
        <f t="shared" si="0"/>
        <v>0.32999999999999829</v>
      </c>
      <c r="AF25" s="138">
        <f t="shared" si="1"/>
        <v>4.499927420525518E-3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42572</v>
      </c>
      <c r="Y26" s="9">
        <v>69.069999999999993</v>
      </c>
      <c r="Z26" s="9">
        <v>69.12</v>
      </c>
      <c r="AA26" s="9">
        <v>68.8</v>
      </c>
      <c r="AB26" s="9">
        <v>68.89</v>
      </c>
      <c r="AC26" s="104">
        <v>1041300</v>
      </c>
      <c r="AD26" s="9">
        <v>68.89</v>
      </c>
      <c r="AE26" s="2">
        <f t="shared" si="0"/>
        <v>0.32000000000000739</v>
      </c>
      <c r="AF26" s="138">
        <f t="shared" si="1"/>
        <v>-3.0390738060780409E-3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42571</v>
      </c>
      <c r="Y27" s="9">
        <v>69.27</v>
      </c>
      <c r="Z27" s="9">
        <v>69.3</v>
      </c>
      <c r="AA27" s="9">
        <v>68.989999999999995</v>
      </c>
      <c r="AB27" s="9">
        <v>69.099999999999994</v>
      </c>
      <c r="AC27" s="104">
        <v>865400</v>
      </c>
      <c r="AD27" s="9">
        <v>69.099999999999994</v>
      </c>
      <c r="AE27" s="2">
        <f t="shared" si="0"/>
        <v>0.31000000000000227</v>
      </c>
      <c r="AF27" s="138">
        <f t="shared" si="1"/>
        <v>-2.893518518519711E-4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42570</v>
      </c>
      <c r="Y28" s="9">
        <v>69.06</v>
      </c>
      <c r="Z28" s="9">
        <v>69.22</v>
      </c>
      <c r="AA28" s="9">
        <v>68.97</v>
      </c>
      <c r="AB28" s="9">
        <v>69.12</v>
      </c>
      <c r="AC28" s="104">
        <v>869400</v>
      </c>
      <c r="AD28" s="9">
        <v>69.12</v>
      </c>
      <c r="AE28" s="2">
        <f t="shared" si="0"/>
        <v>0.25</v>
      </c>
      <c r="AF28" s="138">
        <f t="shared" si="1"/>
        <v>-3.3165104542175472E-3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42569</v>
      </c>
      <c r="Y29" s="9">
        <v>69.59</v>
      </c>
      <c r="Z29" s="9">
        <v>69.75</v>
      </c>
      <c r="AA29" s="9">
        <v>69.28</v>
      </c>
      <c r="AB29" s="9">
        <v>69.349999999999994</v>
      </c>
      <c r="AC29" s="104">
        <v>1280400</v>
      </c>
      <c r="AD29" s="9">
        <v>69.349999999999994</v>
      </c>
      <c r="AE29" s="2">
        <f t="shared" si="0"/>
        <v>0.46999999999999886</v>
      </c>
      <c r="AF29" s="138">
        <f t="shared" si="1"/>
        <v>-2.0146783709886762E-3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42566</v>
      </c>
      <c r="Y30" s="9">
        <v>69.459999999999994</v>
      </c>
      <c r="Z30" s="9">
        <v>69.7</v>
      </c>
      <c r="AA30" s="9">
        <v>69.349999999999994</v>
      </c>
      <c r="AB30" s="9">
        <v>69.489999999999995</v>
      </c>
      <c r="AC30" s="104">
        <v>1490000</v>
      </c>
      <c r="AD30" s="9">
        <v>69.489999999999995</v>
      </c>
      <c r="AE30" s="2">
        <f t="shared" si="0"/>
        <v>0.35000000000000853</v>
      </c>
      <c r="AF30" s="138">
        <f t="shared" si="1"/>
        <v>2.5970278459095386E-3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42565</v>
      </c>
      <c r="Y31" s="9">
        <v>69.62</v>
      </c>
      <c r="Z31" s="9">
        <v>69.92</v>
      </c>
      <c r="AA31" s="9">
        <v>69.25</v>
      </c>
      <c r="AB31" s="9">
        <v>69.31</v>
      </c>
      <c r="AC31" s="104">
        <v>1454400</v>
      </c>
      <c r="AD31" s="9">
        <v>69.31</v>
      </c>
      <c r="AE31" s="2">
        <f t="shared" si="0"/>
        <v>0.67000000000000171</v>
      </c>
      <c r="AF31" s="138">
        <f t="shared" si="1"/>
        <v>4.3302540415712798E-4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42564</v>
      </c>
      <c r="Y32" s="9">
        <v>69.709999999999994</v>
      </c>
      <c r="Z32" s="9">
        <v>69.75</v>
      </c>
      <c r="AA32" s="9">
        <v>69.22</v>
      </c>
      <c r="AB32" s="9">
        <v>69.28</v>
      </c>
      <c r="AC32" s="104">
        <v>2002600</v>
      </c>
      <c r="AD32" s="9">
        <v>69.28</v>
      </c>
      <c r="AE32" s="2">
        <f t="shared" si="0"/>
        <v>0.53000000000000114</v>
      </c>
      <c r="AF32" s="138">
        <f t="shared" si="1"/>
        <v>-4.5977011494251485E-3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42563</v>
      </c>
      <c r="Y33" s="9">
        <v>70.25</v>
      </c>
      <c r="Z33" s="9">
        <v>70.38</v>
      </c>
      <c r="AA33" s="9">
        <v>69.58</v>
      </c>
      <c r="AB33" s="9">
        <v>69.599999999999994</v>
      </c>
      <c r="AC33" s="104">
        <v>2316900</v>
      </c>
      <c r="AD33" s="9">
        <v>69.599999999999994</v>
      </c>
      <c r="AE33" s="2">
        <f t="shared" si="0"/>
        <v>0.79999999999999716</v>
      </c>
      <c r="AF33" s="138">
        <f t="shared" si="1"/>
        <v>-4.8613096940235412E-3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42562</v>
      </c>
      <c r="Y34" s="9">
        <v>69.66</v>
      </c>
      <c r="Z34" s="9">
        <v>70.12</v>
      </c>
      <c r="AA34" s="9">
        <v>69.510000000000005</v>
      </c>
      <c r="AB34" s="9">
        <v>69.94</v>
      </c>
      <c r="AC34" s="104">
        <v>1698200</v>
      </c>
      <c r="AD34" s="9">
        <v>69.94</v>
      </c>
      <c r="AE34" s="2">
        <f t="shared" si="0"/>
        <v>0.60999999999999943</v>
      </c>
      <c r="AF34" s="138">
        <f t="shared" si="1"/>
        <v>4.0195233993682855E-3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5" t="s">
        <v>78</v>
      </c>
      <c r="P35" s="535"/>
      <c r="X35" s="110">
        <v>42559</v>
      </c>
      <c r="Y35" s="9">
        <v>69.680000000000007</v>
      </c>
      <c r="Z35" s="9">
        <v>69.69</v>
      </c>
      <c r="AA35" s="9">
        <v>69.06</v>
      </c>
      <c r="AB35" s="9">
        <v>69.66</v>
      </c>
      <c r="AC35" s="104">
        <v>1675600</v>
      </c>
      <c r="AD35" s="9">
        <v>69.66</v>
      </c>
      <c r="AE35" s="2">
        <f t="shared" si="0"/>
        <v>0.62999999999999545</v>
      </c>
      <c r="AF35" s="138">
        <f t="shared" si="1"/>
        <v>1.0443864229765065E-2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75.086000000000013</v>
      </c>
      <c r="Q36" s="2"/>
      <c r="X36" s="110">
        <v>42558</v>
      </c>
      <c r="Y36" s="9">
        <v>69.45</v>
      </c>
      <c r="Z36" s="9">
        <v>69.77</v>
      </c>
      <c r="AA36" s="9">
        <v>68.790000000000006</v>
      </c>
      <c r="AB36" s="9">
        <v>68.94</v>
      </c>
      <c r="AC36" s="104">
        <v>1928200</v>
      </c>
      <c r="AD36" s="9">
        <v>68.94</v>
      </c>
      <c r="AE36" s="2">
        <f t="shared" si="0"/>
        <v>0.97999999999998977</v>
      </c>
      <c r="AF36" s="138">
        <f t="shared" si="1"/>
        <v>-7.4863230636337263E-3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74.403400000000005</v>
      </c>
      <c r="Q37" s="2"/>
      <c r="X37" s="110">
        <v>42557</v>
      </c>
      <c r="Y37" s="9">
        <v>69.12</v>
      </c>
      <c r="Z37" s="9">
        <v>69.680000000000007</v>
      </c>
      <c r="AA37" s="9">
        <v>69.05</v>
      </c>
      <c r="AB37" s="9">
        <v>69.459999999999994</v>
      </c>
      <c r="AC37" s="104">
        <v>2210300</v>
      </c>
      <c r="AD37" s="9">
        <v>69.459999999999994</v>
      </c>
      <c r="AE37" s="2">
        <f t="shared" si="0"/>
        <v>0.63000000000000966</v>
      </c>
      <c r="AF37" s="138">
        <f t="shared" si="1"/>
        <v>2.1641898715911712E-3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73.720800000000011</v>
      </c>
      <c r="Q38" s="2"/>
      <c r="X38" s="110">
        <v>42556</v>
      </c>
      <c r="Y38" s="9">
        <v>69.290000000000006</v>
      </c>
      <c r="Z38" s="9">
        <v>69.75</v>
      </c>
      <c r="AA38" s="9">
        <v>69.040000000000006</v>
      </c>
      <c r="AB38" s="9">
        <v>69.31</v>
      </c>
      <c r="AC38" s="104">
        <v>2234900</v>
      </c>
      <c r="AD38" s="9">
        <v>69.31</v>
      </c>
      <c r="AE38" s="2">
        <f t="shared" si="0"/>
        <v>0.70999999999999375</v>
      </c>
      <c r="AF38" s="138">
        <f t="shared" si="1"/>
        <v>-3.5940195514663209E-3</v>
      </c>
    </row>
    <row r="39" spans="1:32" ht="20.25" thickBot="1" x14ac:dyDescent="0.35">
      <c r="O39" s="83">
        <v>1.07</v>
      </c>
      <c r="P39" s="83">
        <f t="shared" si="3"/>
        <v>73.038200000000003</v>
      </c>
      <c r="Q39" s="2"/>
      <c r="T39" s="112" t="s">
        <v>92</v>
      </c>
      <c r="U39" s="2"/>
      <c r="X39" s="110">
        <v>42552</v>
      </c>
      <c r="Y39" s="9">
        <v>69.95</v>
      </c>
      <c r="Z39" s="9">
        <v>69.95</v>
      </c>
      <c r="AA39" s="9">
        <v>69.48</v>
      </c>
      <c r="AB39" s="9">
        <v>69.56</v>
      </c>
      <c r="AC39" s="104">
        <v>1971600</v>
      </c>
      <c r="AD39" s="9">
        <v>69.56</v>
      </c>
      <c r="AE39" s="2">
        <f t="shared" si="0"/>
        <v>0.46999999999999886</v>
      </c>
      <c r="AF39" s="138">
        <f t="shared" si="1"/>
        <v>-5.5754110078627406E-3</v>
      </c>
    </row>
    <row r="40" spans="1:32" ht="15.75" thickTop="1" x14ac:dyDescent="0.25">
      <c r="L40" t="s">
        <v>224</v>
      </c>
      <c r="M40" s="2">
        <f>K56+M56-F56</f>
        <v>523.61999999999898</v>
      </c>
      <c r="O40" s="83">
        <v>1.06</v>
      </c>
      <c r="P40" s="83">
        <f t="shared" si="3"/>
        <v>72.35560000000001</v>
      </c>
      <c r="Q40" s="2"/>
      <c r="T40" s="113" t="s">
        <v>98</v>
      </c>
      <c r="U40" s="106">
        <v>68.36</v>
      </c>
      <c r="X40" s="110">
        <v>42551</v>
      </c>
      <c r="Y40" s="9">
        <v>68.540000000000006</v>
      </c>
      <c r="Z40" s="9">
        <v>69.95</v>
      </c>
      <c r="AA40" s="9">
        <v>68.52</v>
      </c>
      <c r="AB40" s="9">
        <v>69.95</v>
      </c>
      <c r="AC40" s="104">
        <v>2638000</v>
      </c>
      <c r="AD40" s="9">
        <v>69.95</v>
      </c>
      <c r="AE40" s="2">
        <f t="shared" si="0"/>
        <v>1.4300000000000068</v>
      </c>
      <c r="AF40" s="138">
        <f t="shared" si="1"/>
        <v>2.1615305973418986E-2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71.673000000000002</v>
      </c>
      <c r="Q41" s="2"/>
      <c r="T41" s="113" t="s">
        <v>99</v>
      </c>
      <c r="U41" s="106">
        <v>68.31</v>
      </c>
      <c r="X41" s="110">
        <v>42550</v>
      </c>
      <c r="Y41" s="9">
        <v>67.989999999999995</v>
      </c>
      <c r="Z41" s="9">
        <v>68.53</v>
      </c>
      <c r="AA41" s="9">
        <v>67.53</v>
      </c>
      <c r="AB41" s="9">
        <v>68.47</v>
      </c>
      <c r="AC41" s="104">
        <v>3098300</v>
      </c>
      <c r="AD41" s="9">
        <v>68.47</v>
      </c>
      <c r="AE41" s="2">
        <f t="shared" si="0"/>
        <v>1</v>
      </c>
      <c r="AF41" s="138">
        <f t="shared" si="1"/>
        <v>1.0925734534179776E-2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70.990400000000008</v>
      </c>
      <c r="Q42" s="2"/>
      <c r="T42" s="113" t="s">
        <v>100</v>
      </c>
      <c r="U42" s="106" t="s">
        <v>474</v>
      </c>
      <c r="X42" s="110">
        <v>42549</v>
      </c>
      <c r="Y42" s="9">
        <v>66.650000000000006</v>
      </c>
      <c r="Z42" s="9">
        <v>67.739999999999995</v>
      </c>
      <c r="AA42" s="9">
        <v>66.33</v>
      </c>
      <c r="AB42" s="9">
        <v>67.73</v>
      </c>
      <c r="AC42" s="104">
        <v>3001500</v>
      </c>
      <c r="AD42" s="9">
        <v>67.73</v>
      </c>
      <c r="AE42" s="2">
        <f t="shared" si="0"/>
        <v>1.4099999999999966</v>
      </c>
      <c r="AF42" s="138">
        <f t="shared" si="1"/>
        <v>2.5280048440811331E-2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70.3078</v>
      </c>
      <c r="Q43" s="2"/>
      <c r="T43" s="113" t="s">
        <v>101</v>
      </c>
      <c r="U43" s="106" t="s">
        <v>475</v>
      </c>
      <c r="X43" s="110">
        <v>42548</v>
      </c>
      <c r="Y43" s="9">
        <v>65.739999999999995</v>
      </c>
      <c r="Z43" s="9">
        <v>66.290000000000006</v>
      </c>
      <c r="AA43" s="9">
        <v>65.27</v>
      </c>
      <c r="AB43" s="9">
        <v>66.06</v>
      </c>
      <c r="AC43" s="104">
        <v>3104100</v>
      </c>
      <c r="AD43" s="9">
        <v>66.06</v>
      </c>
      <c r="AE43" s="2">
        <f t="shared" si="0"/>
        <v>1.0200000000000102</v>
      </c>
      <c r="AF43" s="138">
        <f t="shared" si="1"/>
        <v>-3.018412315122343E-3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69.625200000000007</v>
      </c>
      <c r="Q44" s="2"/>
      <c r="T44" s="113" t="s">
        <v>102</v>
      </c>
      <c r="U44" s="106">
        <v>74.44</v>
      </c>
      <c r="X44" s="110">
        <v>42545</v>
      </c>
      <c r="Y44" s="9">
        <v>65.58</v>
      </c>
      <c r="Z44" s="9">
        <v>66.98</v>
      </c>
      <c r="AA44" s="9">
        <v>65.319999999999993</v>
      </c>
      <c r="AB44" s="9">
        <v>66.260000000000005</v>
      </c>
      <c r="AC44" s="104">
        <v>3908800</v>
      </c>
      <c r="AD44" s="9">
        <v>66.260000000000005</v>
      </c>
      <c r="AE44" s="2">
        <f t="shared" si="0"/>
        <v>1.6600000000000108</v>
      </c>
      <c r="AF44" s="138">
        <f t="shared" si="1"/>
        <v>-2.357795461243728E-2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68.942599999999999</v>
      </c>
      <c r="Q45" s="2"/>
      <c r="T45" s="113" t="s">
        <v>103</v>
      </c>
      <c r="U45" s="106">
        <v>1.0180199999999999</v>
      </c>
      <c r="X45" s="110">
        <v>42544</v>
      </c>
      <c r="Y45" s="9">
        <v>67.61</v>
      </c>
      <c r="Z45" s="9">
        <v>67.86</v>
      </c>
      <c r="AA45" s="9">
        <v>67.42</v>
      </c>
      <c r="AB45" s="9">
        <v>67.86</v>
      </c>
      <c r="AC45" s="104">
        <v>2030600</v>
      </c>
      <c r="AD45" s="9">
        <v>67.86</v>
      </c>
      <c r="AE45" s="2">
        <f t="shared" si="0"/>
        <v>0.43999999999999773</v>
      </c>
      <c r="AF45" s="138">
        <f t="shared" si="1"/>
        <v>1.2533572068039511E-2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68.260000000000005</v>
      </c>
      <c r="Q46" s="2"/>
      <c r="T46" s="113" t="s">
        <v>104</v>
      </c>
      <c r="U46" s="106" t="s">
        <v>343</v>
      </c>
      <c r="X46" s="110">
        <v>42543</v>
      </c>
      <c r="Y46" s="9">
        <v>66.900000000000006</v>
      </c>
      <c r="Z46" s="9">
        <v>67.44</v>
      </c>
      <c r="AA46" s="9">
        <v>66.760000000000005</v>
      </c>
      <c r="AB46" s="9">
        <v>67.02</v>
      </c>
      <c r="AC46" s="104">
        <v>1153300</v>
      </c>
      <c r="AD46" s="9">
        <v>67.02</v>
      </c>
      <c r="AE46" s="2">
        <f t="shared" si="0"/>
        <v>0.67999999999999261</v>
      </c>
      <c r="AF46" s="138">
        <f t="shared" si="1"/>
        <v>3.2934131736526151E-3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67.577400000000011</v>
      </c>
      <c r="Q47" s="2"/>
      <c r="T47" s="113"/>
      <c r="U47" s="106"/>
      <c r="X47" s="110">
        <v>42542</v>
      </c>
      <c r="Y47" s="9">
        <v>66.83</v>
      </c>
      <c r="Z47" s="9">
        <v>67</v>
      </c>
      <c r="AA47" s="9">
        <v>66.569999999999993</v>
      </c>
      <c r="AB47" s="9">
        <v>66.8</v>
      </c>
      <c r="AC47" s="104">
        <v>1306200</v>
      </c>
      <c r="AD47" s="9">
        <v>66.8</v>
      </c>
      <c r="AE47" s="2">
        <f t="shared" si="0"/>
        <v>0.43000000000000682</v>
      </c>
      <c r="AF47" s="138">
        <f t="shared" si="1"/>
        <v>3.4550097641581345E-3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66.894800000000004</v>
      </c>
      <c r="Q48" s="2"/>
      <c r="T48" s="113" t="s">
        <v>105</v>
      </c>
      <c r="U48" s="106" t="s">
        <v>476</v>
      </c>
      <c r="X48" s="110">
        <v>42541</v>
      </c>
      <c r="Y48" s="9">
        <v>67.05</v>
      </c>
      <c r="Z48" s="9">
        <v>67.290000000000006</v>
      </c>
      <c r="AA48" s="9">
        <v>66.55</v>
      </c>
      <c r="AB48" s="9">
        <v>66.569999999999993</v>
      </c>
      <c r="AC48" s="104">
        <v>1120200</v>
      </c>
      <c r="AD48" s="9">
        <v>66.569999999999993</v>
      </c>
      <c r="AE48" s="2">
        <f t="shared" si="0"/>
        <v>0.74000000000000909</v>
      </c>
      <c r="AF48" s="138">
        <f t="shared" si="1"/>
        <v>2.258355916892274E-3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66.21220000000001</v>
      </c>
      <c r="T49" s="113" t="s">
        <v>106</v>
      </c>
      <c r="U49" s="106" t="s">
        <v>393</v>
      </c>
      <c r="X49" s="110">
        <v>42538</v>
      </c>
      <c r="Y49" s="9">
        <v>66.44</v>
      </c>
      <c r="Z49" s="9">
        <v>66.540000000000006</v>
      </c>
      <c r="AA49" s="9">
        <v>66.03</v>
      </c>
      <c r="AB49" s="9">
        <v>66.42</v>
      </c>
      <c r="AC49" s="104">
        <v>1858900</v>
      </c>
      <c r="AD49" s="9">
        <v>66.42</v>
      </c>
      <c r="AE49" s="2">
        <f t="shared" si="0"/>
        <v>0.51000000000000512</v>
      </c>
      <c r="AF49" s="138">
        <f t="shared" si="1"/>
        <v>-7.5221904618616442E-4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65.529600000000002</v>
      </c>
      <c r="T50" s="113" t="s">
        <v>107</v>
      </c>
      <c r="U50" s="107">
        <v>1004507</v>
      </c>
      <c r="X50" s="110">
        <v>42537</v>
      </c>
      <c r="Y50" s="9">
        <v>65.489999999999995</v>
      </c>
      <c r="Z50" s="9">
        <v>66.569999999999993</v>
      </c>
      <c r="AA50" s="9">
        <v>65.45</v>
      </c>
      <c r="AB50" s="9">
        <v>66.47</v>
      </c>
      <c r="AC50" s="104">
        <v>1564800</v>
      </c>
      <c r="AD50" s="9">
        <v>66.47</v>
      </c>
      <c r="AE50" s="2">
        <f t="shared" si="0"/>
        <v>1.1199999999999903</v>
      </c>
      <c r="AF50" s="138">
        <f t="shared" si="1"/>
        <v>9.1088507666614582E-3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64.847000000000008</v>
      </c>
      <c r="T51" s="113" t="s">
        <v>110</v>
      </c>
      <c r="U51" s="107">
        <v>1694250</v>
      </c>
      <c r="X51" s="110">
        <v>42536</v>
      </c>
      <c r="Y51" s="9">
        <v>66.75</v>
      </c>
      <c r="Z51" s="9">
        <v>66.95</v>
      </c>
      <c r="AA51" s="9">
        <v>65.81</v>
      </c>
      <c r="AB51" s="9">
        <v>65.87</v>
      </c>
      <c r="AC51" s="104">
        <v>1991000</v>
      </c>
      <c r="AD51" s="9">
        <v>65.87</v>
      </c>
      <c r="AE51" s="2">
        <f t="shared" si="0"/>
        <v>1.1400000000000006</v>
      </c>
      <c r="AF51" s="138">
        <f t="shared" si="1"/>
        <v>-1.2295696506222753E-2</v>
      </c>
    </row>
    <row r="52" spans="1:32" x14ac:dyDescent="0.25">
      <c r="O52" s="83">
        <v>0.94</v>
      </c>
      <c r="P52" s="83">
        <f t="shared" si="3"/>
        <v>64.164400000000001</v>
      </c>
      <c r="T52" s="113" t="s">
        <v>108</v>
      </c>
      <c r="U52" s="106" t="s">
        <v>477</v>
      </c>
      <c r="X52" s="110">
        <v>42535</v>
      </c>
      <c r="Y52" s="9">
        <v>66.83</v>
      </c>
      <c r="Z52" s="9">
        <v>67.040000000000006</v>
      </c>
      <c r="AA52" s="9">
        <v>66.42</v>
      </c>
      <c r="AB52" s="9">
        <v>66.69</v>
      </c>
      <c r="AC52" s="104">
        <v>1464500</v>
      </c>
      <c r="AD52" s="9">
        <v>66.69</v>
      </c>
      <c r="AE52" s="2">
        <f t="shared" si="0"/>
        <v>0.62000000000000455</v>
      </c>
      <c r="AF52" s="138">
        <f t="shared" si="1"/>
        <v>-2.8409090909090606E-3</v>
      </c>
    </row>
    <row r="53" spans="1:32" x14ac:dyDescent="0.25">
      <c r="O53" s="83">
        <v>0.93</v>
      </c>
      <c r="P53" s="83">
        <f t="shared" si="3"/>
        <v>63.481800000000007</v>
      </c>
      <c r="T53" s="113" t="s">
        <v>111</v>
      </c>
      <c r="U53" s="106">
        <v>17.190000000000001</v>
      </c>
      <c r="X53" s="110">
        <v>42534</v>
      </c>
      <c r="Y53" s="9">
        <v>67.44</v>
      </c>
      <c r="Z53" s="9">
        <v>67.87</v>
      </c>
      <c r="AA53" s="9">
        <v>66.86</v>
      </c>
      <c r="AB53" s="9">
        <v>66.88</v>
      </c>
      <c r="AC53" s="104">
        <v>1761400</v>
      </c>
      <c r="AD53" s="9">
        <v>66.88</v>
      </c>
      <c r="AE53" s="2">
        <f t="shared" si="0"/>
        <v>1.0100000000000051</v>
      </c>
      <c r="AF53" s="138">
        <f t="shared" si="1"/>
        <v>-8.5976875185295176E-3</v>
      </c>
    </row>
    <row r="54" spans="1:32" x14ac:dyDescent="0.25">
      <c r="O54" s="83">
        <v>0.92</v>
      </c>
      <c r="P54" s="83">
        <f t="shared" si="3"/>
        <v>62.799200000000006</v>
      </c>
      <c r="T54" s="113" t="s">
        <v>112</v>
      </c>
      <c r="U54" s="106">
        <v>3.97</v>
      </c>
      <c r="X54" s="110">
        <v>42531</v>
      </c>
      <c r="Y54" s="9">
        <v>67.17</v>
      </c>
      <c r="Z54" s="9">
        <v>67.86</v>
      </c>
      <c r="AA54" s="9">
        <v>67.13</v>
      </c>
      <c r="AB54" s="9">
        <v>67.459999999999994</v>
      </c>
      <c r="AC54" s="104">
        <v>1636600</v>
      </c>
      <c r="AD54" s="9">
        <v>67.459999999999994</v>
      </c>
      <c r="AE54" s="2">
        <f t="shared" si="0"/>
        <v>0.73000000000000398</v>
      </c>
      <c r="AF54" s="138">
        <f t="shared" si="1"/>
        <v>-4.8679746275264169E-3</v>
      </c>
    </row>
    <row r="55" spans="1:32" x14ac:dyDescent="0.25">
      <c r="O55" s="83">
        <v>0.91</v>
      </c>
      <c r="P55" s="83">
        <f t="shared" si="3"/>
        <v>62.116600000000005</v>
      </c>
      <c r="T55" s="113" t="s">
        <v>109</v>
      </c>
      <c r="U55" s="106" t="s">
        <v>362</v>
      </c>
      <c r="X55" s="110">
        <v>42530</v>
      </c>
      <c r="Y55" s="9">
        <v>67.489999999999995</v>
      </c>
      <c r="Z55" s="9">
        <v>67.959999999999994</v>
      </c>
      <c r="AA55" s="9">
        <v>67.37</v>
      </c>
      <c r="AB55" s="9">
        <v>67.790000000000006</v>
      </c>
      <c r="AC55" s="104">
        <v>1456700</v>
      </c>
      <c r="AD55" s="9">
        <v>67.790000000000006</v>
      </c>
      <c r="AE55" s="2">
        <f t="shared" si="0"/>
        <v>0.5899999999999892</v>
      </c>
      <c r="AF55" s="138">
        <f t="shared" si="1"/>
        <v>1.6252955082742826E-3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61.434000000000005</v>
      </c>
      <c r="X56" s="110">
        <v>42529</v>
      </c>
      <c r="Y56" s="9">
        <v>67.209999999999994</v>
      </c>
      <c r="Z56" s="9">
        <v>67.88</v>
      </c>
      <c r="AA56" s="9">
        <v>67.11</v>
      </c>
      <c r="AB56" s="9">
        <v>67.680000000000007</v>
      </c>
      <c r="AC56" s="104">
        <v>1645500</v>
      </c>
      <c r="AD56" s="9">
        <v>67.680000000000007</v>
      </c>
      <c r="AE56" s="2">
        <f t="shared" si="0"/>
        <v>0.76999999999999602</v>
      </c>
      <c r="AF56" s="138">
        <f t="shared" si="1"/>
        <v>3.7075485688862209E-3</v>
      </c>
    </row>
    <row r="57" spans="1:32" x14ac:dyDescent="0.25">
      <c r="X57" s="110">
        <v>42528</v>
      </c>
      <c r="Y57" s="9">
        <v>67.72</v>
      </c>
      <c r="Z57" s="9">
        <v>67.88</v>
      </c>
      <c r="AA57" s="9">
        <v>67.319999999999993</v>
      </c>
      <c r="AB57" s="9">
        <v>67.430000000000007</v>
      </c>
      <c r="AC57" s="104">
        <v>1484100</v>
      </c>
      <c r="AD57" s="9">
        <v>67.430000000000007</v>
      </c>
      <c r="AE57" s="2">
        <f t="shared" si="0"/>
        <v>0.56000000000000227</v>
      </c>
      <c r="AF57" s="138">
        <f t="shared" si="1"/>
        <v>-2.8098195800059234E-3</v>
      </c>
    </row>
    <row r="58" spans="1:32" x14ac:dyDescent="0.25">
      <c r="X58" s="110">
        <v>42527</v>
      </c>
      <c r="Y58" s="9">
        <v>67.53</v>
      </c>
      <c r="Z58" s="9">
        <v>68.02</v>
      </c>
      <c r="AA58" s="9">
        <v>67.42</v>
      </c>
      <c r="AB58" s="9">
        <v>67.62</v>
      </c>
      <c r="AC58" s="104">
        <v>1959600</v>
      </c>
      <c r="AD58" s="9">
        <v>67.62</v>
      </c>
      <c r="AE58" s="2">
        <f t="shared" si="0"/>
        <v>0.59999999999999432</v>
      </c>
      <c r="AF58" s="138">
        <f t="shared" si="1"/>
        <v>2.8177369123534302E-3</v>
      </c>
    </row>
    <row r="59" spans="1:32" x14ac:dyDescent="0.25">
      <c r="X59" s="110">
        <v>42524</v>
      </c>
      <c r="Y59" s="9">
        <v>67.02</v>
      </c>
      <c r="Z59" s="9">
        <v>67.709999999999994</v>
      </c>
      <c r="AA59" s="9">
        <v>66.64</v>
      </c>
      <c r="AB59" s="9">
        <v>67.430000000000007</v>
      </c>
      <c r="AC59" s="104">
        <v>1625700</v>
      </c>
      <c r="AD59" s="9">
        <v>67.430000000000007</v>
      </c>
      <c r="AE59" s="2">
        <f t="shared" si="0"/>
        <v>1.0699999999999932</v>
      </c>
      <c r="AF59" s="138">
        <f t="shared" si="1"/>
        <v>-1.4827995255028981E-4</v>
      </c>
    </row>
    <row r="60" spans="1:32" x14ac:dyDescent="0.25">
      <c r="X60" s="110">
        <v>42523</v>
      </c>
      <c r="Y60" s="9">
        <v>67.290000000000006</v>
      </c>
      <c r="Z60" s="9">
        <v>67.44</v>
      </c>
      <c r="AA60" s="9">
        <v>67.11</v>
      </c>
      <c r="AB60" s="9">
        <v>67.44</v>
      </c>
      <c r="AC60" s="104">
        <v>1153100</v>
      </c>
      <c r="AD60" s="9">
        <v>67.44</v>
      </c>
      <c r="AE60" s="2">
        <f t="shared" si="0"/>
        <v>0.32999999999999829</v>
      </c>
      <c r="AF60" s="138">
        <f t="shared" si="1"/>
        <v>0</v>
      </c>
    </row>
    <row r="61" spans="1:32" x14ac:dyDescent="0.25">
      <c r="X61" s="110">
        <v>42522</v>
      </c>
      <c r="Y61" s="9">
        <v>67.180000000000007</v>
      </c>
      <c r="Z61" s="9">
        <v>67.5</v>
      </c>
      <c r="AA61" s="9">
        <v>66.67</v>
      </c>
      <c r="AB61" s="9">
        <v>67.44</v>
      </c>
      <c r="AC61" s="104">
        <v>1498400</v>
      </c>
      <c r="AD61" s="9">
        <v>67.44</v>
      </c>
      <c r="AE61" s="2">
        <f t="shared" si="0"/>
        <v>0.82999999999999829</v>
      </c>
      <c r="AF61" s="138" t="e">
        <f t="shared" si="1"/>
        <v>#DIV/0!</v>
      </c>
    </row>
    <row r="62" spans="1:32" x14ac:dyDescent="0.25">
      <c r="X62" s="110">
        <v>42522</v>
      </c>
      <c r="Y62" s="9" t="s">
        <v>244</v>
      </c>
      <c r="Z62" s="9"/>
      <c r="AA62" s="9"/>
      <c r="AB62" s="9"/>
      <c r="AC62" s="104"/>
      <c r="AD62" s="9"/>
      <c r="AE62" s="2">
        <f t="shared" si="0"/>
        <v>0</v>
      </c>
      <c r="AF62" s="138">
        <f t="shared" si="1"/>
        <v>-1</v>
      </c>
    </row>
    <row r="63" spans="1:32" x14ac:dyDescent="0.25">
      <c r="X63" s="110">
        <v>42521</v>
      </c>
      <c r="Y63" s="9">
        <v>67.75</v>
      </c>
      <c r="Z63" s="9">
        <v>67.959999999999994</v>
      </c>
      <c r="AA63" s="9">
        <v>67.17</v>
      </c>
      <c r="AB63" s="9">
        <v>67.510000000000005</v>
      </c>
      <c r="AC63" s="104">
        <v>3554400</v>
      </c>
      <c r="AD63" s="9">
        <v>67.180000000000007</v>
      </c>
      <c r="AE63" s="2">
        <f t="shared" si="0"/>
        <v>0.78999999999999204</v>
      </c>
      <c r="AF63" s="138">
        <f t="shared" si="1"/>
        <v>-2.5241276911653898E-3</v>
      </c>
    </row>
    <row r="64" spans="1:32" x14ac:dyDescent="0.25">
      <c r="X64" s="110">
        <v>42517</v>
      </c>
      <c r="Y64" s="9">
        <v>67.56</v>
      </c>
      <c r="Z64" s="9">
        <v>67.87</v>
      </c>
      <c r="AA64" s="9">
        <v>67.459999999999994</v>
      </c>
      <c r="AB64" s="9">
        <v>67.680000000000007</v>
      </c>
      <c r="AC64" s="104">
        <v>839800</v>
      </c>
      <c r="AD64" s="9">
        <v>67.349999999999994</v>
      </c>
      <c r="AE64" s="2">
        <f t="shared" si="0"/>
        <v>0.4100000000000108</v>
      </c>
      <c r="AF64" s="138">
        <f t="shared" si="1"/>
        <v>2.5305150342362914E-3</v>
      </c>
    </row>
    <row r="65" spans="24:32" x14ac:dyDescent="0.25">
      <c r="X65" s="110">
        <v>42516</v>
      </c>
      <c r="Y65" s="9">
        <v>67.28</v>
      </c>
      <c r="Z65" s="9">
        <v>67.58</v>
      </c>
      <c r="AA65" s="9">
        <v>67.150000000000006</v>
      </c>
      <c r="AB65" s="9">
        <v>67.510000000000005</v>
      </c>
      <c r="AC65" s="104">
        <v>1229800</v>
      </c>
      <c r="AD65" s="9">
        <v>67.180000000000007</v>
      </c>
      <c r="AE65" s="2">
        <f t="shared" si="0"/>
        <v>0.42999999999999261</v>
      </c>
      <c r="AF65" s="138">
        <f t="shared" si="1"/>
        <v>3.4353995519045277E-3</v>
      </c>
    </row>
    <row r="66" spans="24:32" x14ac:dyDescent="0.25">
      <c r="X66" s="110">
        <v>42515</v>
      </c>
      <c r="Y66" s="9">
        <v>67.680000000000007</v>
      </c>
      <c r="Z66" s="9">
        <v>67.83</v>
      </c>
      <c r="AA66" s="9">
        <v>67.209999999999994</v>
      </c>
      <c r="AB66" s="9">
        <v>67.28</v>
      </c>
      <c r="AC66" s="104">
        <v>1715500</v>
      </c>
      <c r="AD66" s="9">
        <v>66.95</v>
      </c>
      <c r="AE66" s="2">
        <f t="shared" si="0"/>
        <v>0.62000000000000455</v>
      </c>
      <c r="AF66" s="138">
        <f t="shared" si="1"/>
        <v>-2.3841454328713541E-3</v>
      </c>
    </row>
    <row r="67" spans="24:32" x14ac:dyDescent="0.25">
      <c r="X67" s="110">
        <v>42514</v>
      </c>
      <c r="Y67" s="9">
        <v>67.27</v>
      </c>
      <c r="Z67" s="9">
        <v>67.75</v>
      </c>
      <c r="AA67" s="9">
        <v>66.989999999999995</v>
      </c>
      <c r="AB67" s="9">
        <v>67.44</v>
      </c>
      <c r="AC67" s="104">
        <v>1840000</v>
      </c>
      <c r="AD67" s="9">
        <v>67.11</v>
      </c>
      <c r="AE67" s="2">
        <f>Z67-AA67</f>
        <v>0.76000000000000512</v>
      </c>
      <c r="AF67" s="138" t="e">
        <f>AD67/#REF!-1</f>
        <v>#REF!</v>
      </c>
    </row>
    <row r="68" spans="24:32" x14ac:dyDescent="0.25">
      <c r="X68" s="110">
        <v>42513</v>
      </c>
      <c r="Y68" s="9">
        <v>67.09</v>
      </c>
      <c r="Z68" s="9">
        <v>67.209999999999994</v>
      </c>
      <c r="AA68" s="9">
        <v>66.680000000000007</v>
      </c>
      <c r="AB68" s="9">
        <v>66.88</v>
      </c>
      <c r="AC68" s="104">
        <v>1331300</v>
      </c>
      <c r="AD68" s="9">
        <v>66.55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42606</v>
      </c>
      <c r="X2" s="40">
        <v>91.98</v>
      </c>
      <c r="Y2" s="40">
        <v>92.33</v>
      </c>
      <c r="Z2" s="40">
        <v>91.79</v>
      </c>
      <c r="AA2" s="40">
        <v>92.1</v>
      </c>
      <c r="AB2" s="95">
        <v>792600</v>
      </c>
      <c r="AC2" s="40">
        <v>92.1</v>
      </c>
      <c r="AD2" s="2">
        <f>Y2-Z2</f>
        <v>0.53999999999999204</v>
      </c>
      <c r="AE2" s="138">
        <f>AC2/AC3-1</f>
        <v>7.6062153645550801E-4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92.1</v>
      </c>
      <c r="W3" s="157">
        <v>42605</v>
      </c>
      <c r="X3" s="40">
        <v>91.9</v>
      </c>
      <c r="Y3" s="40">
        <v>92.19</v>
      </c>
      <c r="Z3" s="40">
        <v>91.52</v>
      </c>
      <c r="AA3" s="40">
        <v>92.03</v>
      </c>
      <c r="AB3" s="95">
        <v>723000</v>
      </c>
      <c r="AC3" s="40">
        <v>92.03</v>
      </c>
      <c r="AD3" s="2">
        <f t="shared" ref="AD3:AD66" si="0">Y3-Z3</f>
        <v>0.67000000000000171</v>
      </c>
      <c r="AE3" s="138">
        <f t="shared" ref="AE3:AE66" si="1">AC3/AC4-1</f>
        <v>7.3336252189142304E-3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92.1</v>
      </c>
      <c r="W4" s="157">
        <v>42604</v>
      </c>
      <c r="X4" s="40">
        <v>91.5</v>
      </c>
      <c r="Y4" s="40">
        <v>91.58</v>
      </c>
      <c r="Z4" s="40">
        <v>91.01</v>
      </c>
      <c r="AA4" s="40">
        <v>91.36</v>
      </c>
      <c r="AB4" s="95">
        <v>811500</v>
      </c>
      <c r="AC4" s="40">
        <v>91.36</v>
      </c>
      <c r="AD4" s="2">
        <f t="shared" si="0"/>
        <v>0.56999999999999318</v>
      </c>
      <c r="AE4" s="138">
        <f t="shared" si="1"/>
        <v>-2.402271238261644E-3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42601</v>
      </c>
      <c r="X5" s="40">
        <v>91.3</v>
      </c>
      <c r="Y5" s="40">
        <v>91.96</v>
      </c>
      <c r="Z5" s="40">
        <v>91.05</v>
      </c>
      <c r="AA5" s="40">
        <v>91.58</v>
      </c>
      <c r="AB5" s="95">
        <v>1078400</v>
      </c>
      <c r="AC5" s="40">
        <v>91.58</v>
      </c>
      <c r="AD5" s="2">
        <f t="shared" si="0"/>
        <v>0.90999999999999659</v>
      </c>
      <c r="AE5" s="138">
        <f t="shared" si="1"/>
        <v>-9.817824806370723E-4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42600</v>
      </c>
      <c r="X6" s="40">
        <v>89.83</v>
      </c>
      <c r="Y6" s="40">
        <v>91.67</v>
      </c>
      <c r="Z6" s="40">
        <v>89.65</v>
      </c>
      <c r="AA6" s="40">
        <v>91.67</v>
      </c>
      <c r="AB6" s="95">
        <v>1580900</v>
      </c>
      <c r="AC6" s="40">
        <v>91.67</v>
      </c>
      <c r="AD6" s="2">
        <f t="shared" si="0"/>
        <v>2.019999999999996</v>
      </c>
      <c r="AE6" s="138">
        <f t="shared" si="1"/>
        <v>2.0596749053662933E-2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42599</v>
      </c>
      <c r="X7" s="40">
        <v>89.09</v>
      </c>
      <c r="Y7" s="40">
        <v>89.87</v>
      </c>
      <c r="Z7" s="40">
        <v>88.62</v>
      </c>
      <c r="AA7" s="40">
        <v>89.82</v>
      </c>
      <c r="AB7" s="95">
        <v>950600</v>
      </c>
      <c r="AC7" s="40">
        <v>89.82</v>
      </c>
      <c r="AD7" s="2">
        <f t="shared" si="0"/>
        <v>1.25</v>
      </c>
      <c r="AE7" s="138">
        <f t="shared" si="1"/>
        <v>7.8545780969478951E-3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42598</v>
      </c>
      <c r="X8" s="40">
        <v>88.73</v>
      </c>
      <c r="Y8" s="40">
        <v>89.38</v>
      </c>
      <c r="Z8" s="40">
        <v>88.07</v>
      </c>
      <c r="AA8" s="40">
        <v>89.12</v>
      </c>
      <c r="AB8" s="95">
        <v>1286000</v>
      </c>
      <c r="AC8" s="40">
        <v>89.12</v>
      </c>
      <c r="AD8" s="2">
        <f t="shared" si="0"/>
        <v>1.3100000000000023</v>
      </c>
      <c r="AE8" s="138">
        <f t="shared" si="1"/>
        <v>2.2492127755286973E-3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57">
        <v>42597</v>
      </c>
      <c r="X9" s="40">
        <v>88.86</v>
      </c>
      <c r="Y9" s="40">
        <v>89.64</v>
      </c>
      <c r="Z9" s="40">
        <v>88.67</v>
      </c>
      <c r="AA9" s="40">
        <v>88.92</v>
      </c>
      <c r="AB9" s="95">
        <v>780400</v>
      </c>
      <c r="AC9" s="40">
        <v>88.92</v>
      </c>
      <c r="AD9" s="2">
        <f t="shared" si="0"/>
        <v>0.96999999999999886</v>
      </c>
      <c r="AE9" s="138">
        <f t="shared" si="1"/>
        <v>6.3377093707559506E-3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M33</f>
        <v>-168.6200000000008</v>
      </c>
      <c r="W10" s="157">
        <v>42594</v>
      </c>
      <c r="X10" s="40">
        <v>89.48</v>
      </c>
      <c r="Y10" s="40">
        <v>89.48</v>
      </c>
      <c r="Z10" s="40">
        <v>87.97</v>
      </c>
      <c r="AA10" s="40">
        <v>88.36</v>
      </c>
      <c r="AB10" s="95">
        <v>1108600</v>
      </c>
      <c r="AC10" s="40">
        <v>88.36</v>
      </c>
      <c r="AD10" s="2">
        <f t="shared" si="0"/>
        <v>1.5100000000000051</v>
      </c>
      <c r="AE10" s="138">
        <f t="shared" si="1"/>
        <v>-1.2516763522574914E-2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2.58E-2</v>
      </c>
      <c r="W11" s="157">
        <v>42593</v>
      </c>
      <c r="X11" s="40">
        <v>88.77</v>
      </c>
      <c r="Y11" s="40">
        <v>90.24</v>
      </c>
      <c r="Z11" s="40">
        <v>88.28</v>
      </c>
      <c r="AA11" s="40">
        <v>89.48</v>
      </c>
      <c r="AB11" s="95">
        <v>1653500</v>
      </c>
      <c r="AC11" s="40">
        <v>89.48</v>
      </c>
      <c r="AD11" s="2">
        <f t="shared" si="0"/>
        <v>1.9599999999999937</v>
      </c>
      <c r="AE11" s="138">
        <f t="shared" si="1"/>
        <v>1.0274359263859223E-2</v>
      </c>
    </row>
    <row r="12" spans="1:31" x14ac:dyDescent="0.25">
      <c r="W12" s="157">
        <v>42592</v>
      </c>
      <c r="X12" s="40">
        <v>89.56</v>
      </c>
      <c r="Y12" s="40">
        <v>89.56</v>
      </c>
      <c r="Z12" s="40">
        <v>88.38</v>
      </c>
      <c r="AA12" s="40">
        <v>88.57</v>
      </c>
      <c r="AB12" s="95">
        <v>806700</v>
      </c>
      <c r="AC12" s="40">
        <v>88.57</v>
      </c>
      <c r="AD12" s="2">
        <f t="shared" si="0"/>
        <v>1.1800000000000068</v>
      </c>
      <c r="AE12" s="138">
        <f t="shared" si="1"/>
        <v>-7.6190476190477474E-3</v>
      </c>
    </row>
    <row r="13" spans="1:31" x14ac:dyDescent="0.25">
      <c r="W13" s="157">
        <v>42591</v>
      </c>
      <c r="X13" s="40">
        <v>89.43</v>
      </c>
      <c r="Y13" s="40">
        <v>89.86</v>
      </c>
      <c r="Z13" s="40">
        <v>89.17</v>
      </c>
      <c r="AA13" s="40">
        <v>89.25</v>
      </c>
      <c r="AB13" s="95">
        <v>1044000</v>
      </c>
      <c r="AC13" s="40">
        <v>89.25</v>
      </c>
      <c r="AD13" s="2">
        <f t="shared" si="0"/>
        <v>0.68999999999999773</v>
      </c>
      <c r="AE13" s="138">
        <f t="shared" si="1"/>
        <v>-3.0160857908846372E-3</v>
      </c>
    </row>
    <row r="14" spans="1:31" x14ac:dyDescent="0.25">
      <c r="W14" s="157">
        <v>42590</v>
      </c>
      <c r="X14" s="40">
        <v>89</v>
      </c>
      <c r="Y14" s="40">
        <v>90.47</v>
      </c>
      <c r="Z14" s="40">
        <v>89</v>
      </c>
      <c r="AA14" s="40">
        <v>89.52</v>
      </c>
      <c r="AB14" s="95">
        <v>1273300</v>
      </c>
      <c r="AC14" s="40">
        <v>89.52</v>
      </c>
      <c r="AD14" s="2">
        <f t="shared" si="0"/>
        <v>1.4699999999999989</v>
      </c>
      <c r="AE14" s="138">
        <f t="shared" si="1"/>
        <v>7.2007200720072273E-3</v>
      </c>
    </row>
    <row r="15" spans="1:31" x14ac:dyDescent="0.25">
      <c r="W15" s="157">
        <v>42587</v>
      </c>
      <c r="X15" s="40">
        <v>88.16</v>
      </c>
      <c r="Y15" s="40">
        <v>89.38</v>
      </c>
      <c r="Z15" s="40">
        <v>87.61</v>
      </c>
      <c r="AA15" s="40">
        <v>88.88</v>
      </c>
      <c r="AB15" s="95">
        <v>1466900</v>
      </c>
      <c r="AC15" s="40">
        <v>88.88</v>
      </c>
      <c r="AD15" s="2">
        <f t="shared" si="0"/>
        <v>1.769999999999996</v>
      </c>
      <c r="AE15" s="138">
        <f t="shared" si="1"/>
        <v>1.4496062093368289E-2</v>
      </c>
    </row>
    <row r="16" spans="1:31" x14ac:dyDescent="0.25">
      <c r="W16" s="157">
        <v>42586</v>
      </c>
      <c r="X16" s="40">
        <v>87.57</v>
      </c>
      <c r="Y16" s="40">
        <v>88.31</v>
      </c>
      <c r="Z16" s="40">
        <v>86.88</v>
      </c>
      <c r="AA16" s="40">
        <v>87.61</v>
      </c>
      <c r="AB16" s="95">
        <v>1684800</v>
      </c>
      <c r="AC16" s="40">
        <v>87.61</v>
      </c>
      <c r="AD16" s="2">
        <f t="shared" si="0"/>
        <v>1.4300000000000068</v>
      </c>
      <c r="AE16" s="138" t="e">
        <f t="shared" si="1"/>
        <v>#DIV/0!</v>
      </c>
    </row>
    <row r="17" spans="1:31" x14ac:dyDescent="0.25">
      <c r="W17" s="157">
        <v>42586</v>
      </c>
      <c r="X17" s="40" t="s">
        <v>141</v>
      </c>
      <c r="Y17" s="40"/>
      <c r="Z17" s="40"/>
      <c r="AA17" s="40"/>
      <c r="AB17" s="95"/>
      <c r="AC17" s="4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42585</v>
      </c>
      <c r="X18" s="40">
        <v>87.09</v>
      </c>
      <c r="Y18" s="40">
        <v>88.53</v>
      </c>
      <c r="Z18" s="40">
        <v>87</v>
      </c>
      <c r="AA18" s="40">
        <v>88.33</v>
      </c>
      <c r="AB18" s="95">
        <v>1424000</v>
      </c>
      <c r="AC18" s="40">
        <v>87.74</v>
      </c>
      <c r="AD18" s="2">
        <f t="shared" si="0"/>
        <v>1.5300000000000011</v>
      </c>
      <c r="AE18" s="138">
        <f t="shared" si="1"/>
        <v>1.328097932786676E-2</v>
      </c>
    </row>
    <row r="19" spans="1:31" x14ac:dyDescent="0.25">
      <c r="W19" s="157">
        <v>42584</v>
      </c>
      <c r="X19" s="40">
        <v>88.25</v>
      </c>
      <c r="Y19" s="40">
        <v>88.52</v>
      </c>
      <c r="Z19" s="40">
        <v>86.91</v>
      </c>
      <c r="AA19" s="40">
        <v>87.17</v>
      </c>
      <c r="AB19" s="95">
        <v>1002400</v>
      </c>
      <c r="AC19" s="40">
        <v>86.59</v>
      </c>
      <c r="AD19" s="2">
        <f t="shared" si="0"/>
        <v>1.6099999999999994</v>
      </c>
      <c r="AE19" s="138">
        <f t="shared" si="1"/>
        <v>-1.5575261482491887E-2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42583</v>
      </c>
      <c r="X20" s="40">
        <v>89.67</v>
      </c>
      <c r="Y20" s="40">
        <v>89.67</v>
      </c>
      <c r="Z20" s="40">
        <v>88.28</v>
      </c>
      <c r="AA20" s="40">
        <v>88.55</v>
      </c>
      <c r="AB20" s="95">
        <v>1639500</v>
      </c>
      <c r="AC20" s="40">
        <v>87.96</v>
      </c>
      <c r="AD20" s="2">
        <f t="shared" si="0"/>
        <v>1.3900000000000006</v>
      </c>
      <c r="AE20" s="138">
        <f t="shared" si="1"/>
        <v>-1.3680197353666879E-2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42580</v>
      </c>
      <c r="X21" s="40">
        <v>89.73</v>
      </c>
      <c r="Y21" s="40">
        <v>90.31</v>
      </c>
      <c r="Z21" s="40">
        <v>89.1</v>
      </c>
      <c r="AA21" s="40">
        <v>89.78</v>
      </c>
      <c r="AB21" s="95">
        <v>1218800</v>
      </c>
      <c r="AC21" s="40">
        <v>89.18</v>
      </c>
      <c r="AD21" s="2">
        <f t="shared" si="0"/>
        <v>1.210000000000008</v>
      </c>
      <c r="AE21" s="138">
        <f t="shared" si="1"/>
        <v>-2.6839633191678702E-3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42579</v>
      </c>
      <c r="X22" s="40">
        <v>89.75</v>
      </c>
      <c r="Y22" s="40">
        <v>91.03</v>
      </c>
      <c r="Z22" s="40">
        <v>88.88</v>
      </c>
      <c r="AA22" s="40">
        <v>90.02</v>
      </c>
      <c r="AB22" s="95">
        <v>1525900</v>
      </c>
      <c r="AC22" s="40">
        <v>89.42</v>
      </c>
      <c r="AD22" s="2">
        <f t="shared" si="0"/>
        <v>2.1500000000000057</v>
      </c>
      <c r="AE22" s="138">
        <f t="shared" si="1"/>
        <v>-1.3401831583650381E-3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42578</v>
      </c>
      <c r="X23" s="40">
        <v>92.44</v>
      </c>
      <c r="Y23" s="40">
        <v>92.5</v>
      </c>
      <c r="Z23" s="40">
        <v>89.18</v>
      </c>
      <c r="AA23" s="40">
        <v>90.14</v>
      </c>
      <c r="AB23" s="95">
        <v>2736400</v>
      </c>
      <c r="AC23" s="40">
        <v>89.54</v>
      </c>
      <c r="AD23" s="2">
        <f t="shared" si="0"/>
        <v>3.3199999999999932</v>
      </c>
      <c r="AE23" s="138">
        <f t="shared" si="1"/>
        <v>-2.8112449799196693E-2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42577</v>
      </c>
      <c r="X24" s="40">
        <v>91.96</v>
      </c>
      <c r="Y24" s="40">
        <v>93.09</v>
      </c>
      <c r="Z24" s="40">
        <v>91.5</v>
      </c>
      <c r="AA24" s="40">
        <v>92.75</v>
      </c>
      <c r="AB24" s="95">
        <v>2141500</v>
      </c>
      <c r="AC24" s="40">
        <v>92.13</v>
      </c>
      <c r="AD24" s="2">
        <f t="shared" si="0"/>
        <v>1.5900000000000034</v>
      </c>
      <c r="AE24" s="138">
        <f t="shared" si="1"/>
        <v>8.5385878489327993E-3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42576</v>
      </c>
      <c r="X25" s="40">
        <v>92</v>
      </c>
      <c r="Y25" s="40">
        <v>92.73</v>
      </c>
      <c r="Z25" s="40">
        <v>90.97</v>
      </c>
      <c r="AA25" s="40">
        <v>91.96</v>
      </c>
      <c r="AB25" s="95">
        <v>1277500</v>
      </c>
      <c r="AC25" s="40">
        <v>91.35</v>
      </c>
      <c r="AD25" s="2">
        <f t="shared" si="0"/>
        <v>1.7600000000000051</v>
      </c>
      <c r="AE25" s="138">
        <f t="shared" si="1"/>
        <v>-5.47045951860059E-4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42573</v>
      </c>
      <c r="X26" s="40">
        <v>91.34</v>
      </c>
      <c r="Y26" s="40">
        <v>92.1</v>
      </c>
      <c r="Z26" s="40">
        <v>90.79</v>
      </c>
      <c r="AA26" s="40">
        <v>92.01</v>
      </c>
      <c r="AB26" s="95">
        <v>1047000</v>
      </c>
      <c r="AC26" s="40">
        <v>91.4</v>
      </c>
      <c r="AD26" s="2">
        <f t="shared" si="0"/>
        <v>1.3099999999999881</v>
      </c>
      <c r="AE26" s="138">
        <f t="shared" si="1"/>
        <v>4.947773501924102E-3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42572</v>
      </c>
      <c r="X27" s="40">
        <v>91.12</v>
      </c>
      <c r="Y27" s="40">
        <v>92.16</v>
      </c>
      <c r="Z27" s="40">
        <v>90.53</v>
      </c>
      <c r="AA27" s="40">
        <v>91.56</v>
      </c>
      <c r="AB27" s="95">
        <v>1453700</v>
      </c>
      <c r="AC27" s="40">
        <v>90.95</v>
      </c>
      <c r="AD27" s="2">
        <f t="shared" si="0"/>
        <v>1.6299999999999955</v>
      </c>
      <c r="AE27" s="138">
        <f t="shared" si="1"/>
        <v>-2.0847048496818177E-3</v>
      </c>
    </row>
    <row r="28" spans="1:31" x14ac:dyDescent="0.25">
      <c r="W28" s="157">
        <v>42571</v>
      </c>
      <c r="X28" s="40">
        <v>91.4</v>
      </c>
      <c r="Y28" s="40">
        <v>92.01</v>
      </c>
      <c r="Z28" s="40">
        <v>90.7</v>
      </c>
      <c r="AA28" s="40">
        <v>91.75</v>
      </c>
      <c r="AB28" s="95">
        <v>1371700</v>
      </c>
      <c r="AC28" s="40">
        <v>91.14</v>
      </c>
      <c r="AD28" s="2">
        <f t="shared" si="0"/>
        <v>1.3100000000000023</v>
      </c>
      <c r="AE28" s="138">
        <f t="shared" si="1"/>
        <v>3.8550501156513484E-3</v>
      </c>
    </row>
    <row r="29" spans="1:31" x14ac:dyDescent="0.25">
      <c r="W29" s="157">
        <v>42570</v>
      </c>
      <c r="X29" s="40">
        <v>91.05</v>
      </c>
      <c r="Y29" s="40">
        <v>91.78</v>
      </c>
      <c r="Z29" s="40">
        <v>90.86</v>
      </c>
      <c r="AA29" s="40">
        <v>91.4</v>
      </c>
      <c r="AB29" s="95">
        <v>1154700</v>
      </c>
      <c r="AC29" s="40">
        <v>90.79</v>
      </c>
      <c r="AD29" s="2">
        <f t="shared" si="0"/>
        <v>0.92000000000000171</v>
      </c>
      <c r="AE29" s="138">
        <f t="shared" si="1"/>
        <v>-2.3076923076922329E-3</v>
      </c>
    </row>
    <row r="30" spans="1:31" x14ac:dyDescent="0.25">
      <c r="W30" s="157">
        <v>42569</v>
      </c>
      <c r="X30" s="40">
        <v>91.28</v>
      </c>
      <c r="Y30" s="40">
        <v>91.72</v>
      </c>
      <c r="Z30" s="40">
        <v>90.9</v>
      </c>
      <c r="AA30" s="40">
        <v>91.61</v>
      </c>
      <c r="AB30" s="95">
        <v>895800</v>
      </c>
      <c r="AC30" s="40">
        <v>91</v>
      </c>
      <c r="AD30" s="2">
        <f t="shared" si="0"/>
        <v>0.81999999999999318</v>
      </c>
      <c r="AE30" s="138">
        <f t="shared" si="1"/>
        <v>1.320422535211252E-3</v>
      </c>
    </row>
    <row r="31" spans="1:31" x14ac:dyDescent="0.25">
      <c r="W31" s="157">
        <v>42566</v>
      </c>
      <c r="X31" s="40">
        <v>91.9</v>
      </c>
      <c r="Y31" s="40">
        <v>92.3</v>
      </c>
      <c r="Z31" s="40">
        <v>90.78</v>
      </c>
      <c r="AA31" s="40">
        <v>91.49</v>
      </c>
      <c r="AB31" s="95">
        <v>1204000</v>
      </c>
      <c r="AC31" s="40">
        <v>90.88</v>
      </c>
      <c r="AD31" s="2">
        <f t="shared" si="0"/>
        <v>1.519999999999996</v>
      </c>
      <c r="AE31" s="138">
        <f t="shared" si="1"/>
        <v>-3.2901952182496919E-3</v>
      </c>
    </row>
    <row r="32" spans="1:31" x14ac:dyDescent="0.25">
      <c r="W32" s="157">
        <v>42565</v>
      </c>
      <c r="X32" s="40">
        <v>91.25</v>
      </c>
      <c r="Y32" s="40">
        <v>92.64</v>
      </c>
      <c r="Z32" s="40">
        <v>90.85</v>
      </c>
      <c r="AA32" s="40">
        <v>91.79</v>
      </c>
      <c r="AB32" s="95">
        <v>2310800</v>
      </c>
      <c r="AC32" s="40">
        <v>91.18</v>
      </c>
      <c r="AD32" s="2">
        <f t="shared" si="0"/>
        <v>1.7900000000000063</v>
      </c>
      <c r="AE32" s="138">
        <f t="shared" si="1"/>
        <v>1.1313220940550206E-2</v>
      </c>
    </row>
    <row r="33" spans="1:31" x14ac:dyDescent="0.25">
      <c r="L33" t="s">
        <v>65</v>
      </c>
      <c r="M33" s="2">
        <f>K51+M51-F51</f>
        <v>-168.6200000000008</v>
      </c>
      <c r="W33" s="157">
        <v>42564</v>
      </c>
      <c r="X33" s="40">
        <v>88.99</v>
      </c>
      <c r="Y33" s="40">
        <v>91.43</v>
      </c>
      <c r="Z33" s="40">
        <v>87.47</v>
      </c>
      <c r="AA33" s="40">
        <v>90.77</v>
      </c>
      <c r="AB33" s="95">
        <v>2658300</v>
      </c>
      <c r="AC33" s="40">
        <v>90.16</v>
      </c>
      <c r="AD33" s="2">
        <f t="shared" si="0"/>
        <v>3.960000000000008</v>
      </c>
      <c r="AE33" s="138">
        <f t="shared" si="1"/>
        <v>2.6528521006489836E-2</v>
      </c>
    </row>
    <row r="34" spans="1:31" x14ac:dyDescent="0.25">
      <c r="A34" s="391" t="s">
        <v>1</v>
      </c>
      <c r="B34" s="391" t="s">
        <v>2</v>
      </c>
      <c r="C34" s="391" t="s">
        <v>4</v>
      </c>
      <c r="D34" s="393" t="s">
        <v>5</v>
      </c>
      <c r="E34" s="393" t="s">
        <v>94</v>
      </c>
      <c r="F34" s="393" t="s">
        <v>60</v>
      </c>
      <c r="G34" s="391" t="s">
        <v>3</v>
      </c>
      <c r="H34" s="391" t="s">
        <v>6</v>
      </c>
      <c r="I34" s="391" t="s">
        <v>7</v>
      </c>
      <c r="J34" s="391" t="s">
        <v>95</v>
      </c>
      <c r="K34" s="391" t="s">
        <v>61</v>
      </c>
      <c r="L34" s="391" t="s">
        <v>77</v>
      </c>
      <c r="M34" s="391" t="s">
        <v>38</v>
      </c>
      <c r="W34" s="157">
        <v>42563</v>
      </c>
      <c r="X34" s="40">
        <v>87.61</v>
      </c>
      <c r="Y34" s="40">
        <v>88.96</v>
      </c>
      <c r="Z34" s="40">
        <v>87.61</v>
      </c>
      <c r="AA34" s="40">
        <v>88.42</v>
      </c>
      <c r="AB34" s="95">
        <v>1491600</v>
      </c>
      <c r="AC34" s="40">
        <v>87.83</v>
      </c>
      <c r="AD34" s="2">
        <f t="shared" si="0"/>
        <v>1.3499999999999943</v>
      </c>
      <c r="AE34" s="138">
        <f t="shared" si="1"/>
        <v>1.6904017598703192E-2</v>
      </c>
    </row>
    <row r="35" spans="1:31" x14ac:dyDescent="0.25">
      <c r="A35" s="394" t="s">
        <v>47</v>
      </c>
      <c r="B35" s="384">
        <v>42185</v>
      </c>
      <c r="C35" s="385">
        <v>10</v>
      </c>
      <c r="D35" s="386">
        <v>88.85</v>
      </c>
      <c r="E35" s="386">
        <v>0</v>
      </c>
      <c r="F35" s="386">
        <f t="shared" ref="F35:F40" si="2">C35*D35</f>
        <v>888.5</v>
      </c>
      <c r="G35" s="384">
        <v>42310</v>
      </c>
      <c r="H35" s="389">
        <v>75</v>
      </c>
      <c r="I35" s="386">
        <v>80.650000000000006</v>
      </c>
      <c r="J35" s="385">
        <v>7.06</v>
      </c>
      <c r="K35" s="385">
        <f>H35*I35-J35</f>
        <v>6041.69</v>
      </c>
      <c r="L35" s="384">
        <v>42257</v>
      </c>
      <c r="M35" s="386">
        <v>35.4</v>
      </c>
      <c r="W35" s="157">
        <v>42562</v>
      </c>
      <c r="X35" s="40">
        <v>86.65</v>
      </c>
      <c r="Y35" s="40">
        <v>87.47</v>
      </c>
      <c r="Z35" s="40">
        <v>86.64</v>
      </c>
      <c r="AA35" s="40">
        <v>86.95</v>
      </c>
      <c r="AB35" s="95">
        <v>1466300</v>
      </c>
      <c r="AC35" s="40">
        <v>86.37</v>
      </c>
      <c r="AD35" s="2">
        <f t="shared" si="0"/>
        <v>0.82999999999999829</v>
      </c>
      <c r="AE35" s="138">
        <f t="shared" si="1"/>
        <v>6.1742777260018755E-3</v>
      </c>
    </row>
    <row r="36" spans="1:31" x14ac:dyDescent="0.25">
      <c r="A36" s="395" t="s">
        <v>71</v>
      </c>
      <c r="B36" s="384">
        <v>42214</v>
      </c>
      <c r="C36" s="385">
        <v>10</v>
      </c>
      <c r="D36" s="386">
        <v>83</v>
      </c>
      <c r="E36" s="386">
        <v>0</v>
      </c>
      <c r="F36" s="386">
        <f t="shared" si="2"/>
        <v>830</v>
      </c>
      <c r="G36" s="384">
        <v>42335</v>
      </c>
      <c r="H36" s="389">
        <v>60</v>
      </c>
      <c r="I36" s="386">
        <v>95.71</v>
      </c>
      <c r="J36" s="386">
        <v>0.11</v>
      </c>
      <c r="K36" s="385">
        <f>H36*I36-J36</f>
        <v>5742.49</v>
      </c>
      <c r="L36" s="385"/>
      <c r="M36" s="386"/>
      <c r="W36" s="157">
        <v>42559</v>
      </c>
      <c r="X36" s="40">
        <v>84.79</v>
      </c>
      <c r="Y36" s="40">
        <v>86.94</v>
      </c>
      <c r="Z36" s="40">
        <v>84.67</v>
      </c>
      <c r="AA36" s="40">
        <v>86.42</v>
      </c>
      <c r="AB36" s="95">
        <v>2131400</v>
      </c>
      <c r="AC36" s="40">
        <v>85.84</v>
      </c>
      <c r="AD36" s="2">
        <f t="shared" si="0"/>
        <v>2.269999999999996</v>
      </c>
      <c r="AE36" s="138">
        <f t="shared" si="1"/>
        <v>2.8270244369908992E-2</v>
      </c>
    </row>
    <row r="37" spans="1:31" x14ac:dyDescent="0.25">
      <c r="A37" s="385"/>
      <c r="B37" s="384">
        <v>42221</v>
      </c>
      <c r="C37" s="385">
        <v>30</v>
      </c>
      <c r="D37" s="386">
        <v>84.6</v>
      </c>
      <c r="E37" s="386">
        <v>0</v>
      </c>
      <c r="F37" s="386">
        <f t="shared" si="2"/>
        <v>2538</v>
      </c>
      <c r="G37" s="385"/>
      <c r="H37" s="389"/>
      <c r="I37" s="385"/>
      <c r="J37" s="385"/>
      <c r="K37" s="385"/>
      <c r="L37" s="385"/>
      <c r="M37" s="386"/>
      <c r="W37" s="157">
        <v>42558</v>
      </c>
      <c r="X37" s="40">
        <v>85.02</v>
      </c>
      <c r="Y37" s="40">
        <v>85.4</v>
      </c>
      <c r="Z37" s="40">
        <v>83.66</v>
      </c>
      <c r="AA37" s="40">
        <v>84.04</v>
      </c>
      <c r="AB37" s="95">
        <v>1452000</v>
      </c>
      <c r="AC37" s="40">
        <v>83.48</v>
      </c>
      <c r="AD37" s="2">
        <f t="shared" si="0"/>
        <v>1.7400000000000091</v>
      </c>
      <c r="AE37" s="138">
        <f t="shared" si="1"/>
        <v>-1.0666034605356645E-2</v>
      </c>
    </row>
    <row r="38" spans="1:31" x14ac:dyDescent="0.25">
      <c r="A38" s="385"/>
      <c r="B38" s="384">
        <v>42222</v>
      </c>
      <c r="C38" s="385">
        <v>10</v>
      </c>
      <c r="D38" s="386">
        <v>83.08</v>
      </c>
      <c r="E38" s="386">
        <v>0</v>
      </c>
      <c r="F38" s="386">
        <f t="shared" si="2"/>
        <v>830.8</v>
      </c>
      <c r="G38" s="385"/>
      <c r="H38" s="389"/>
      <c r="I38" s="385"/>
      <c r="J38" s="385"/>
      <c r="K38" s="385"/>
      <c r="L38" s="385"/>
      <c r="M38" s="386"/>
      <c r="W38" s="157">
        <v>42557</v>
      </c>
      <c r="X38" s="40">
        <v>83.83</v>
      </c>
      <c r="Y38" s="40">
        <v>85.26</v>
      </c>
      <c r="Z38" s="40">
        <v>83.3</v>
      </c>
      <c r="AA38" s="40">
        <v>84.95</v>
      </c>
      <c r="AB38" s="95">
        <v>1839000</v>
      </c>
      <c r="AC38" s="40">
        <v>84.38</v>
      </c>
      <c r="AD38" s="2">
        <f t="shared" si="0"/>
        <v>1.960000000000008</v>
      </c>
      <c r="AE38" s="138">
        <f t="shared" si="1"/>
        <v>1.2479001679865487E-2</v>
      </c>
    </row>
    <row r="39" spans="1:31" x14ac:dyDescent="0.25">
      <c r="A39" s="385"/>
      <c r="B39" s="384">
        <v>42272</v>
      </c>
      <c r="C39" s="385">
        <v>15</v>
      </c>
      <c r="D39" s="386">
        <v>77.3</v>
      </c>
      <c r="E39" s="386">
        <v>0</v>
      </c>
      <c r="F39" s="386">
        <f t="shared" si="2"/>
        <v>1159.5</v>
      </c>
      <c r="G39" s="385"/>
      <c r="H39" s="389"/>
      <c r="I39" s="385"/>
      <c r="J39" s="385"/>
      <c r="K39" s="385"/>
      <c r="L39" s="385"/>
      <c r="M39" s="385"/>
      <c r="W39" s="157">
        <v>42556</v>
      </c>
      <c r="X39" s="40">
        <v>84.82</v>
      </c>
      <c r="Y39" s="40">
        <v>85.15</v>
      </c>
      <c r="Z39" s="40">
        <v>83.23</v>
      </c>
      <c r="AA39" s="40">
        <v>83.9</v>
      </c>
      <c r="AB39" s="95">
        <v>1406700</v>
      </c>
      <c r="AC39" s="40">
        <v>83.34</v>
      </c>
      <c r="AD39" s="2">
        <f t="shared" si="0"/>
        <v>1.9200000000000017</v>
      </c>
      <c r="AE39" s="138">
        <f t="shared" si="1"/>
        <v>-1.5242821694434472E-2</v>
      </c>
    </row>
    <row r="40" spans="1:31" x14ac:dyDescent="0.25">
      <c r="A40" s="385"/>
      <c r="B40" s="384">
        <v>42335</v>
      </c>
      <c r="C40" s="385">
        <v>60</v>
      </c>
      <c r="D40" s="386">
        <v>95.69</v>
      </c>
      <c r="E40" s="386">
        <v>0</v>
      </c>
      <c r="F40" s="386">
        <f t="shared" si="2"/>
        <v>5741.4</v>
      </c>
      <c r="G40" s="385"/>
      <c r="H40" s="389"/>
      <c r="I40" s="385"/>
      <c r="J40" s="385"/>
      <c r="K40" s="385"/>
      <c r="L40" s="385"/>
      <c r="M40" s="385"/>
      <c r="W40" s="157">
        <v>42552</v>
      </c>
      <c r="X40" s="40">
        <v>84.89</v>
      </c>
      <c r="Y40" s="40">
        <v>85.64</v>
      </c>
      <c r="Z40" s="40">
        <v>84.7</v>
      </c>
      <c r="AA40" s="40">
        <v>85.2</v>
      </c>
      <c r="AB40" s="95">
        <v>1239900</v>
      </c>
      <c r="AC40" s="40">
        <v>84.63</v>
      </c>
      <c r="AD40" s="2">
        <f t="shared" si="0"/>
        <v>0.93999999999999773</v>
      </c>
      <c r="AE40" s="138">
        <f t="shared" si="1"/>
        <v>8.2781456953640031E-4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9"/>
      <c r="I41" s="385"/>
      <c r="J41" s="385"/>
      <c r="K41" s="385"/>
      <c r="L41" s="385"/>
      <c r="M41" s="385"/>
      <c r="W41" s="157">
        <v>42551</v>
      </c>
      <c r="X41" s="40">
        <v>84.16</v>
      </c>
      <c r="Y41" s="40">
        <v>85.13</v>
      </c>
      <c r="Z41" s="40">
        <v>83.23</v>
      </c>
      <c r="AA41" s="40">
        <v>85.13</v>
      </c>
      <c r="AB41" s="95">
        <v>1460800</v>
      </c>
      <c r="AC41" s="40">
        <v>84.56</v>
      </c>
      <c r="AD41" s="2">
        <f t="shared" si="0"/>
        <v>1.8999999999999915</v>
      </c>
      <c r="AE41" s="138">
        <f t="shared" si="1"/>
        <v>1.64683255198943E-2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154" t="s">
        <v>78</v>
      </c>
      <c r="P42" s="154"/>
      <c r="R42" s="34"/>
      <c r="T42" s="155" t="s">
        <v>92</v>
      </c>
      <c r="W42" s="157">
        <v>42550</v>
      </c>
      <c r="X42" s="40">
        <v>83.02</v>
      </c>
      <c r="Y42" s="40">
        <v>84.19</v>
      </c>
      <c r="Z42" s="40">
        <v>82.91</v>
      </c>
      <c r="AA42" s="40">
        <v>83.75</v>
      </c>
      <c r="AB42" s="95">
        <v>951500</v>
      </c>
      <c r="AC42" s="40">
        <v>83.19</v>
      </c>
      <c r="AD42" s="2">
        <f t="shared" si="0"/>
        <v>1.2800000000000011</v>
      </c>
      <c r="AE42" s="138">
        <f t="shared" si="1"/>
        <v>1.8486777668951904E-2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 t="shared" ref="P43:P63" si="3">O43*$Q$4</f>
        <v>101.31</v>
      </c>
      <c r="Q43" s="2"/>
      <c r="R43" s="34"/>
      <c r="T43" s="10" t="s">
        <v>98</v>
      </c>
      <c r="U43" s="88">
        <v>92.03</v>
      </c>
      <c r="W43" s="157">
        <v>42549</v>
      </c>
      <c r="X43" s="40">
        <v>80.78</v>
      </c>
      <c r="Y43" s="40">
        <v>82.45</v>
      </c>
      <c r="Z43" s="40">
        <v>80.42</v>
      </c>
      <c r="AA43" s="40">
        <v>82.23</v>
      </c>
      <c r="AB43" s="95">
        <v>1538100</v>
      </c>
      <c r="AC43" s="40">
        <v>81.680000000000007</v>
      </c>
      <c r="AD43" s="2">
        <f t="shared" si="0"/>
        <v>2.0300000000000011</v>
      </c>
      <c r="AE43" s="138">
        <f t="shared" si="1"/>
        <v>3.1964624131396002E-2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si="3"/>
        <v>100.389</v>
      </c>
      <c r="Q44" s="2"/>
      <c r="R44" s="34"/>
      <c r="T44" s="10" t="s">
        <v>99</v>
      </c>
      <c r="U44" s="88">
        <v>91.98</v>
      </c>
      <c r="W44" s="157">
        <v>42548</v>
      </c>
      <c r="X44" s="40">
        <v>81.650000000000006</v>
      </c>
      <c r="Y44" s="40">
        <v>81.96</v>
      </c>
      <c r="Z44" s="40">
        <v>78.73</v>
      </c>
      <c r="AA44" s="40">
        <v>79.680000000000007</v>
      </c>
      <c r="AB44" s="95">
        <v>2009000</v>
      </c>
      <c r="AC44" s="40">
        <v>79.150000000000006</v>
      </c>
      <c r="AD44" s="2">
        <f t="shared" si="0"/>
        <v>3.2299999999999898</v>
      </c>
      <c r="AE44" s="138">
        <f t="shared" si="1"/>
        <v>-3.5814350103544834E-2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3"/>
        <v>99.468000000000004</v>
      </c>
      <c r="Q45" s="2"/>
      <c r="R45" s="34"/>
      <c r="T45" s="10" t="s">
        <v>100</v>
      </c>
      <c r="U45" s="88" t="s">
        <v>446</v>
      </c>
      <c r="W45" s="157">
        <v>42545</v>
      </c>
      <c r="X45" s="40">
        <v>83.88</v>
      </c>
      <c r="Y45" s="40">
        <v>84.85</v>
      </c>
      <c r="Z45" s="40">
        <v>82.49</v>
      </c>
      <c r="AA45" s="40">
        <v>82.64</v>
      </c>
      <c r="AB45" s="95">
        <v>2196800</v>
      </c>
      <c r="AC45" s="40">
        <v>82.09</v>
      </c>
      <c r="AD45" s="2">
        <f t="shared" si="0"/>
        <v>2.3599999999999994</v>
      </c>
      <c r="AE45" s="138">
        <f t="shared" si="1"/>
        <v>-5.0104142559592613E-2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3"/>
        <v>98.546999999999997</v>
      </c>
      <c r="Q46" s="2"/>
      <c r="R46" s="34"/>
      <c r="T46" s="10" t="s">
        <v>101</v>
      </c>
      <c r="U46" s="88" t="s">
        <v>447</v>
      </c>
      <c r="W46" s="157">
        <v>42544</v>
      </c>
      <c r="X46" s="40">
        <v>86.93</v>
      </c>
      <c r="Y46" s="40">
        <v>87.5</v>
      </c>
      <c r="Z46" s="40">
        <v>86.2</v>
      </c>
      <c r="AA46" s="40">
        <v>87</v>
      </c>
      <c r="AB46" s="95">
        <v>1291900</v>
      </c>
      <c r="AC46" s="40">
        <v>86.42</v>
      </c>
      <c r="AD46" s="2">
        <f t="shared" si="0"/>
        <v>1.2999999999999972</v>
      </c>
      <c r="AE46" s="138">
        <f t="shared" si="1"/>
        <v>1.099672437997179E-2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5"/>
      <c r="J47" s="385"/>
      <c r="K47" s="385"/>
      <c r="L47" s="385"/>
      <c r="M47" s="385"/>
      <c r="O47" s="83">
        <v>1.06</v>
      </c>
      <c r="P47" s="83">
        <f t="shared" si="3"/>
        <v>97.626000000000005</v>
      </c>
      <c r="Q47" s="2"/>
      <c r="R47" s="34"/>
      <c r="T47" s="10" t="s">
        <v>102</v>
      </c>
      <c r="U47" s="88">
        <v>91.62</v>
      </c>
      <c r="W47" s="157">
        <v>42543</v>
      </c>
      <c r="X47" s="40">
        <v>85.23</v>
      </c>
      <c r="Y47" s="40">
        <v>86.54</v>
      </c>
      <c r="Z47" s="40">
        <v>85.02</v>
      </c>
      <c r="AA47" s="40">
        <v>86.05</v>
      </c>
      <c r="AB47" s="95">
        <v>1488700</v>
      </c>
      <c r="AC47" s="40">
        <v>85.48</v>
      </c>
      <c r="AD47" s="2">
        <f t="shared" si="0"/>
        <v>1.5200000000000102</v>
      </c>
      <c r="AE47" s="138">
        <f t="shared" si="1"/>
        <v>1.2316437707247774E-2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3"/>
        <v>96.704999999999998</v>
      </c>
      <c r="Q48" s="2"/>
      <c r="R48" s="34"/>
      <c r="T48" s="10" t="s">
        <v>103</v>
      </c>
      <c r="U48" s="88">
        <v>1.3119099999999999</v>
      </c>
      <c r="W48" s="157">
        <v>42542</v>
      </c>
      <c r="X48" s="40">
        <v>84.32</v>
      </c>
      <c r="Y48" s="40">
        <v>85.54</v>
      </c>
      <c r="Z48" s="40">
        <v>84.32</v>
      </c>
      <c r="AA48" s="40">
        <v>85.01</v>
      </c>
      <c r="AB48" s="95">
        <v>1200500</v>
      </c>
      <c r="AC48" s="40">
        <v>84.44</v>
      </c>
      <c r="AD48" s="2">
        <f t="shared" si="0"/>
        <v>1.2200000000000131</v>
      </c>
      <c r="AE48" s="138">
        <f t="shared" si="1"/>
        <v>-7.5223319228960861E-3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5"/>
      <c r="J49" s="385"/>
      <c r="K49" s="385"/>
      <c r="L49" s="385"/>
      <c r="M49" s="385"/>
      <c r="O49" s="83">
        <v>1.04</v>
      </c>
      <c r="P49" s="83">
        <f t="shared" si="3"/>
        <v>95.783999999999992</v>
      </c>
      <c r="Q49" s="2"/>
      <c r="R49" s="34"/>
      <c r="T49" s="10" t="s">
        <v>123</v>
      </c>
      <c r="U49" s="88" t="s">
        <v>332</v>
      </c>
      <c r="W49" s="157">
        <v>42541</v>
      </c>
      <c r="X49" s="40">
        <v>86.21</v>
      </c>
      <c r="Y49" s="40">
        <v>86.99</v>
      </c>
      <c r="Z49" s="40">
        <v>85.48</v>
      </c>
      <c r="AA49" s="40">
        <v>85.65</v>
      </c>
      <c r="AB49" s="95">
        <v>1777000</v>
      </c>
      <c r="AC49" s="40">
        <v>85.08</v>
      </c>
      <c r="AD49" s="2">
        <f t="shared" si="0"/>
        <v>1.5099999999999909</v>
      </c>
      <c r="AE49" s="138">
        <f t="shared" si="1"/>
        <v>5.4360671236113323E-3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5"/>
      <c r="I50" s="385"/>
      <c r="J50" s="385"/>
      <c r="K50" s="385"/>
      <c r="L50" s="385"/>
      <c r="M50" s="385"/>
      <c r="O50" s="83">
        <v>1.03</v>
      </c>
      <c r="P50" s="83">
        <f t="shared" si="3"/>
        <v>94.863</v>
      </c>
      <c r="Q50" s="2"/>
      <c r="R50" s="34"/>
      <c r="T50" s="10"/>
      <c r="U50" s="88"/>
      <c r="W50" s="157">
        <v>42538</v>
      </c>
      <c r="X50" s="40">
        <v>84.15</v>
      </c>
      <c r="Y50" s="40">
        <v>85.72</v>
      </c>
      <c r="Z50" s="40">
        <v>83.84</v>
      </c>
      <c r="AA50" s="40">
        <v>85.19</v>
      </c>
      <c r="AB50" s="95">
        <v>2195200</v>
      </c>
      <c r="AC50" s="40">
        <v>84.62</v>
      </c>
      <c r="AD50" s="2">
        <f t="shared" si="0"/>
        <v>1.8799999999999955</v>
      </c>
      <c r="AE50" s="138">
        <f t="shared" si="1"/>
        <v>1.1837857228267579E-2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93.941999999999993</v>
      </c>
      <c r="Q51" s="2"/>
      <c r="R51" s="34"/>
      <c r="T51" s="10" t="s">
        <v>105</v>
      </c>
      <c r="U51" s="88" t="s">
        <v>448</v>
      </c>
      <c r="W51" s="157">
        <v>42537</v>
      </c>
      <c r="X51" s="40">
        <v>83.03</v>
      </c>
      <c r="Y51" s="40">
        <v>84.5</v>
      </c>
      <c r="Z51" s="40">
        <v>82.28</v>
      </c>
      <c r="AA51" s="40">
        <v>84.19</v>
      </c>
      <c r="AB51" s="95">
        <v>1553700</v>
      </c>
      <c r="AC51" s="40">
        <v>83.63</v>
      </c>
      <c r="AD51" s="2">
        <f t="shared" si="0"/>
        <v>2.2199999999999989</v>
      </c>
      <c r="AE51" s="138">
        <f t="shared" si="1"/>
        <v>8.3192669399565489E-3</v>
      </c>
    </row>
    <row r="52" spans="1:31" x14ac:dyDescent="0.25">
      <c r="O52" s="83">
        <v>1.01</v>
      </c>
      <c r="P52" s="83">
        <f t="shared" si="3"/>
        <v>93.021000000000001</v>
      </c>
      <c r="Q52" s="2"/>
      <c r="R52" s="34"/>
      <c r="T52" s="10" t="s">
        <v>106</v>
      </c>
      <c r="U52" s="88" t="s">
        <v>227</v>
      </c>
      <c r="W52" s="157">
        <v>42536</v>
      </c>
      <c r="X52" s="40">
        <v>83.23</v>
      </c>
      <c r="Y52" s="40">
        <v>84.26</v>
      </c>
      <c r="Z52" s="40">
        <v>82.63</v>
      </c>
      <c r="AA52" s="40">
        <v>83.5</v>
      </c>
      <c r="AB52" s="95">
        <v>1774700</v>
      </c>
      <c r="AC52" s="40">
        <v>82.94</v>
      </c>
      <c r="AD52" s="2">
        <f t="shared" si="0"/>
        <v>1.6300000000000097</v>
      </c>
      <c r="AE52" s="138">
        <f t="shared" si="1"/>
        <v>8.3890577507599318E-3</v>
      </c>
    </row>
    <row r="53" spans="1:31" x14ac:dyDescent="0.25">
      <c r="O53" s="83">
        <v>1</v>
      </c>
      <c r="P53" s="83">
        <f t="shared" si="3"/>
        <v>92.1</v>
      </c>
      <c r="Q53" s="2"/>
      <c r="R53" s="34"/>
      <c r="T53" s="10" t="s">
        <v>107</v>
      </c>
      <c r="U53" s="90">
        <v>793665</v>
      </c>
      <c r="W53" s="157">
        <v>42535</v>
      </c>
      <c r="X53" s="40">
        <v>83.23</v>
      </c>
      <c r="Y53" s="40">
        <v>84.25</v>
      </c>
      <c r="Z53" s="40">
        <v>82.58</v>
      </c>
      <c r="AA53" s="40">
        <v>82.8</v>
      </c>
      <c r="AB53" s="95">
        <v>1071000</v>
      </c>
      <c r="AC53" s="40">
        <v>82.25</v>
      </c>
      <c r="AD53" s="2">
        <f t="shared" si="0"/>
        <v>1.6700000000000017</v>
      </c>
      <c r="AE53" s="138">
        <f t="shared" si="1"/>
        <v>-5.0804403048264613E-3</v>
      </c>
    </row>
    <row r="54" spans="1:31" x14ac:dyDescent="0.25">
      <c r="O54" s="83">
        <v>0.99</v>
      </c>
      <c r="P54" s="83">
        <f t="shared" si="3"/>
        <v>91.178999999999988</v>
      </c>
      <c r="Q54" s="2"/>
      <c r="R54" s="34"/>
      <c r="T54" s="10" t="s">
        <v>110</v>
      </c>
      <c r="U54" s="90">
        <v>1485260</v>
      </c>
      <c r="W54" s="157">
        <v>42534</v>
      </c>
      <c r="X54" s="40">
        <v>84</v>
      </c>
      <c r="Y54" s="40">
        <v>84.4</v>
      </c>
      <c r="Z54" s="40">
        <v>83.21</v>
      </c>
      <c r="AA54" s="40">
        <v>83.23</v>
      </c>
      <c r="AB54" s="95">
        <v>1617000</v>
      </c>
      <c r="AC54" s="40">
        <v>82.67</v>
      </c>
      <c r="AD54" s="2">
        <f t="shared" si="0"/>
        <v>1.1900000000000119</v>
      </c>
      <c r="AE54" s="138">
        <f t="shared" si="1"/>
        <v>-1.029570214294262E-2</v>
      </c>
    </row>
    <row r="55" spans="1:31" x14ac:dyDescent="0.25">
      <c r="O55" s="83">
        <v>0.98</v>
      </c>
      <c r="P55" s="83">
        <f t="shared" si="3"/>
        <v>90.257999999999996</v>
      </c>
      <c r="Q55" s="2"/>
      <c r="R55" s="34"/>
      <c r="T55" s="10" t="s">
        <v>108</v>
      </c>
      <c r="U55" s="88" t="s">
        <v>449</v>
      </c>
      <c r="W55" s="157">
        <v>42531</v>
      </c>
      <c r="X55" s="40">
        <v>85.14</v>
      </c>
      <c r="Y55" s="40">
        <v>85.16</v>
      </c>
      <c r="Z55" s="40">
        <v>83.46</v>
      </c>
      <c r="AA55" s="40">
        <v>84.09</v>
      </c>
      <c r="AB55" s="95">
        <v>1168100</v>
      </c>
      <c r="AC55" s="40">
        <v>83.53</v>
      </c>
      <c r="AD55" s="2">
        <f t="shared" si="0"/>
        <v>1.7000000000000028</v>
      </c>
      <c r="AE55" s="138">
        <f t="shared" si="1"/>
        <v>-1.7640832647300986E-2</v>
      </c>
    </row>
    <row r="56" spans="1:31" x14ac:dyDescent="0.25">
      <c r="O56" s="83">
        <v>0.97</v>
      </c>
      <c r="P56" s="83">
        <f t="shared" si="3"/>
        <v>89.336999999999989</v>
      </c>
      <c r="T56" s="10" t="s">
        <v>111</v>
      </c>
      <c r="U56" s="88">
        <v>17.25</v>
      </c>
      <c r="W56" s="157">
        <v>42530</v>
      </c>
      <c r="X56" s="40">
        <v>85.29</v>
      </c>
      <c r="Y56" s="40">
        <v>85.74</v>
      </c>
      <c r="Z56" s="40">
        <v>83.82</v>
      </c>
      <c r="AA56" s="40">
        <v>85.6</v>
      </c>
      <c r="AB56" s="95">
        <v>1817600</v>
      </c>
      <c r="AC56" s="40">
        <v>85.03</v>
      </c>
      <c r="AD56" s="2">
        <f t="shared" si="0"/>
        <v>1.9200000000000017</v>
      </c>
      <c r="AE56" s="138">
        <f t="shared" si="1"/>
        <v>-4.0993206840008733E-3</v>
      </c>
    </row>
    <row r="57" spans="1:31" x14ac:dyDescent="0.25">
      <c r="O57" s="83">
        <v>0.96</v>
      </c>
      <c r="P57" s="83">
        <f t="shared" si="3"/>
        <v>88.415999999999997</v>
      </c>
      <c r="T57" s="10" t="s">
        <v>112</v>
      </c>
      <c r="U57" s="88">
        <v>5.34</v>
      </c>
      <c r="W57" s="157">
        <v>42529</v>
      </c>
      <c r="X57" s="40">
        <v>83.99</v>
      </c>
      <c r="Y57" s="40">
        <v>86.69</v>
      </c>
      <c r="Z57" s="40">
        <v>83.67</v>
      </c>
      <c r="AA57" s="40">
        <v>85.95</v>
      </c>
      <c r="AB57" s="95">
        <v>1862800</v>
      </c>
      <c r="AC57" s="40">
        <v>85.38</v>
      </c>
      <c r="AD57" s="2">
        <f t="shared" si="0"/>
        <v>3.019999999999996</v>
      </c>
      <c r="AE57" s="138">
        <f t="shared" si="1"/>
        <v>2.6448665544601901E-2</v>
      </c>
    </row>
    <row r="58" spans="1:31" x14ac:dyDescent="0.25">
      <c r="O58" s="83">
        <v>0.95</v>
      </c>
      <c r="P58" s="83">
        <f t="shared" si="3"/>
        <v>87.49499999999999</v>
      </c>
      <c r="T58" s="10" t="s">
        <v>109</v>
      </c>
      <c r="U58" s="88" t="s">
        <v>389</v>
      </c>
      <c r="W58" s="157">
        <v>42528</v>
      </c>
      <c r="X58" s="40">
        <v>83.31</v>
      </c>
      <c r="Y58" s="40">
        <v>84.78</v>
      </c>
      <c r="Z58" s="40">
        <v>83.31</v>
      </c>
      <c r="AA58" s="40">
        <v>83.74</v>
      </c>
      <c r="AB58" s="95">
        <v>1139900</v>
      </c>
      <c r="AC58" s="40">
        <v>83.18</v>
      </c>
      <c r="AD58" s="2">
        <f t="shared" si="0"/>
        <v>1.4699999999999989</v>
      </c>
      <c r="AE58" s="138">
        <f t="shared" si="1"/>
        <v>5.6825051384357117E-3</v>
      </c>
    </row>
    <row r="59" spans="1:31" x14ac:dyDescent="0.25">
      <c r="O59" s="83">
        <v>0.94</v>
      </c>
      <c r="P59" s="83">
        <f t="shared" si="3"/>
        <v>86.573999999999984</v>
      </c>
      <c r="W59" s="157">
        <v>42527</v>
      </c>
      <c r="X59" s="40">
        <v>83.54</v>
      </c>
      <c r="Y59" s="40">
        <v>84.3</v>
      </c>
      <c r="Z59" s="40">
        <v>82.58</v>
      </c>
      <c r="AA59" s="40">
        <v>83.27</v>
      </c>
      <c r="AB59" s="95">
        <v>1493700</v>
      </c>
      <c r="AC59" s="40">
        <v>82.71</v>
      </c>
      <c r="AD59" s="2">
        <f t="shared" si="0"/>
        <v>1.7199999999999989</v>
      </c>
      <c r="AE59" s="138">
        <f t="shared" si="1"/>
        <v>1.938219261053975E-3</v>
      </c>
    </row>
    <row r="60" spans="1:31" x14ac:dyDescent="0.25">
      <c r="O60" s="83">
        <v>0.93</v>
      </c>
      <c r="P60" s="83">
        <f t="shared" si="3"/>
        <v>85.653000000000006</v>
      </c>
      <c r="W60" s="157">
        <v>42524</v>
      </c>
      <c r="X60" s="40">
        <v>82.58</v>
      </c>
      <c r="Y60" s="40">
        <v>83.47</v>
      </c>
      <c r="Z60" s="40">
        <v>81.91</v>
      </c>
      <c r="AA60" s="40">
        <v>83.11</v>
      </c>
      <c r="AB60" s="95">
        <v>1554800</v>
      </c>
      <c r="AC60" s="40">
        <v>82.55</v>
      </c>
      <c r="AD60" s="2">
        <f t="shared" si="0"/>
        <v>1.5600000000000023</v>
      </c>
      <c r="AE60" s="138">
        <f t="shared" si="1"/>
        <v>-7.263043215107734E-4</v>
      </c>
    </row>
    <row r="61" spans="1:31" x14ac:dyDescent="0.25">
      <c r="O61" s="83">
        <v>0.92</v>
      </c>
      <c r="P61" s="83">
        <f t="shared" si="3"/>
        <v>84.731999999999999</v>
      </c>
      <c r="W61" s="157">
        <v>42523</v>
      </c>
      <c r="X61" s="40">
        <v>82.6</v>
      </c>
      <c r="Y61" s="40">
        <v>83.23</v>
      </c>
      <c r="Z61" s="40">
        <v>82.06</v>
      </c>
      <c r="AA61" s="40">
        <v>83.17</v>
      </c>
      <c r="AB61" s="95">
        <v>1003600</v>
      </c>
      <c r="AC61" s="40">
        <v>82.61</v>
      </c>
      <c r="AD61" s="2">
        <f t="shared" si="0"/>
        <v>1.1700000000000017</v>
      </c>
      <c r="AE61" s="138">
        <f t="shared" si="1"/>
        <v>1.8190637885036054E-3</v>
      </c>
    </row>
    <row r="62" spans="1:31" x14ac:dyDescent="0.25">
      <c r="O62" s="83">
        <v>0.91</v>
      </c>
      <c r="P62" s="83">
        <f t="shared" si="3"/>
        <v>83.810999999999993</v>
      </c>
      <c r="W62" s="157">
        <v>42522</v>
      </c>
      <c r="X62" s="40">
        <v>83.3</v>
      </c>
      <c r="Y62" s="40">
        <v>83.41</v>
      </c>
      <c r="Z62" s="40">
        <v>81.790000000000006</v>
      </c>
      <c r="AA62" s="40">
        <v>83.01</v>
      </c>
      <c r="AB62" s="95">
        <v>1525700</v>
      </c>
      <c r="AC62" s="40">
        <v>82.46</v>
      </c>
      <c r="AD62" s="2">
        <f t="shared" si="0"/>
        <v>1.6199999999999903</v>
      </c>
      <c r="AE62" s="138">
        <f t="shared" si="1"/>
        <v>-1.2455089820359366E-2</v>
      </c>
    </row>
    <row r="63" spans="1:31" x14ac:dyDescent="0.25">
      <c r="O63" s="83">
        <v>0.9</v>
      </c>
      <c r="P63" s="83">
        <f t="shared" si="3"/>
        <v>82.89</v>
      </c>
      <c r="W63" s="157">
        <v>42521</v>
      </c>
      <c r="X63" s="40">
        <v>83.97</v>
      </c>
      <c r="Y63" s="40">
        <v>85.65</v>
      </c>
      <c r="Z63" s="40">
        <v>83.16</v>
      </c>
      <c r="AA63" s="40">
        <v>84.06</v>
      </c>
      <c r="AB63" s="95">
        <v>1695000</v>
      </c>
      <c r="AC63" s="40">
        <v>83.5</v>
      </c>
      <c r="AD63" s="2">
        <f t="shared" si="0"/>
        <v>2.4900000000000091</v>
      </c>
      <c r="AE63" s="138">
        <f t="shared" si="1"/>
        <v>7.1907957813999168E-4</v>
      </c>
    </row>
    <row r="64" spans="1:31" x14ac:dyDescent="0.25">
      <c r="W64" s="157">
        <v>42517</v>
      </c>
      <c r="X64" s="40">
        <v>83.94</v>
      </c>
      <c r="Y64" s="40">
        <v>84.35</v>
      </c>
      <c r="Z64" s="40">
        <v>83.22</v>
      </c>
      <c r="AA64" s="40">
        <v>84</v>
      </c>
      <c r="AB64" s="95">
        <v>1000500</v>
      </c>
      <c r="AC64" s="40">
        <v>83.44</v>
      </c>
      <c r="AD64" s="2">
        <f t="shared" si="0"/>
        <v>1.1299999999999955</v>
      </c>
      <c r="AE64" s="138">
        <f t="shared" si="1"/>
        <v>2.0415515792002736E-3</v>
      </c>
    </row>
    <row r="65" spans="23:31" x14ac:dyDescent="0.25">
      <c r="W65" s="157">
        <v>42516</v>
      </c>
      <c r="X65" s="40">
        <v>83.46</v>
      </c>
      <c r="Y65" s="40">
        <v>84.28</v>
      </c>
      <c r="Z65" s="40">
        <v>82.85</v>
      </c>
      <c r="AA65" s="40">
        <v>83.83</v>
      </c>
      <c r="AB65" s="95">
        <v>1726400</v>
      </c>
      <c r="AC65" s="40">
        <v>83.27</v>
      </c>
      <c r="AD65" s="2">
        <f t="shared" si="0"/>
        <v>1.4300000000000068</v>
      </c>
      <c r="AE65" s="138">
        <f t="shared" si="1"/>
        <v>6.2839879154077405E-3</v>
      </c>
    </row>
    <row r="66" spans="23:31" x14ac:dyDescent="0.25">
      <c r="W66" s="157">
        <v>42515</v>
      </c>
      <c r="X66" s="40">
        <v>82.3</v>
      </c>
      <c r="Y66" s="40">
        <v>83.75</v>
      </c>
      <c r="Z66" s="40">
        <v>82.15</v>
      </c>
      <c r="AA66" s="40">
        <v>83.31</v>
      </c>
      <c r="AB66" s="95">
        <v>3812500</v>
      </c>
      <c r="AC66" s="40">
        <v>82.75</v>
      </c>
      <c r="AD66" s="2">
        <f t="shared" si="0"/>
        <v>1.5999999999999943</v>
      </c>
      <c r="AE66" s="138">
        <f t="shared" si="1"/>
        <v>1.3099902056807E-2</v>
      </c>
    </row>
    <row r="67" spans="23:31" x14ac:dyDescent="0.25">
      <c r="W67" s="157">
        <v>42514</v>
      </c>
      <c r="X67" s="40">
        <v>85</v>
      </c>
      <c r="Y67" s="40">
        <v>85.44</v>
      </c>
      <c r="Z67" s="40">
        <v>81.48</v>
      </c>
      <c r="AA67" s="40">
        <v>82.23</v>
      </c>
      <c r="AB67" s="95">
        <v>3320100</v>
      </c>
      <c r="AC67" s="40">
        <v>81.680000000000007</v>
      </c>
      <c r="AD67" s="2">
        <f>Y67-Z67</f>
        <v>3.9599999999999937</v>
      </c>
      <c r="AE67" s="138">
        <f>AC67/AC68-1</f>
        <v>-2.9006181645268581E-2</v>
      </c>
    </row>
    <row r="68" spans="23:31" x14ac:dyDescent="0.25">
      <c r="W68" s="157">
        <v>42513</v>
      </c>
      <c r="X68" s="40">
        <v>85.36</v>
      </c>
      <c r="Y68" s="40">
        <v>85.79</v>
      </c>
      <c r="Z68" s="40">
        <v>84.44</v>
      </c>
      <c r="AA68" s="40">
        <v>84.69</v>
      </c>
      <c r="AB68" s="95">
        <v>1669600</v>
      </c>
      <c r="AC68" s="40">
        <v>84.12</v>
      </c>
      <c r="AD68" s="2">
        <f>Y68-Z68</f>
        <v>1.3500000000000085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42606</v>
      </c>
      <c r="X2" s="10">
        <v>177.57</v>
      </c>
      <c r="Y2" s="10">
        <v>177.69</v>
      </c>
      <c r="Z2" s="10">
        <v>174.37</v>
      </c>
      <c r="AA2" s="10">
        <v>175.3</v>
      </c>
      <c r="AB2" s="95">
        <v>2180200</v>
      </c>
      <c r="AC2" s="10">
        <v>175.3</v>
      </c>
      <c r="AD2" s="2">
        <f>Y2-Z2</f>
        <v>3.3199999999999932</v>
      </c>
      <c r="AE2" s="138">
        <f>AC2/AC3-1</f>
        <v>-1.1503326942596148E-2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175.3</v>
      </c>
      <c r="T3" s="63"/>
      <c r="W3" s="133">
        <v>42605</v>
      </c>
      <c r="X3" s="10">
        <v>176.72</v>
      </c>
      <c r="Y3" s="10">
        <v>177.47</v>
      </c>
      <c r="Z3" s="10">
        <v>176.12</v>
      </c>
      <c r="AA3" s="10">
        <v>177.34</v>
      </c>
      <c r="AB3" s="95">
        <v>1974100</v>
      </c>
      <c r="AC3" s="10">
        <v>177.34</v>
      </c>
      <c r="AD3" s="2">
        <f t="shared" ref="AD3:AD66" si="0">Y3-Z3</f>
        <v>1.3499999999999943</v>
      </c>
      <c r="AE3" s="138">
        <f t="shared" ref="AE3:AE66" si="1">AC3/AC4-1</f>
        <v>8.0145512419711462E-3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175.3</v>
      </c>
      <c r="T4" s="63"/>
      <c r="W4" s="133">
        <v>42604</v>
      </c>
      <c r="X4" s="10">
        <v>175</v>
      </c>
      <c r="Y4" s="10">
        <v>176.31</v>
      </c>
      <c r="Z4" s="10">
        <v>174.06</v>
      </c>
      <c r="AA4" s="10">
        <v>175.93</v>
      </c>
      <c r="AB4" s="95">
        <v>1539300</v>
      </c>
      <c r="AC4" s="10">
        <v>175.93</v>
      </c>
      <c r="AD4" s="2">
        <f t="shared" si="0"/>
        <v>2.25</v>
      </c>
      <c r="AE4" s="138">
        <f t="shared" si="1"/>
        <v>5.7165723432230919E-3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42601</v>
      </c>
      <c r="X5" s="10">
        <v>174.18</v>
      </c>
      <c r="Y5" s="10">
        <v>175.06</v>
      </c>
      <c r="Z5" s="10">
        <v>173.43</v>
      </c>
      <c r="AA5" s="10">
        <v>174.93</v>
      </c>
      <c r="AB5" s="95">
        <v>1534900</v>
      </c>
      <c r="AC5" s="10">
        <v>174.93</v>
      </c>
      <c r="AD5" s="2">
        <f t="shared" si="0"/>
        <v>1.6299999999999955</v>
      </c>
      <c r="AE5" s="138">
        <f t="shared" si="1"/>
        <v>5.7494394296555562E-3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42600</v>
      </c>
      <c r="X6" s="10">
        <v>172.82</v>
      </c>
      <c r="Y6" s="10">
        <v>174.18</v>
      </c>
      <c r="Z6" s="10">
        <v>172.64</v>
      </c>
      <c r="AA6" s="10">
        <v>173.93</v>
      </c>
      <c r="AB6" s="95">
        <v>2112000</v>
      </c>
      <c r="AC6" s="10">
        <v>173.93</v>
      </c>
      <c r="AD6" s="2">
        <f t="shared" si="0"/>
        <v>1.5400000000000205</v>
      </c>
      <c r="AE6" s="138">
        <f t="shared" si="1"/>
        <v>5.2014101600879048E-3</v>
      </c>
    </row>
    <row r="7" spans="1:31" x14ac:dyDescent="0.25">
      <c r="B7" s="38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42599</v>
      </c>
      <c r="X7" s="10">
        <v>172.25</v>
      </c>
      <c r="Y7" s="10">
        <v>173.28</v>
      </c>
      <c r="Z7" s="10">
        <v>171.76</v>
      </c>
      <c r="AA7" s="10">
        <v>173.03</v>
      </c>
      <c r="AB7" s="95">
        <v>1661300</v>
      </c>
      <c r="AC7" s="10">
        <v>173.03</v>
      </c>
      <c r="AD7" s="2">
        <f t="shared" si="0"/>
        <v>1.5200000000000102</v>
      </c>
      <c r="AE7" s="138">
        <f t="shared" si="1"/>
        <v>3.6542923433875441E-3</v>
      </c>
    </row>
    <row r="8" spans="1:31" x14ac:dyDescent="0.25">
      <c r="B8" s="38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42598</v>
      </c>
      <c r="X8" s="10">
        <v>174.81</v>
      </c>
      <c r="Y8" s="10">
        <v>174.99</v>
      </c>
      <c r="Z8" s="10">
        <v>172.1</v>
      </c>
      <c r="AA8" s="10">
        <v>172.4</v>
      </c>
      <c r="AB8" s="95">
        <v>1906900</v>
      </c>
      <c r="AC8" s="10">
        <v>172.4</v>
      </c>
      <c r="AD8" s="2">
        <f t="shared" si="0"/>
        <v>2.8900000000000148</v>
      </c>
      <c r="AE8" s="138">
        <f t="shared" si="1"/>
        <v>-1.7887660931981242E-2</v>
      </c>
    </row>
    <row r="9" spans="1:31" x14ac:dyDescent="0.25">
      <c r="B9" s="38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T9" s="67"/>
      <c r="W9" s="133">
        <v>42597</v>
      </c>
      <c r="X9" s="10">
        <v>173.37</v>
      </c>
      <c r="Y9" s="10">
        <v>175.81</v>
      </c>
      <c r="Z9" s="10">
        <v>172.5</v>
      </c>
      <c r="AA9" s="10">
        <v>175.54</v>
      </c>
      <c r="AB9" s="95">
        <v>2580700</v>
      </c>
      <c r="AC9" s="10">
        <v>175.54</v>
      </c>
      <c r="AD9" s="2">
        <f t="shared" si="0"/>
        <v>3.3100000000000023</v>
      </c>
      <c r="AE9" s="138">
        <f t="shared" si="1"/>
        <v>1.7800197135733775E-2</v>
      </c>
    </row>
    <row r="10" spans="1:31" x14ac:dyDescent="0.25">
      <c r="B10" s="38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224</v>
      </c>
      <c r="P10" s="34"/>
      <c r="Q10" s="2">
        <f>M32</f>
        <v>780.73999999999796</v>
      </c>
      <c r="W10" s="133">
        <v>42594</v>
      </c>
      <c r="X10" s="10">
        <v>172.13</v>
      </c>
      <c r="Y10" s="10">
        <v>172.62</v>
      </c>
      <c r="Z10" s="10">
        <v>171.38</v>
      </c>
      <c r="AA10" s="10">
        <v>172.47</v>
      </c>
      <c r="AB10" s="95">
        <v>1653000</v>
      </c>
      <c r="AC10" s="10">
        <v>172.47</v>
      </c>
      <c r="AD10" s="2">
        <f t="shared" si="0"/>
        <v>1.2400000000000091</v>
      </c>
      <c r="AE10" s="138">
        <f t="shared" si="1"/>
        <v>2.2081468998780274E-3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1.14E-2</v>
      </c>
      <c r="W11" s="133">
        <v>42593</v>
      </c>
      <c r="X11" s="10">
        <v>172.07</v>
      </c>
      <c r="Y11" s="10">
        <v>173.16</v>
      </c>
      <c r="Z11" s="10">
        <v>170.9</v>
      </c>
      <c r="AA11" s="10">
        <v>172.09</v>
      </c>
      <c r="AB11" s="95">
        <v>1574500</v>
      </c>
      <c r="AC11" s="10">
        <v>172.09</v>
      </c>
      <c r="AD11" s="2">
        <f t="shared" si="0"/>
        <v>2.2599999999999909</v>
      </c>
      <c r="AE11" s="138">
        <f t="shared" si="1"/>
        <v>1.3965667733488729E-3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42592</v>
      </c>
      <c r="X12" s="10">
        <v>171.22</v>
      </c>
      <c r="Y12" s="10">
        <v>172.18</v>
      </c>
      <c r="Z12" s="10">
        <v>169.84</v>
      </c>
      <c r="AA12" s="10">
        <v>171.85</v>
      </c>
      <c r="AB12" s="95">
        <v>1952300</v>
      </c>
      <c r="AC12" s="10">
        <v>171.85</v>
      </c>
      <c r="AD12" s="2">
        <f t="shared" si="0"/>
        <v>2.3400000000000034</v>
      </c>
      <c r="AE12" s="138">
        <f t="shared" si="1"/>
        <v>3.9726587602968433E-3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42591</v>
      </c>
      <c r="X13" s="10">
        <v>168.94</v>
      </c>
      <c r="Y13" s="10">
        <v>172.17</v>
      </c>
      <c r="Z13" s="10">
        <v>168.7</v>
      </c>
      <c r="AA13" s="10">
        <v>171.17</v>
      </c>
      <c r="AB13" s="95">
        <v>3274300</v>
      </c>
      <c r="AC13" s="10">
        <v>171.17</v>
      </c>
      <c r="AD13" s="2">
        <f t="shared" si="0"/>
        <v>3.4699999999999989</v>
      </c>
      <c r="AE13" s="138">
        <f t="shared" si="1"/>
        <v>1.6750816750816799E-2</v>
      </c>
    </row>
    <row r="14" spans="1:31" x14ac:dyDescent="0.25">
      <c r="W14" s="133">
        <v>42590</v>
      </c>
      <c r="X14" s="10">
        <v>170</v>
      </c>
      <c r="Y14" s="10">
        <v>171.23</v>
      </c>
      <c r="Z14" s="10">
        <v>167.86</v>
      </c>
      <c r="AA14" s="10">
        <v>168.35</v>
      </c>
      <c r="AB14" s="95">
        <v>1908400</v>
      </c>
      <c r="AC14" s="10">
        <v>168.35</v>
      </c>
      <c r="AD14" s="2">
        <f t="shared" si="0"/>
        <v>3.3699999999999761</v>
      </c>
      <c r="AE14" s="138">
        <f t="shared" si="1"/>
        <v>-1.0404420409123039E-2</v>
      </c>
    </row>
    <row r="15" spans="1:31" x14ac:dyDescent="0.25">
      <c r="W15" s="133">
        <v>42587</v>
      </c>
      <c r="X15" s="10">
        <v>167.95</v>
      </c>
      <c r="Y15" s="10">
        <v>170.2</v>
      </c>
      <c r="Z15" s="10">
        <v>167.23</v>
      </c>
      <c r="AA15" s="10">
        <v>170.12</v>
      </c>
      <c r="AB15" s="95">
        <v>2559400</v>
      </c>
      <c r="AC15" s="10">
        <v>170.12</v>
      </c>
      <c r="AD15" s="2">
        <f t="shared" si="0"/>
        <v>2.9699999999999989</v>
      </c>
      <c r="AE15" s="138">
        <f t="shared" si="1"/>
        <v>1.8743637343553443E-2</v>
      </c>
    </row>
    <row r="16" spans="1:31" x14ac:dyDescent="0.25">
      <c r="W16" s="133">
        <v>42586</v>
      </c>
      <c r="X16" s="10">
        <v>164.27</v>
      </c>
      <c r="Y16" s="10">
        <v>167</v>
      </c>
      <c r="Z16" s="10">
        <v>164.2</v>
      </c>
      <c r="AA16" s="10">
        <v>166.99</v>
      </c>
      <c r="AB16" s="95">
        <v>1997800</v>
      </c>
      <c r="AC16" s="10">
        <v>166.99</v>
      </c>
      <c r="AD16" s="2">
        <f t="shared" si="0"/>
        <v>2.8000000000000114</v>
      </c>
      <c r="AE16" s="138">
        <f t="shared" si="1"/>
        <v>1.7549204801657448E-2</v>
      </c>
    </row>
    <row r="17" spans="1:31" x14ac:dyDescent="0.25">
      <c r="W17" s="133">
        <v>42585</v>
      </c>
      <c r="X17" s="10">
        <v>161.88</v>
      </c>
      <c r="Y17" s="10">
        <v>164.15</v>
      </c>
      <c r="Z17" s="10">
        <v>161.28</v>
      </c>
      <c r="AA17" s="10">
        <v>164.11</v>
      </c>
      <c r="AB17" s="95">
        <v>1501900</v>
      </c>
      <c r="AC17" s="10">
        <v>164.11</v>
      </c>
      <c r="AD17" s="2">
        <f t="shared" si="0"/>
        <v>2.8700000000000045</v>
      </c>
      <c r="AE17" s="138">
        <f t="shared" si="1"/>
        <v>7.4897169869239111E-3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42584</v>
      </c>
      <c r="X18" s="10">
        <v>163.1</v>
      </c>
      <c r="Y18" s="10">
        <v>163.99</v>
      </c>
      <c r="Z18" s="10">
        <v>162.27000000000001</v>
      </c>
      <c r="AA18" s="10">
        <v>162.88999999999999</v>
      </c>
      <c r="AB18" s="95">
        <v>2268900</v>
      </c>
      <c r="AC18" s="10">
        <v>162.88999999999999</v>
      </c>
      <c r="AD18" s="2">
        <f t="shared" si="0"/>
        <v>1.7199999999999989</v>
      </c>
      <c r="AE18" s="138">
        <f t="shared" si="1"/>
        <v>-3.7918170142499097E-3</v>
      </c>
    </row>
    <row r="19" spans="1:31" x14ac:dyDescent="0.25">
      <c r="W19" s="133">
        <v>42583</v>
      </c>
      <c r="X19" s="10">
        <v>162.78</v>
      </c>
      <c r="Y19" s="10">
        <v>163.88</v>
      </c>
      <c r="Z19" s="10">
        <v>161.9</v>
      </c>
      <c r="AA19" s="10">
        <v>163.51</v>
      </c>
      <c r="AB19" s="95">
        <v>1787600</v>
      </c>
      <c r="AC19" s="10">
        <v>163.51</v>
      </c>
      <c r="AD19" s="2">
        <f t="shared" si="0"/>
        <v>1.9799999999999898</v>
      </c>
      <c r="AE19" s="138">
        <f t="shared" si="1"/>
        <v>9.4456105692060088E-3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42580</v>
      </c>
      <c r="X20" s="10">
        <v>163.93</v>
      </c>
      <c r="Y20" s="10">
        <v>164.65</v>
      </c>
      <c r="Z20" s="10">
        <v>161.1</v>
      </c>
      <c r="AA20" s="10">
        <v>161.97999999999999</v>
      </c>
      <c r="AB20" s="95">
        <v>2603000</v>
      </c>
      <c r="AC20" s="10">
        <v>161.97999999999999</v>
      </c>
      <c r="AD20" s="2">
        <f t="shared" si="0"/>
        <v>3.5500000000000114</v>
      </c>
      <c r="AE20" s="138">
        <f t="shared" si="1"/>
        <v>-1.370029836205322E-2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42579</v>
      </c>
      <c r="X21" s="10">
        <v>165</v>
      </c>
      <c r="Y21" s="10">
        <v>166.97</v>
      </c>
      <c r="Z21" s="10">
        <v>163.92</v>
      </c>
      <c r="AA21" s="10">
        <v>164.23</v>
      </c>
      <c r="AB21" s="95">
        <v>1951200</v>
      </c>
      <c r="AC21" s="10">
        <v>164.23</v>
      </c>
      <c r="AD21" s="2">
        <f t="shared" si="0"/>
        <v>3.0500000000000114</v>
      </c>
      <c r="AE21" s="138">
        <f t="shared" si="1"/>
        <v>-8.6321381142098197E-3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42578</v>
      </c>
      <c r="X22" s="10">
        <v>165.94</v>
      </c>
      <c r="Y22" s="10">
        <v>167.6</v>
      </c>
      <c r="Z22" s="10">
        <v>162.71</v>
      </c>
      <c r="AA22" s="10">
        <v>165.66</v>
      </c>
      <c r="AB22" s="95">
        <v>3049300</v>
      </c>
      <c r="AC22" s="10">
        <v>165.66</v>
      </c>
      <c r="AD22" s="2">
        <f t="shared" si="0"/>
        <v>4.8899999999999864</v>
      </c>
      <c r="AE22" s="138">
        <f t="shared" si="1"/>
        <v>1.3582966226137971E-2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42577</v>
      </c>
      <c r="X23" s="10">
        <v>161.41</v>
      </c>
      <c r="Y23" s="10">
        <v>163.5</v>
      </c>
      <c r="Z23" s="10">
        <v>160.37</v>
      </c>
      <c r="AA23" s="10">
        <v>163.44</v>
      </c>
      <c r="AB23" s="95">
        <v>2863100</v>
      </c>
      <c r="AC23" s="10">
        <v>163.44</v>
      </c>
      <c r="AD23" s="2">
        <f t="shared" si="0"/>
        <v>3.1299999999999955</v>
      </c>
      <c r="AE23" s="138">
        <f t="shared" si="1"/>
        <v>2.2906496432594903E-2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42576</v>
      </c>
      <c r="X24" s="10">
        <v>159.63999999999999</v>
      </c>
      <c r="Y24" s="10">
        <v>160.69999999999999</v>
      </c>
      <c r="Z24" s="10">
        <v>159.27000000000001</v>
      </c>
      <c r="AA24" s="10">
        <v>159.78</v>
      </c>
      <c r="AB24" s="95">
        <v>962700</v>
      </c>
      <c r="AC24" s="10">
        <v>159.78</v>
      </c>
      <c r="AD24" s="2">
        <f t="shared" si="0"/>
        <v>1.4299999999999784</v>
      </c>
      <c r="AE24" s="138">
        <f t="shared" si="1"/>
        <v>6.8892089935501666E-4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42573</v>
      </c>
      <c r="X25" s="10">
        <v>159.59</v>
      </c>
      <c r="Y25" s="10">
        <v>160.30000000000001</v>
      </c>
      <c r="Z25" s="10">
        <v>156.69</v>
      </c>
      <c r="AA25" s="10">
        <v>159.66999999999999</v>
      </c>
      <c r="AB25" s="95">
        <v>1966400</v>
      </c>
      <c r="AC25" s="10">
        <v>159.66999999999999</v>
      </c>
      <c r="AD25" s="2">
        <f t="shared" si="0"/>
        <v>3.6100000000000136</v>
      </c>
      <c r="AE25" s="138">
        <f t="shared" si="1"/>
        <v>-4.6131787295057292E-3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42572</v>
      </c>
      <c r="X26" s="10">
        <v>163.01</v>
      </c>
      <c r="Y26" s="10">
        <v>163.47999999999999</v>
      </c>
      <c r="Z26" s="10">
        <v>159.82</v>
      </c>
      <c r="AA26" s="10">
        <v>160.41</v>
      </c>
      <c r="AB26" s="95">
        <v>1953000</v>
      </c>
      <c r="AC26" s="10">
        <v>160.41</v>
      </c>
      <c r="AD26" s="2">
        <f t="shared" si="0"/>
        <v>3.6599999999999966</v>
      </c>
      <c r="AE26" s="138">
        <f t="shared" si="1"/>
        <v>-1.389315792709156E-2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42571</v>
      </c>
      <c r="X27" s="10">
        <v>161.6</v>
      </c>
      <c r="Y27" s="10">
        <v>163.77000000000001</v>
      </c>
      <c r="Z27" s="10">
        <v>160.91999999999999</v>
      </c>
      <c r="AA27" s="10">
        <v>162.66999999999999</v>
      </c>
      <c r="AB27" s="95">
        <v>1806400</v>
      </c>
      <c r="AC27" s="10">
        <v>162.66999999999999</v>
      </c>
      <c r="AD27" s="2">
        <f t="shared" si="0"/>
        <v>2.8500000000000227</v>
      </c>
      <c r="AE27" s="138">
        <f t="shared" si="1"/>
        <v>1.3330841587242181E-2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42570</v>
      </c>
      <c r="X28" s="10">
        <v>161.47</v>
      </c>
      <c r="Y28" s="10">
        <v>162</v>
      </c>
      <c r="Z28" s="10">
        <v>159.79</v>
      </c>
      <c r="AA28" s="10">
        <v>160.53</v>
      </c>
      <c r="AB28" s="95">
        <v>1479700</v>
      </c>
      <c r="AC28" s="10">
        <v>160.53</v>
      </c>
      <c r="AD28" s="2">
        <f t="shared" si="0"/>
        <v>2.210000000000008</v>
      </c>
      <c r="AE28" s="138">
        <f t="shared" si="1"/>
        <v>-1.1088523378303572E-2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42569</v>
      </c>
      <c r="X29" s="10">
        <v>162.41999999999999</v>
      </c>
      <c r="Y29" s="10">
        <v>163.69999999999999</v>
      </c>
      <c r="Z29" s="10">
        <v>161.94999999999999</v>
      </c>
      <c r="AA29" s="10">
        <v>162.33000000000001</v>
      </c>
      <c r="AB29" s="95">
        <v>1462600</v>
      </c>
      <c r="AC29" s="10">
        <v>162.33000000000001</v>
      </c>
      <c r="AD29" s="2">
        <f t="shared" si="0"/>
        <v>1.75</v>
      </c>
      <c r="AE29" s="138">
        <f t="shared" si="1"/>
        <v>7.2598659717051373E-3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42566</v>
      </c>
      <c r="X30" s="10">
        <v>161.11000000000001</v>
      </c>
      <c r="Y30" s="10">
        <v>161.57</v>
      </c>
      <c r="Z30" s="10">
        <v>159.66</v>
      </c>
      <c r="AA30" s="10">
        <v>161.16</v>
      </c>
      <c r="AB30" s="95">
        <v>1925900</v>
      </c>
      <c r="AC30" s="10">
        <v>161.16</v>
      </c>
      <c r="AD30" s="2">
        <f t="shared" si="0"/>
        <v>1.9099999999999966</v>
      </c>
      <c r="AE30" s="138">
        <f t="shared" si="1"/>
        <v>2.3011381304807177E-3</v>
      </c>
    </row>
    <row r="31" spans="1:31" x14ac:dyDescent="0.25">
      <c r="W31" s="133">
        <v>42565</v>
      </c>
      <c r="X31" s="10">
        <v>159.55000000000001</v>
      </c>
      <c r="Y31" s="10">
        <v>161.06</v>
      </c>
      <c r="Z31" s="10">
        <v>158.86000000000001</v>
      </c>
      <c r="AA31" s="10">
        <v>160.79</v>
      </c>
      <c r="AB31" s="95">
        <v>2355000</v>
      </c>
      <c r="AC31" s="10">
        <v>160.79</v>
      </c>
      <c r="AD31" s="2">
        <f t="shared" si="0"/>
        <v>2.1999999999999886</v>
      </c>
      <c r="AE31" s="138">
        <f t="shared" si="1"/>
        <v>2.1472587510323438E-2</v>
      </c>
    </row>
    <row r="32" spans="1:31" x14ac:dyDescent="0.25">
      <c r="L32" t="s">
        <v>224</v>
      </c>
      <c r="M32" s="2">
        <f>M50+K50-F50</f>
        <v>780.73999999999796</v>
      </c>
      <c r="W32" s="133">
        <v>42564</v>
      </c>
      <c r="X32" s="10">
        <v>158.91</v>
      </c>
      <c r="Y32" s="10">
        <v>160.38</v>
      </c>
      <c r="Z32" s="10">
        <v>157.34</v>
      </c>
      <c r="AA32" s="10">
        <v>157.41</v>
      </c>
      <c r="AB32" s="95">
        <v>1573400</v>
      </c>
      <c r="AC32" s="10">
        <v>157.41</v>
      </c>
      <c r="AD32" s="2">
        <f t="shared" si="0"/>
        <v>3.039999999999992</v>
      </c>
      <c r="AE32" s="138">
        <f t="shared" si="1"/>
        <v>-7.4405700233306504E-3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42563</v>
      </c>
      <c r="X33" s="10">
        <v>158.58000000000001</v>
      </c>
      <c r="Y33" s="10">
        <v>160.91</v>
      </c>
      <c r="Z33" s="10">
        <v>158.25</v>
      </c>
      <c r="AA33" s="10">
        <v>158.59</v>
      </c>
      <c r="AB33" s="95">
        <v>2030600</v>
      </c>
      <c r="AC33" s="10">
        <v>158.59</v>
      </c>
      <c r="AD33" s="2">
        <f t="shared" si="0"/>
        <v>2.6599999999999966</v>
      </c>
      <c r="AE33" s="138">
        <f t="shared" si="1"/>
        <v>7.8164717844433351E-3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42562</v>
      </c>
      <c r="X34" s="10">
        <v>157.1</v>
      </c>
      <c r="Y34" s="10">
        <v>158.47</v>
      </c>
      <c r="Z34" s="10">
        <v>156.28</v>
      </c>
      <c r="AA34" s="10">
        <v>157.36000000000001</v>
      </c>
      <c r="AB34" s="95">
        <v>2520100</v>
      </c>
      <c r="AC34" s="10">
        <v>157.36000000000001</v>
      </c>
      <c r="AD34" s="2">
        <f t="shared" si="0"/>
        <v>2.1899999999999977</v>
      </c>
      <c r="AE34" s="138">
        <f t="shared" si="1"/>
        <v>1.4309655794766174E-2</v>
      </c>
    </row>
    <row r="35" spans="1:31" x14ac:dyDescent="0.25">
      <c r="A35" s="23" t="s">
        <v>71</v>
      </c>
      <c r="B35" s="54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42559</v>
      </c>
      <c r="X35" s="10">
        <v>152.65</v>
      </c>
      <c r="Y35" s="10">
        <v>155.25</v>
      </c>
      <c r="Z35" s="10">
        <v>151.94</v>
      </c>
      <c r="AA35" s="10">
        <v>155.13999999999999</v>
      </c>
      <c r="AB35" s="95">
        <v>2674100</v>
      </c>
      <c r="AC35" s="10">
        <v>155.13999999999999</v>
      </c>
      <c r="AD35" s="2">
        <f t="shared" si="0"/>
        <v>3.3100000000000023</v>
      </c>
      <c r="AE35" s="138">
        <f t="shared" si="1"/>
        <v>2.7485263924763137E-2</v>
      </c>
    </row>
    <row r="36" spans="1:31" x14ac:dyDescent="0.25">
      <c r="B36" s="54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42558</v>
      </c>
      <c r="X36" s="10">
        <v>150.13999999999999</v>
      </c>
      <c r="Y36" s="10">
        <v>153</v>
      </c>
      <c r="Z36" s="10">
        <v>150.13999999999999</v>
      </c>
      <c r="AA36" s="10">
        <v>150.99</v>
      </c>
      <c r="AB36" s="95">
        <v>1924800</v>
      </c>
      <c r="AC36" s="10">
        <v>150.99</v>
      </c>
      <c r="AD36" s="2">
        <f t="shared" si="0"/>
        <v>2.8600000000000136</v>
      </c>
      <c r="AE36" s="138">
        <f t="shared" si="1"/>
        <v>2.3899621589325015E-3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42557</v>
      </c>
      <c r="X37" s="10">
        <v>149.36000000000001</v>
      </c>
      <c r="Y37" s="10">
        <v>151.27000000000001</v>
      </c>
      <c r="Z37" s="10">
        <v>147.16</v>
      </c>
      <c r="AA37" s="10">
        <v>150.63</v>
      </c>
      <c r="AB37" s="95">
        <v>2060300</v>
      </c>
      <c r="AC37" s="10">
        <v>150.63</v>
      </c>
      <c r="AD37" s="2">
        <f t="shared" si="0"/>
        <v>4.1100000000000136</v>
      </c>
      <c r="AE37" s="138">
        <f t="shared" si="1"/>
        <v>-8.6229769169543502E-4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42556</v>
      </c>
      <c r="X38" s="10">
        <v>151.58000000000001</v>
      </c>
      <c r="Y38" s="10">
        <v>151.71</v>
      </c>
      <c r="Z38" s="10">
        <v>149.53</v>
      </c>
      <c r="AA38" s="10">
        <v>150.76</v>
      </c>
      <c r="AB38" s="95">
        <v>2632100</v>
      </c>
      <c r="AC38" s="10">
        <v>150.76</v>
      </c>
      <c r="AD38" s="2">
        <f t="shared" si="0"/>
        <v>2.1800000000000068</v>
      </c>
      <c r="AE38" s="138">
        <f t="shared" si="1"/>
        <v>-2.2435481779276456E-2</v>
      </c>
    </row>
    <row r="39" spans="1:31" x14ac:dyDescent="0.25">
      <c r="B39" s="54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42552</v>
      </c>
      <c r="X39" s="10">
        <v>154.47</v>
      </c>
      <c r="Y39" s="10">
        <v>155.87</v>
      </c>
      <c r="Z39" s="10">
        <v>153.62</v>
      </c>
      <c r="AA39" s="10">
        <v>154.22</v>
      </c>
      <c r="AB39" s="95">
        <v>1977900</v>
      </c>
      <c r="AC39" s="10">
        <v>154.22</v>
      </c>
      <c r="AD39" s="2">
        <f t="shared" si="0"/>
        <v>2.25</v>
      </c>
      <c r="AE39" s="138">
        <f t="shared" si="1"/>
        <v>-7.5933075933076744E-3</v>
      </c>
    </row>
    <row r="40" spans="1:31" x14ac:dyDescent="0.25">
      <c r="B40" s="54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42551</v>
      </c>
      <c r="X40" s="10">
        <v>155</v>
      </c>
      <c r="Y40" s="10">
        <v>157.24</v>
      </c>
      <c r="Z40" s="10">
        <v>154.16999999999999</v>
      </c>
      <c r="AA40" s="10">
        <v>155.4</v>
      </c>
      <c r="AB40" s="95">
        <v>4262600</v>
      </c>
      <c r="AC40" s="10">
        <v>155.4</v>
      </c>
      <c r="AD40" s="2">
        <f t="shared" si="0"/>
        <v>3.0700000000000216</v>
      </c>
      <c r="AE40" s="138">
        <f t="shared" si="1"/>
        <v>2.580645161290418E-3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5" t="s">
        <v>78</v>
      </c>
      <c r="P41" s="535"/>
      <c r="T41" s="91" t="s">
        <v>113</v>
      </c>
      <c r="W41" s="133">
        <v>42550</v>
      </c>
      <c r="X41" s="10">
        <v>152.01</v>
      </c>
      <c r="Y41" s="10">
        <v>155.65</v>
      </c>
      <c r="Z41" s="10">
        <v>150.78</v>
      </c>
      <c r="AA41" s="10">
        <v>155</v>
      </c>
      <c r="AB41" s="95">
        <v>4786000</v>
      </c>
      <c r="AC41" s="10">
        <v>155</v>
      </c>
      <c r="AD41" s="2">
        <f t="shared" si="0"/>
        <v>4.8700000000000045</v>
      </c>
      <c r="AE41" s="138">
        <f t="shared" si="1"/>
        <v>3.4920210990184941E-2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192.83000000000004</v>
      </c>
      <c r="Q42" s="2"/>
      <c r="T42" s="135" t="s">
        <v>98</v>
      </c>
      <c r="U42" s="98">
        <v>177.34</v>
      </c>
      <c r="W42" s="133">
        <v>42549</v>
      </c>
      <c r="X42" s="10">
        <v>146.69999999999999</v>
      </c>
      <c r="Y42" s="10">
        <v>149.93</v>
      </c>
      <c r="Z42" s="10">
        <v>146.58000000000001</v>
      </c>
      <c r="AA42" s="10">
        <v>149.77000000000001</v>
      </c>
      <c r="AB42" s="95">
        <v>3723300</v>
      </c>
      <c r="AC42" s="10">
        <v>149.77000000000001</v>
      </c>
      <c r="AD42" s="2">
        <f t="shared" si="0"/>
        <v>3.3499999999999943</v>
      </c>
      <c r="AE42" s="138">
        <f t="shared" si="1"/>
        <v>4.2748729374086247E-2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191.07700000000003</v>
      </c>
      <c r="Q43" s="2"/>
      <c r="T43" s="136" t="s">
        <v>99</v>
      </c>
      <c r="U43" s="88">
        <v>177.57</v>
      </c>
      <c r="W43" s="133">
        <v>42548</v>
      </c>
      <c r="X43" s="10">
        <v>146.5</v>
      </c>
      <c r="Y43" s="10">
        <v>147.25</v>
      </c>
      <c r="Z43" s="10">
        <v>142.27000000000001</v>
      </c>
      <c r="AA43" s="10">
        <v>143.63</v>
      </c>
      <c r="AB43" s="95">
        <v>3786400</v>
      </c>
      <c r="AC43" s="10">
        <v>143.63</v>
      </c>
      <c r="AD43" s="2">
        <f t="shared" si="0"/>
        <v>4.9799999999999898</v>
      </c>
      <c r="AE43" s="138">
        <f t="shared" si="1"/>
        <v>-3.422538999462077E-2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189.32400000000001</v>
      </c>
      <c r="Q44" s="2"/>
      <c r="T44" s="136" t="s">
        <v>100</v>
      </c>
      <c r="U44" s="88" t="s">
        <v>478</v>
      </c>
      <c r="W44" s="133">
        <v>42545</v>
      </c>
      <c r="X44" s="10">
        <v>152</v>
      </c>
      <c r="Y44" s="10">
        <v>154.87</v>
      </c>
      <c r="Z44" s="10">
        <v>148.4</v>
      </c>
      <c r="AA44" s="10">
        <v>148.72</v>
      </c>
      <c r="AB44" s="95">
        <v>6417700</v>
      </c>
      <c r="AC44" s="10">
        <v>148.72</v>
      </c>
      <c r="AD44" s="2">
        <f t="shared" si="0"/>
        <v>6.4699999999999989</v>
      </c>
      <c r="AE44" s="138">
        <f t="shared" si="1"/>
        <v>-6.241331484049939E-2</v>
      </c>
    </row>
    <row r="45" spans="1:31" x14ac:dyDescent="0.25">
      <c r="O45" s="83">
        <v>1.07</v>
      </c>
      <c r="P45" s="83">
        <f t="shared" si="3"/>
        <v>187.57100000000003</v>
      </c>
      <c r="Q45" s="2"/>
      <c r="T45" s="136" t="s">
        <v>101</v>
      </c>
      <c r="U45" s="88" t="s">
        <v>479</v>
      </c>
      <c r="W45" s="133">
        <v>42544</v>
      </c>
      <c r="X45" s="10">
        <v>157.35</v>
      </c>
      <c r="Y45" s="10">
        <v>158.63</v>
      </c>
      <c r="Z45" s="10">
        <v>155.97</v>
      </c>
      <c r="AA45" s="10">
        <v>158.62</v>
      </c>
      <c r="AB45" s="95">
        <v>2443500</v>
      </c>
      <c r="AC45" s="10">
        <v>158.62</v>
      </c>
      <c r="AD45" s="2">
        <f t="shared" si="0"/>
        <v>2.6599999999999966</v>
      </c>
      <c r="AE45" s="138">
        <f t="shared" si="1"/>
        <v>2.2431352326930609E-2</v>
      </c>
    </row>
    <row r="46" spans="1:31" x14ac:dyDescent="0.25">
      <c r="O46" s="83">
        <v>1.06</v>
      </c>
      <c r="P46" s="83">
        <f t="shared" si="3"/>
        <v>185.81800000000001</v>
      </c>
      <c r="Q46" s="2"/>
      <c r="T46" s="136" t="s">
        <v>102</v>
      </c>
      <c r="U46" s="88">
        <v>192.81</v>
      </c>
      <c r="W46" s="133">
        <v>42543</v>
      </c>
      <c r="X46" s="10">
        <v>155.72999999999999</v>
      </c>
      <c r="Y46" s="10">
        <v>157.16999999999999</v>
      </c>
      <c r="Z46" s="10">
        <v>154.80000000000001</v>
      </c>
      <c r="AA46" s="10">
        <v>155.13999999999999</v>
      </c>
      <c r="AB46" s="95">
        <v>1603900</v>
      </c>
      <c r="AC46" s="10">
        <v>155.13999999999999</v>
      </c>
      <c r="AD46" s="2">
        <f t="shared" si="0"/>
        <v>2.3699999999999761</v>
      </c>
      <c r="AE46" s="138">
        <f t="shared" si="1"/>
        <v>-4.3001091072460973E-3</v>
      </c>
    </row>
    <row r="47" spans="1:31" x14ac:dyDescent="0.25">
      <c r="O47" s="83">
        <v>1.05</v>
      </c>
      <c r="P47" s="83">
        <f t="shared" si="3"/>
        <v>184.06500000000003</v>
      </c>
      <c r="Q47" s="2"/>
      <c r="T47" s="136" t="s">
        <v>103</v>
      </c>
      <c r="U47" s="88">
        <v>1.1150899999999999</v>
      </c>
      <c r="W47" s="133">
        <v>42542</v>
      </c>
      <c r="X47" s="10">
        <v>157.61000000000001</v>
      </c>
      <c r="Y47" s="10">
        <v>158.4</v>
      </c>
      <c r="Z47" s="10">
        <v>155.61000000000001</v>
      </c>
      <c r="AA47" s="10">
        <v>155.81</v>
      </c>
      <c r="AB47" s="95">
        <v>1612600</v>
      </c>
      <c r="AC47" s="10">
        <v>155.81</v>
      </c>
      <c r="AD47" s="2">
        <f t="shared" si="0"/>
        <v>2.789999999999992</v>
      </c>
      <c r="AE47" s="138">
        <f t="shared" si="1"/>
        <v>-7.136940036959194E-3</v>
      </c>
    </row>
    <row r="48" spans="1:31" x14ac:dyDescent="0.25">
      <c r="O48" s="83">
        <v>1.04</v>
      </c>
      <c r="P48" s="83">
        <f t="shared" si="3"/>
        <v>182.31200000000001</v>
      </c>
      <c r="Q48" s="2"/>
      <c r="T48" s="136" t="s">
        <v>104</v>
      </c>
      <c r="U48" s="88" t="s">
        <v>355</v>
      </c>
      <c r="W48" s="133">
        <v>42541</v>
      </c>
      <c r="X48" s="10">
        <v>158.4</v>
      </c>
      <c r="Y48" s="10">
        <v>159.6</v>
      </c>
      <c r="Z48" s="10">
        <v>156.69</v>
      </c>
      <c r="AA48" s="10">
        <v>156.93</v>
      </c>
      <c r="AB48" s="95">
        <v>2026500</v>
      </c>
      <c r="AC48" s="10">
        <v>156.93</v>
      </c>
      <c r="AD48" s="2">
        <f t="shared" si="0"/>
        <v>2.9099999999999966</v>
      </c>
      <c r="AE48" s="138">
        <f t="shared" si="1"/>
        <v>5.9615384615385736E-3</v>
      </c>
    </row>
    <row r="49" spans="1:31" x14ac:dyDescent="0.25">
      <c r="O49" s="83">
        <v>1.03</v>
      </c>
      <c r="P49" s="83">
        <f t="shared" si="3"/>
        <v>180.55900000000003</v>
      </c>
      <c r="Q49" s="2"/>
      <c r="T49" s="136"/>
      <c r="U49" s="88"/>
      <c r="W49" s="133">
        <v>42538</v>
      </c>
      <c r="X49" s="10">
        <v>158.97</v>
      </c>
      <c r="Y49" s="10">
        <v>159.75</v>
      </c>
      <c r="Z49" s="10">
        <v>154.93</v>
      </c>
      <c r="AA49" s="10">
        <v>156</v>
      </c>
      <c r="AB49" s="95">
        <v>4333300</v>
      </c>
      <c r="AC49" s="10">
        <v>156</v>
      </c>
      <c r="AD49" s="2">
        <f t="shared" si="0"/>
        <v>4.8199999999999932</v>
      </c>
      <c r="AE49" s="138">
        <f t="shared" si="1"/>
        <v>-1.6579461640295001E-2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178.80600000000001</v>
      </c>
      <c r="Q50" s="2"/>
      <c r="T50" s="136" t="s">
        <v>105</v>
      </c>
      <c r="U50" s="88" t="s">
        <v>480</v>
      </c>
      <c r="W50" s="133">
        <v>42537</v>
      </c>
      <c r="X50" s="10">
        <v>157.05000000000001</v>
      </c>
      <c r="Y50" s="10">
        <v>158.84</v>
      </c>
      <c r="Z50" s="10">
        <v>155.6</v>
      </c>
      <c r="AA50" s="10">
        <v>158.63</v>
      </c>
      <c r="AB50" s="95">
        <v>2280400</v>
      </c>
      <c r="AC50" s="10">
        <v>158.63</v>
      </c>
      <c r="AD50" s="2">
        <f t="shared" si="0"/>
        <v>3.2400000000000091</v>
      </c>
      <c r="AE50" s="138">
        <f t="shared" si="1"/>
        <v>1.4520202020200657E-3</v>
      </c>
    </row>
    <row r="51" spans="1:31" x14ac:dyDescent="0.25">
      <c r="O51" s="83">
        <v>1.01</v>
      </c>
      <c r="P51" s="83">
        <f t="shared" si="3"/>
        <v>177.05300000000003</v>
      </c>
      <c r="Q51" s="2"/>
      <c r="T51" s="136" t="s">
        <v>106</v>
      </c>
      <c r="U51" s="88" t="s">
        <v>481</v>
      </c>
      <c r="W51" s="133">
        <v>42536</v>
      </c>
      <c r="X51" s="10">
        <v>158.82</v>
      </c>
      <c r="Y51" s="10">
        <v>160.12</v>
      </c>
      <c r="Z51" s="10">
        <v>158.18</v>
      </c>
      <c r="AA51" s="10">
        <v>158.4</v>
      </c>
      <c r="AB51" s="95">
        <v>3088400</v>
      </c>
      <c r="AC51" s="10">
        <v>158.4</v>
      </c>
      <c r="AD51" s="2">
        <f t="shared" si="0"/>
        <v>1.9399999999999977</v>
      </c>
      <c r="AE51" s="138" t="e">
        <f t="shared" si="1"/>
        <v>#DIV/0!</v>
      </c>
    </row>
    <row r="52" spans="1:31" x14ac:dyDescent="0.25">
      <c r="O52" s="83">
        <v>1</v>
      </c>
      <c r="P52" s="83">
        <f t="shared" si="3"/>
        <v>175.3</v>
      </c>
      <c r="Q52" s="2"/>
      <c r="T52" s="136" t="s">
        <v>107</v>
      </c>
      <c r="U52" s="90">
        <v>2180493</v>
      </c>
      <c r="W52" s="133">
        <v>42536</v>
      </c>
      <c r="X52" s="10" t="s">
        <v>253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0.99</v>
      </c>
      <c r="P53" s="83">
        <f t="shared" si="3"/>
        <v>173.547</v>
      </c>
      <c r="Q53" s="2"/>
      <c r="T53" s="136" t="s">
        <v>110</v>
      </c>
      <c r="U53" s="90">
        <v>2542920</v>
      </c>
      <c r="W53" s="133">
        <v>42535</v>
      </c>
      <c r="X53" s="10">
        <v>159.27000000000001</v>
      </c>
      <c r="Y53" s="10">
        <v>160.53</v>
      </c>
      <c r="Z53" s="10">
        <v>158.13</v>
      </c>
      <c r="AA53" s="10">
        <v>158.99</v>
      </c>
      <c r="AB53" s="95">
        <v>2566900</v>
      </c>
      <c r="AC53" s="10">
        <v>158.49</v>
      </c>
      <c r="AD53" s="2">
        <f t="shared" si="0"/>
        <v>2.4000000000000057</v>
      </c>
      <c r="AE53" s="138">
        <f t="shared" si="1"/>
        <v>-6.3945834116981848E-3</v>
      </c>
    </row>
    <row r="54" spans="1:31" x14ac:dyDescent="0.25">
      <c r="O54" s="83">
        <v>0.98</v>
      </c>
      <c r="P54" s="83">
        <f t="shared" si="3"/>
        <v>171.79400000000001</v>
      </c>
      <c r="Q54" s="2"/>
      <c r="T54" s="136" t="s">
        <v>108</v>
      </c>
      <c r="U54" s="88" t="s">
        <v>482</v>
      </c>
      <c r="W54" s="133">
        <v>42534</v>
      </c>
      <c r="X54" s="10">
        <v>160.13999999999999</v>
      </c>
      <c r="Y54" s="10">
        <v>162.25</v>
      </c>
      <c r="Z54" s="10">
        <v>159.63999999999999</v>
      </c>
      <c r="AA54" s="10">
        <v>160.01</v>
      </c>
      <c r="AB54" s="95">
        <v>2156800</v>
      </c>
      <c r="AC54" s="10">
        <v>159.51</v>
      </c>
      <c r="AD54" s="2">
        <f t="shared" si="0"/>
        <v>2.6100000000000136</v>
      </c>
      <c r="AE54" s="138">
        <f t="shared" si="1"/>
        <v>-4.9903312332356675E-3</v>
      </c>
    </row>
    <row r="55" spans="1:31" x14ac:dyDescent="0.25">
      <c r="O55" s="83">
        <v>0.97</v>
      </c>
      <c r="P55" s="83">
        <f t="shared" si="3"/>
        <v>170.041</v>
      </c>
      <c r="T55" s="136" t="s">
        <v>111</v>
      </c>
      <c r="U55" s="88" t="s">
        <v>130</v>
      </c>
      <c r="W55" s="133">
        <v>42531</v>
      </c>
      <c r="X55" s="10">
        <v>162.16999999999999</v>
      </c>
      <c r="Y55" s="10">
        <v>162.97999999999999</v>
      </c>
      <c r="Z55" s="10">
        <v>160</v>
      </c>
      <c r="AA55" s="10">
        <v>160.82</v>
      </c>
      <c r="AB55" s="95">
        <v>2665700</v>
      </c>
      <c r="AC55" s="10">
        <v>160.31</v>
      </c>
      <c r="AD55" s="2">
        <f t="shared" si="0"/>
        <v>2.9799999999999898</v>
      </c>
      <c r="AE55" s="138">
        <f t="shared" si="1"/>
        <v>-2.0229800757853522E-2</v>
      </c>
    </row>
    <row r="56" spans="1:31" x14ac:dyDescent="0.25">
      <c r="O56" s="83">
        <v>0.96</v>
      </c>
      <c r="P56" s="83">
        <f t="shared" si="3"/>
        <v>168.28800000000001</v>
      </c>
      <c r="T56" s="136" t="s">
        <v>112</v>
      </c>
      <c r="U56" s="88">
        <v>-0.69</v>
      </c>
      <c r="W56" s="133">
        <v>42530</v>
      </c>
      <c r="X56" s="10">
        <v>162.13999999999999</v>
      </c>
      <c r="Y56" s="10">
        <v>165.05</v>
      </c>
      <c r="Z56" s="10">
        <v>162.12</v>
      </c>
      <c r="AA56" s="10">
        <v>164.14</v>
      </c>
      <c r="AB56" s="95">
        <v>2914300</v>
      </c>
      <c r="AC56" s="10">
        <v>163.62</v>
      </c>
      <c r="AD56" s="2">
        <f t="shared" si="0"/>
        <v>2.9300000000000068</v>
      </c>
      <c r="AE56" s="138">
        <f t="shared" si="1"/>
        <v>2.6349653777806292E-3</v>
      </c>
    </row>
    <row r="57" spans="1:31" x14ac:dyDescent="0.25">
      <c r="O57" s="83">
        <v>0.95</v>
      </c>
      <c r="P57" s="83">
        <f t="shared" si="3"/>
        <v>166.535</v>
      </c>
      <c r="T57" s="136" t="s">
        <v>109</v>
      </c>
      <c r="U57" s="88" t="s">
        <v>394</v>
      </c>
      <c r="W57" s="133">
        <v>42529</v>
      </c>
      <c r="X57" s="10">
        <v>164.09</v>
      </c>
      <c r="Y57" s="10">
        <v>164.62</v>
      </c>
      <c r="Z57" s="10">
        <v>163.34</v>
      </c>
      <c r="AA57" s="10">
        <v>163.69999999999999</v>
      </c>
      <c r="AB57" s="95">
        <v>2562000</v>
      </c>
      <c r="AC57" s="10">
        <v>163.19</v>
      </c>
      <c r="AD57" s="2">
        <f t="shared" si="0"/>
        <v>1.2800000000000011</v>
      </c>
      <c r="AE57" s="138">
        <f t="shared" si="1"/>
        <v>-6.8768257059396154E-3</v>
      </c>
    </row>
    <row r="58" spans="1:31" x14ac:dyDescent="0.25">
      <c r="O58" s="83">
        <v>0.94</v>
      </c>
      <c r="P58" s="83">
        <f t="shared" si="3"/>
        <v>164.78200000000001</v>
      </c>
      <c r="W58" s="133">
        <v>42528</v>
      </c>
      <c r="X58" s="10">
        <v>163.34</v>
      </c>
      <c r="Y58" s="10">
        <v>165.95</v>
      </c>
      <c r="Z58" s="10">
        <v>162.81</v>
      </c>
      <c r="AA58" s="10">
        <v>164.84</v>
      </c>
      <c r="AB58" s="95">
        <v>3234000</v>
      </c>
      <c r="AC58" s="10">
        <v>164.32</v>
      </c>
      <c r="AD58" s="2">
        <f t="shared" si="0"/>
        <v>3.1399999999999864</v>
      </c>
      <c r="AE58" s="138">
        <f t="shared" si="1"/>
        <v>1.2258978623790995E-2</v>
      </c>
    </row>
    <row r="59" spans="1:31" x14ac:dyDescent="0.25">
      <c r="O59" s="83">
        <v>0.93</v>
      </c>
      <c r="P59" s="83">
        <f t="shared" si="3"/>
        <v>163.02900000000002</v>
      </c>
      <c r="W59" s="133">
        <v>42527</v>
      </c>
      <c r="X59" s="10">
        <v>163.4</v>
      </c>
      <c r="Y59" s="10">
        <v>163.94</v>
      </c>
      <c r="Z59" s="10">
        <v>161.02000000000001</v>
      </c>
      <c r="AA59" s="10">
        <v>162.84</v>
      </c>
      <c r="AB59" s="95">
        <v>3401000</v>
      </c>
      <c r="AC59" s="10">
        <v>162.33000000000001</v>
      </c>
      <c r="AD59" s="2">
        <f t="shared" si="0"/>
        <v>2.9199999999999875</v>
      </c>
      <c r="AE59" s="138">
        <f t="shared" si="1"/>
        <v>1.7278617710583255E-3</v>
      </c>
    </row>
    <row r="60" spans="1:31" x14ac:dyDescent="0.25">
      <c r="O60" s="83">
        <v>0.92</v>
      </c>
      <c r="P60" s="83">
        <f t="shared" si="3"/>
        <v>161.27600000000001</v>
      </c>
      <c r="W60" s="133">
        <v>42524</v>
      </c>
      <c r="X60" s="10">
        <v>165.77</v>
      </c>
      <c r="Y60" s="10">
        <v>166</v>
      </c>
      <c r="Z60" s="10">
        <v>161.19999999999999</v>
      </c>
      <c r="AA60" s="10">
        <v>162.56</v>
      </c>
      <c r="AB60" s="95">
        <v>8298500</v>
      </c>
      <c r="AC60" s="10">
        <v>162.05000000000001</v>
      </c>
      <c r="AD60" s="2">
        <f t="shared" si="0"/>
        <v>4.8000000000000114</v>
      </c>
      <c r="AE60" s="138">
        <f t="shared" si="1"/>
        <v>4.9410698096101768E-2</v>
      </c>
    </row>
    <row r="61" spans="1:31" x14ac:dyDescent="0.25">
      <c r="O61" s="83">
        <v>0.91</v>
      </c>
      <c r="P61" s="83">
        <f t="shared" si="3"/>
        <v>159.52300000000002</v>
      </c>
      <c r="W61" s="133">
        <v>42523</v>
      </c>
      <c r="X61" s="10">
        <v>155.21</v>
      </c>
      <c r="Y61" s="10">
        <v>155.52000000000001</v>
      </c>
      <c r="Z61" s="10">
        <v>153.38999999999999</v>
      </c>
      <c r="AA61" s="10">
        <v>154.91</v>
      </c>
      <c r="AB61" s="95">
        <v>4674600</v>
      </c>
      <c r="AC61" s="10">
        <v>154.41999999999999</v>
      </c>
      <c r="AD61" s="2">
        <f t="shared" si="0"/>
        <v>2.1300000000000239</v>
      </c>
      <c r="AE61" s="138">
        <f t="shared" si="1"/>
        <v>9.0744101633388752E-4</v>
      </c>
    </row>
    <row r="62" spans="1:31" x14ac:dyDescent="0.25">
      <c r="O62" s="83">
        <v>0.9</v>
      </c>
      <c r="P62" s="83">
        <f t="shared" si="3"/>
        <v>157.77000000000001</v>
      </c>
      <c r="W62" s="133">
        <v>42522</v>
      </c>
      <c r="X62" s="10">
        <v>153.41</v>
      </c>
      <c r="Y62" s="10">
        <v>155.32</v>
      </c>
      <c r="Z62" s="10">
        <v>153.34</v>
      </c>
      <c r="AA62" s="10">
        <v>154.77000000000001</v>
      </c>
      <c r="AB62" s="95">
        <v>3077700</v>
      </c>
      <c r="AC62" s="10">
        <v>154.28</v>
      </c>
      <c r="AD62" s="2">
        <f t="shared" si="0"/>
        <v>1.9799999999999898</v>
      </c>
      <c r="AE62" s="138">
        <f t="shared" si="1"/>
        <v>2.6645869890167262E-3</v>
      </c>
    </row>
    <row r="63" spans="1:31" x14ac:dyDescent="0.25">
      <c r="W63" s="133">
        <v>42521</v>
      </c>
      <c r="X63" s="10">
        <v>154</v>
      </c>
      <c r="Y63" s="10">
        <v>154.94999999999999</v>
      </c>
      <c r="Z63" s="10">
        <v>153.30000000000001</v>
      </c>
      <c r="AA63" s="10">
        <v>154.36000000000001</v>
      </c>
      <c r="AB63" s="95">
        <v>3205800</v>
      </c>
      <c r="AC63" s="10">
        <v>153.87</v>
      </c>
      <c r="AD63" s="2">
        <f t="shared" si="0"/>
        <v>1.6499999999999773</v>
      </c>
      <c r="AE63" s="138">
        <f t="shared" si="1"/>
        <v>6.8708284255987184E-3</v>
      </c>
    </row>
    <row r="64" spans="1:31" x14ac:dyDescent="0.25">
      <c r="W64" s="133">
        <v>42517</v>
      </c>
      <c r="X64" s="10">
        <v>153</v>
      </c>
      <c r="Y64" s="10">
        <v>153.93</v>
      </c>
      <c r="Z64" s="10">
        <v>152.46</v>
      </c>
      <c r="AA64" s="10">
        <v>153.30000000000001</v>
      </c>
      <c r="AB64" s="95">
        <v>1869300</v>
      </c>
      <c r="AC64" s="10">
        <v>152.82</v>
      </c>
      <c r="AD64" s="2">
        <f t="shared" si="0"/>
        <v>1.4699999999999989</v>
      </c>
      <c r="AE64" s="138">
        <f t="shared" si="1"/>
        <v>1.8355841090862413E-3</v>
      </c>
    </row>
    <row r="65" spans="23:31" x14ac:dyDescent="0.25">
      <c r="W65" s="133">
        <v>42516</v>
      </c>
      <c r="X65" s="10">
        <v>153.77000000000001</v>
      </c>
      <c r="Y65" s="10">
        <v>154.25</v>
      </c>
      <c r="Z65" s="10">
        <v>151.82</v>
      </c>
      <c r="AA65" s="10">
        <v>153.02000000000001</v>
      </c>
      <c r="AB65" s="95">
        <v>1843100</v>
      </c>
      <c r="AC65" s="10">
        <v>152.54</v>
      </c>
      <c r="AD65" s="2">
        <f t="shared" si="0"/>
        <v>2.4300000000000068</v>
      </c>
      <c r="AE65" s="138">
        <f t="shared" si="1"/>
        <v>-3.5926579136456027E-3</v>
      </c>
    </row>
    <row r="66" spans="23:31" x14ac:dyDescent="0.25">
      <c r="W66" s="133">
        <v>42515</v>
      </c>
      <c r="X66" s="10">
        <v>151.84</v>
      </c>
      <c r="Y66" s="10">
        <v>154</v>
      </c>
      <c r="Z66" s="10">
        <v>150.49</v>
      </c>
      <c r="AA66" s="10">
        <v>153.57</v>
      </c>
      <c r="AB66" s="95">
        <v>2173700</v>
      </c>
      <c r="AC66" s="10">
        <v>153.09</v>
      </c>
      <c r="AD66" s="2">
        <f t="shared" si="0"/>
        <v>3.5099999999999909</v>
      </c>
      <c r="AE66" s="138">
        <f t="shared" si="1"/>
        <v>1.4244070491586047E-2</v>
      </c>
    </row>
    <row r="67" spans="23:31" x14ac:dyDescent="0.25">
      <c r="W67" s="133">
        <v>42514</v>
      </c>
      <c r="X67" s="10">
        <v>148.6</v>
      </c>
      <c r="Y67" s="10">
        <v>151.68</v>
      </c>
      <c r="Z67" s="10">
        <v>148.35</v>
      </c>
      <c r="AA67" s="10">
        <v>151.41999999999999</v>
      </c>
      <c r="AB67" s="95">
        <v>1990700</v>
      </c>
      <c r="AC67" s="10">
        <v>150.94</v>
      </c>
      <c r="AD67" s="2">
        <f>Y67-Z67</f>
        <v>3.3300000000000125</v>
      </c>
      <c r="AE67" s="138">
        <f>AC67/AC68-1</f>
        <v>2.2420917157759179E-2</v>
      </c>
    </row>
    <row r="68" spans="23:31" x14ac:dyDescent="0.25">
      <c r="W68" s="133">
        <v>42513</v>
      </c>
      <c r="X68" s="10">
        <v>148.19</v>
      </c>
      <c r="Y68" s="10">
        <v>150.34</v>
      </c>
      <c r="Z68" s="10">
        <v>147.88</v>
      </c>
      <c r="AA68" s="10">
        <v>148.1</v>
      </c>
      <c r="AB68" s="95">
        <v>1760900</v>
      </c>
      <c r="AC68" s="10">
        <v>147.63</v>
      </c>
      <c r="AD68" s="2">
        <f>Y68-Z68</f>
        <v>2.460000000000008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309</v>
      </c>
      <c r="W2" s="133">
        <v>42606</v>
      </c>
      <c r="X2" s="10">
        <v>47.29</v>
      </c>
      <c r="Y2" s="10">
        <v>47.94</v>
      </c>
      <c r="Z2" s="10">
        <v>47.27</v>
      </c>
      <c r="AA2" s="10">
        <v>47.6</v>
      </c>
      <c r="AB2" s="95">
        <v>2174900</v>
      </c>
      <c r="AC2" s="10">
        <v>47.6</v>
      </c>
      <c r="AD2" s="2">
        <f>Y2-Z2</f>
        <v>0.6699999999999946</v>
      </c>
      <c r="AE2" s="138">
        <f>AC2/AC3-1</f>
        <v>2.3162771109708213E-3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47.6</v>
      </c>
      <c r="T3" s="1"/>
      <c r="W3" s="133">
        <v>42605</v>
      </c>
      <c r="X3" s="10">
        <v>47.27</v>
      </c>
      <c r="Y3" s="10">
        <v>47.96</v>
      </c>
      <c r="Z3" s="10">
        <v>47.27</v>
      </c>
      <c r="AA3" s="10">
        <v>47.49</v>
      </c>
      <c r="AB3" s="95">
        <v>2270400</v>
      </c>
      <c r="AC3" s="10">
        <v>47.49</v>
      </c>
      <c r="AD3" s="2">
        <f t="shared" ref="AD3:AD66" si="0">Y3-Z3</f>
        <v>0.68999999999999773</v>
      </c>
      <c r="AE3" s="138">
        <f t="shared" ref="AE3:AE66" si="1">AC3/AC4-1</f>
        <v>1.1501597444089517E-2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47.6</v>
      </c>
      <c r="T4" s="163"/>
      <c r="W4" s="133">
        <v>42604</v>
      </c>
      <c r="X4" s="10">
        <v>46.95</v>
      </c>
      <c r="Y4" s="10">
        <v>47.09</v>
      </c>
      <c r="Z4" s="10">
        <v>46.56</v>
      </c>
      <c r="AA4" s="10">
        <v>46.95</v>
      </c>
      <c r="AB4" s="95">
        <v>2606900</v>
      </c>
      <c r="AC4" s="10">
        <v>46.95</v>
      </c>
      <c r="AD4" s="2">
        <f t="shared" si="0"/>
        <v>0.53000000000000114</v>
      </c>
      <c r="AE4" s="138">
        <f t="shared" si="1"/>
        <v>-2.9730303673816127E-3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42601</v>
      </c>
      <c r="X5" s="10">
        <v>47.25</v>
      </c>
      <c r="Y5" s="10">
        <v>47.59</v>
      </c>
      <c r="Z5" s="10">
        <v>46.94</v>
      </c>
      <c r="AA5" s="10">
        <v>47.09</v>
      </c>
      <c r="AB5" s="95">
        <v>3244000</v>
      </c>
      <c r="AC5" s="10">
        <v>47.09</v>
      </c>
      <c r="AD5" s="2">
        <f t="shared" si="0"/>
        <v>0.65000000000000568</v>
      </c>
      <c r="AE5" s="138">
        <f t="shared" si="1"/>
        <v>-1.0714285714285676E-2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42600</v>
      </c>
      <c r="X6" s="10">
        <v>48.16</v>
      </c>
      <c r="Y6" s="10">
        <v>48.22</v>
      </c>
      <c r="Z6" s="10">
        <v>47.18</v>
      </c>
      <c r="AA6" s="10">
        <v>47.6</v>
      </c>
      <c r="AB6" s="95">
        <v>4915900</v>
      </c>
      <c r="AC6" s="10">
        <v>47.6</v>
      </c>
      <c r="AD6" s="2">
        <f t="shared" si="0"/>
        <v>1.0399999999999991</v>
      </c>
      <c r="AE6" s="138">
        <f t="shared" si="1"/>
        <v>-1.2038190120381875E-2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42599</v>
      </c>
      <c r="X7" s="10">
        <v>47.91</v>
      </c>
      <c r="Y7" s="10">
        <v>48.21</v>
      </c>
      <c r="Z7" s="10">
        <v>47.68</v>
      </c>
      <c r="AA7" s="10">
        <v>48.18</v>
      </c>
      <c r="AB7" s="95">
        <v>3297700</v>
      </c>
      <c r="AC7" s="10">
        <v>48.18</v>
      </c>
      <c r="AD7" s="2">
        <f t="shared" si="0"/>
        <v>0.53000000000000114</v>
      </c>
      <c r="AE7" s="138">
        <f t="shared" si="1"/>
        <v>3.9591581579494495E-3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42598</v>
      </c>
      <c r="X8" s="10">
        <v>47.82</v>
      </c>
      <c r="Y8" s="10">
        <v>48.38</v>
      </c>
      <c r="Z8" s="10">
        <v>47.6</v>
      </c>
      <c r="AA8" s="10">
        <v>47.99</v>
      </c>
      <c r="AB8" s="95">
        <v>3453800</v>
      </c>
      <c r="AC8" s="10">
        <v>47.99</v>
      </c>
      <c r="AD8" s="2">
        <f t="shared" si="0"/>
        <v>0.78000000000000114</v>
      </c>
      <c r="AE8" s="138">
        <f t="shared" si="1"/>
        <v>-4.1657987919174744E-4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225</v>
      </c>
      <c r="Q9" s="138">
        <f>IF(Q2=0, 0, Q8/Q6)</f>
        <v>0</v>
      </c>
      <c r="W9" s="133">
        <v>42597</v>
      </c>
      <c r="X9" s="10">
        <v>47.16</v>
      </c>
      <c r="Y9" s="10">
        <v>48.48</v>
      </c>
      <c r="Z9" s="10">
        <v>47</v>
      </c>
      <c r="AA9" s="10">
        <v>48.01</v>
      </c>
      <c r="AB9" s="95">
        <v>3025400</v>
      </c>
      <c r="AC9" s="10">
        <v>48.01</v>
      </c>
      <c r="AD9" s="2">
        <f t="shared" si="0"/>
        <v>1.4799999999999969</v>
      </c>
      <c r="AE9" s="138">
        <f t="shared" si="1"/>
        <v>1.9320594479830033E-2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224</v>
      </c>
      <c r="P10" s="34"/>
      <c r="Q10" s="2">
        <f>M75</f>
        <v>1461.5600000000013</v>
      </c>
      <c r="W10" s="133">
        <v>42594</v>
      </c>
      <c r="X10" s="10">
        <v>47.2</v>
      </c>
      <c r="Y10" s="10">
        <v>47.34</v>
      </c>
      <c r="Z10" s="10">
        <v>46.53</v>
      </c>
      <c r="AA10" s="10">
        <v>47.1</v>
      </c>
      <c r="AB10" s="95">
        <v>2165900</v>
      </c>
      <c r="AC10" s="10">
        <v>47.1</v>
      </c>
      <c r="AD10" s="2">
        <f t="shared" si="0"/>
        <v>0.81000000000000227</v>
      </c>
      <c r="AE10" s="138">
        <f t="shared" si="1"/>
        <v>-3.5963613285382445E-3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42593</v>
      </c>
      <c r="X11" s="10">
        <v>47</v>
      </c>
      <c r="Y11" s="10">
        <v>47.57</v>
      </c>
      <c r="Z11" s="10">
        <v>46.8</v>
      </c>
      <c r="AA11" s="10">
        <v>47.27</v>
      </c>
      <c r="AB11" s="95">
        <v>4010000</v>
      </c>
      <c r="AC11" s="10">
        <v>47.27</v>
      </c>
      <c r="AD11" s="2">
        <f t="shared" si="0"/>
        <v>0.77000000000000313</v>
      </c>
      <c r="AE11" s="138">
        <f t="shared" si="1"/>
        <v>3.1833616298813094E-3</v>
      </c>
    </row>
    <row r="12" spans="1:31" x14ac:dyDescent="0.25">
      <c r="W12" s="133">
        <v>42592</v>
      </c>
      <c r="X12" s="10">
        <v>47.72</v>
      </c>
      <c r="Y12" s="10">
        <v>47.8</v>
      </c>
      <c r="Z12" s="10">
        <v>46.67</v>
      </c>
      <c r="AA12" s="10">
        <v>47.12</v>
      </c>
      <c r="AB12" s="95">
        <v>3052600</v>
      </c>
      <c r="AC12" s="10">
        <v>47.12</v>
      </c>
      <c r="AD12" s="2">
        <f t="shared" si="0"/>
        <v>1.1299999999999955</v>
      </c>
      <c r="AE12" s="138">
        <f t="shared" si="1"/>
        <v>-1.4432127170048159E-2</v>
      </c>
    </row>
    <row r="13" spans="1:31" x14ac:dyDescent="0.25">
      <c r="W13" s="133">
        <v>42591</v>
      </c>
      <c r="X13" s="10">
        <v>49</v>
      </c>
      <c r="Y13" s="10">
        <v>49.47</v>
      </c>
      <c r="Z13" s="10">
        <v>47.78</v>
      </c>
      <c r="AA13" s="10">
        <v>47.81</v>
      </c>
      <c r="AB13" s="95">
        <v>3456000</v>
      </c>
      <c r="AC13" s="10">
        <v>47.81</v>
      </c>
      <c r="AD13" s="2">
        <f t="shared" si="0"/>
        <v>1.6899999999999977</v>
      </c>
      <c r="AE13" s="138">
        <f t="shared" si="1"/>
        <v>-1.4023510002062256E-2</v>
      </c>
    </row>
    <row r="14" spans="1:31" x14ac:dyDescent="0.25">
      <c r="W14" s="133">
        <v>42590</v>
      </c>
      <c r="X14" s="10">
        <v>48.39</v>
      </c>
      <c r="Y14" s="10">
        <v>49.32</v>
      </c>
      <c r="Z14" s="10">
        <v>47.9</v>
      </c>
      <c r="AA14" s="10">
        <v>48.49</v>
      </c>
      <c r="AB14" s="95">
        <v>4311300</v>
      </c>
      <c r="AC14" s="10">
        <v>48.49</v>
      </c>
      <c r="AD14" s="2">
        <f t="shared" si="0"/>
        <v>1.4200000000000017</v>
      </c>
      <c r="AE14" s="138">
        <f t="shared" si="1"/>
        <v>1.6525511258005388E-3</v>
      </c>
    </row>
    <row r="15" spans="1:31" x14ac:dyDescent="0.25">
      <c r="W15" s="133">
        <v>42587</v>
      </c>
      <c r="X15" s="10">
        <v>46.25</v>
      </c>
      <c r="Y15" s="10">
        <v>48.48</v>
      </c>
      <c r="Z15" s="10">
        <v>46.24</v>
      </c>
      <c r="AA15" s="10">
        <v>48.41</v>
      </c>
      <c r="AB15" s="95">
        <v>5995000</v>
      </c>
      <c r="AC15" s="10">
        <v>48.41</v>
      </c>
      <c r="AD15" s="2">
        <f t="shared" si="0"/>
        <v>2.2399999999999949</v>
      </c>
      <c r="AE15" s="138">
        <f t="shared" si="1"/>
        <v>5.4684095860566329E-2</v>
      </c>
    </row>
    <row r="16" spans="1:31" x14ac:dyDescent="0.25">
      <c r="W16" s="133">
        <v>42586</v>
      </c>
      <c r="X16" s="10">
        <v>44.94</v>
      </c>
      <c r="Y16" s="10">
        <v>45.96</v>
      </c>
      <c r="Z16" s="10">
        <v>44.81</v>
      </c>
      <c r="AA16" s="10">
        <v>45.9</v>
      </c>
      <c r="AB16" s="95">
        <v>3878900</v>
      </c>
      <c r="AC16" s="10">
        <v>45.9</v>
      </c>
      <c r="AD16" s="2">
        <f t="shared" si="0"/>
        <v>1.1499999999999986</v>
      </c>
      <c r="AE16" s="138">
        <f t="shared" si="1"/>
        <v>2.2271714922049046E-2</v>
      </c>
    </row>
    <row r="17" spans="1:31" x14ac:dyDescent="0.25">
      <c r="W17" s="133">
        <v>42585</v>
      </c>
      <c r="X17" s="10">
        <v>44.28</v>
      </c>
      <c r="Y17" s="10">
        <v>45.2</v>
      </c>
      <c r="Z17" s="10">
        <v>44.15</v>
      </c>
      <c r="AA17" s="10">
        <v>44.9</v>
      </c>
      <c r="AB17" s="95">
        <v>4616000</v>
      </c>
      <c r="AC17" s="10">
        <v>44.9</v>
      </c>
      <c r="AD17" s="2">
        <f t="shared" si="0"/>
        <v>1.0500000000000043</v>
      </c>
      <c r="AE17" s="138">
        <f t="shared" si="1"/>
        <v>1.1261261261261257E-2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42584</v>
      </c>
      <c r="X18" s="10">
        <v>46.9</v>
      </c>
      <c r="Y18" s="10">
        <v>46.9</v>
      </c>
      <c r="Z18" s="10">
        <v>44.24</v>
      </c>
      <c r="AA18" s="10">
        <v>44.4</v>
      </c>
      <c r="AB18" s="95">
        <v>7290700</v>
      </c>
      <c r="AC18" s="10">
        <v>44.4</v>
      </c>
      <c r="AD18" s="2">
        <f t="shared" si="0"/>
        <v>2.6599999999999966</v>
      </c>
      <c r="AE18" s="138">
        <f t="shared" si="1"/>
        <v>-6.25E-2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SumByColor($A$19,H3:H17)</f>
        <v>0</v>
      </c>
      <c r="I19" s="362"/>
      <c r="J19" s="362"/>
      <c r="K19" s="363">
        <f>SumByColor($A$19,K3:K17)</f>
        <v>0</v>
      </c>
      <c r="L19" s="362"/>
      <c r="M19" s="363">
        <f t="shared" ref="M19" si="2">SumByColor($A$19,M2:M17)</f>
        <v>0</v>
      </c>
      <c r="W19" s="133">
        <v>42583</v>
      </c>
      <c r="X19" s="10">
        <v>46.77</v>
      </c>
      <c r="Y19" s="10">
        <v>47.38</v>
      </c>
      <c r="Z19" s="10">
        <v>46.42</v>
      </c>
      <c r="AA19" s="10">
        <v>47.36</v>
      </c>
      <c r="AB19" s="95">
        <v>2934700</v>
      </c>
      <c r="AC19" s="10">
        <v>47.36</v>
      </c>
      <c r="AD19" s="2">
        <f t="shared" si="0"/>
        <v>0.96000000000000085</v>
      </c>
      <c r="AE19" s="138">
        <f t="shared" si="1"/>
        <v>1.0023459159735459E-2</v>
      </c>
    </row>
    <row r="20" spans="1:31" x14ac:dyDescent="0.25">
      <c r="W20" s="133">
        <v>42580</v>
      </c>
      <c r="X20" s="10">
        <v>47.49</v>
      </c>
      <c r="Y20" s="10">
        <v>48.11</v>
      </c>
      <c r="Z20" s="10">
        <v>46.89</v>
      </c>
      <c r="AA20" s="10">
        <v>46.89</v>
      </c>
      <c r="AB20" s="95">
        <v>3449800</v>
      </c>
      <c r="AC20" s="10">
        <v>46.89</v>
      </c>
      <c r="AD20" s="2">
        <f t="shared" si="0"/>
        <v>1.2199999999999989</v>
      </c>
      <c r="AE20" s="138">
        <f t="shared" si="1"/>
        <v>-1.0759493670886022E-2</v>
      </c>
    </row>
    <row r="21" spans="1:31" x14ac:dyDescent="0.25">
      <c r="W21" s="133">
        <v>42579</v>
      </c>
      <c r="X21" s="10">
        <v>47.17</v>
      </c>
      <c r="Y21" s="10">
        <v>47.63</v>
      </c>
      <c r="Z21" s="10">
        <v>46.81</v>
      </c>
      <c r="AA21" s="10">
        <v>47.4</v>
      </c>
      <c r="AB21" s="95">
        <v>2496600</v>
      </c>
      <c r="AC21" s="10">
        <v>47.4</v>
      </c>
      <c r="AD21" s="2">
        <f t="shared" si="0"/>
        <v>0.82000000000000028</v>
      </c>
      <c r="AE21" s="138">
        <f t="shared" si="1"/>
        <v>-8.4317032040470696E-4</v>
      </c>
    </row>
    <row r="22" spans="1:31" x14ac:dyDescent="0.25">
      <c r="W22" s="133">
        <v>42578</v>
      </c>
      <c r="X22" s="10">
        <v>47.63</v>
      </c>
      <c r="Y22" s="10">
        <v>47.75</v>
      </c>
      <c r="Z22" s="10">
        <v>47.16</v>
      </c>
      <c r="AA22" s="10">
        <v>47.44</v>
      </c>
      <c r="AB22" s="95">
        <v>3208500</v>
      </c>
      <c r="AC22" s="10">
        <v>47.44</v>
      </c>
      <c r="AD22" s="2">
        <f t="shared" si="0"/>
        <v>0.59000000000000341</v>
      </c>
      <c r="AE22" s="138">
        <f t="shared" si="1"/>
        <v>-6.0758432851455435E-3</v>
      </c>
    </row>
    <row r="23" spans="1:31" x14ac:dyDescent="0.25">
      <c r="W23" s="133">
        <v>42577</v>
      </c>
      <c r="X23" s="10">
        <v>46.87</v>
      </c>
      <c r="Y23" s="10">
        <v>48</v>
      </c>
      <c r="Z23" s="10">
        <v>46.87</v>
      </c>
      <c r="AA23" s="10">
        <v>47.73</v>
      </c>
      <c r="AB23" s="95">
        <v>4226100</v>
      </c>
      <c r="AC23" s="10">
        <v>47.73</v>
      </c>
      <c r="AD23" s="2">
        <f t="shared" si="0"/>
        <v>1.1300000000000026</v>
      </c>
      <c r="AE23" s="138">
        <f t="shared" si="1"/>
        <v>1.7914267434420816E-2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47.52</v>
      </c>
      <c r="Y24" s="10">
        <v>47.78</v>
      </c>
      <c r="Z24" s="10">
        <v>46.73</v>
      </c>
      <c r="AA24" s="10">
        <v>46.89</v>
      </c>
      <c r="AB24" s="95">
        <v>3752800</v>
      </c>
      <c r="AC24" s="10">
        <v>46.89</v>
      </c>
      <c r="AD24" s="2">
        <f t="shared" si="0"/>
        <v>1.0500000000000043</v>
      </c>
      <c r="AE24" s="138">
        <f t="shared" si="1"/>
        <v>-1.4294723565272172E-2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42573</v>
      </c>
      <c r="X25" s="10">
        <v>47.25</v>
      </c>
      <c r="Y25" s="10">
        <v>47.69</v>
      </c>
      <c r="Z25" s="10">
        <v>46.56</v>
      </c>
      <c r="AA25" s="10">
        <v>47.57</v>
      </c>
      <c r="AB25" s="95">
        <v>4903800</v>
      </c>
      <c r="AC25" s="10">
        <v>47.57</v>
      </c>
      <c r="AD25" s="2">
        <f t="shared" si="0"/>
        <v>1.1299999999999955</v>
      </c>
      <c r="AE25" s="138">
        <f t="shared" si="1"/>
        <v>1.9502786112301829E-2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42572</v>
      </c>
      <c r="X26" s="10">
        <v>47.11</v>
      </c>
      <c r="Y26" s="10">
        <v>47.4</v>
      </c>
      <c r="Z26" s="10">
        <v>46.02</v>
      </c>
      <c r="AA26" s="10">
        <v>46.66</v>
      </c>
      <c r="AB26" s="95">
        <v>5867900</v>
      </c>
      <c r="AC26" s="10">
        <v>46.66</v>
      </c>
      <c r="AD26" s="2">
        <f t="shared" si="0"/>
        <v>1.3799999999999955</v>
      </c>
      <c r="AE26" s="138">
        <f t="shared" si="1"/>
        <v>-3.3954451345755698E-2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42571</v>
      </c>
      <c r="X27" s="10">
        <v>48.28</v>
      </c>
      <c r="Y27" s="10">
        <v>49.87</v>
      </c>
      <c r="Z27" s="10">
        <v>47.54</v>
      </c>
      <c r="AA27" s="10">
        <v>48.3</v>
      </c>
      <c r="AB27" s="95">
        <v>8422200</v>
      </c>
      <c r="AC27" s="10">
        <v>48.3</v>
      </c>
      <c r="AD27" s="2">
        <f t="shared" si="0"/>
        <v>2.3299999999999983</v>
      </c>
      <c r="AE27" s="138">
        <f t="shared" si="1"/>
        <v>9.4043887147334804E-3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42570</v>
      </c>
      <c r="X28" s="10">
        <v>47.71</v>
      </c>
      <c r="Y28" s="10">
        <v>47.96</v>
      </c>
      <c r="Z28" s="10">
        <v>46.68</v>
      </c>
      <c r="AA28" s="10">
        <v>47.85</v>
      </c>
      <c r="AB28" s="95">
        <v>4720500</v>
      </c>
      <c r="AC28" s="10">
        <v>47.85</v>
      </c>
      <c r="AD28" s="2">
        <f t="shared" si="0"/>
        <v>1.2800000000000011</v>
      </c>
      <c r="AE28" s="138">
        <f t="shared" si="1"/>
        <v>2.9343953049674187E-3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42569</v>
      </c>
      <c r="X29" s="10">
        <v>47.58</v>
      </c>
      <c r="Y29" s="10">
        <v>48.02</v>
      </c>
      <c r="Z29" s="10">
        <v>47.13</v>
      </c>
      <c r="AA29" s="10">
        <v>47.71</v>
      </c>
      <c r="AB29" s="95">
        <v>3692700</v>
      </c>
      <c r="AC29" s="10">
        <v>47.71</v>
      </c>
      <c r="AD29" s="2">
        <f t="shared" si="0"/>
        <v>0.89000000000000057</v>
      </c>
      <c r="AE29" s="138">
        <f t="shared" si="1"/>
        <v>5.9034366434747021E-3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42566</v>
      </c>
      <c r="X30" s="10">
        <v>47.51</v>
      </c>
      <c r="Y30" s="10">
        <v>47.76</v>
      </c>
      <c r="Z30" s="10">
        <v>46.92</v>
      </c>
      <c r="AA30" s="10">
        <v>47.43</v>
      </c>
      <c r="AB30" s="95">
        <v>5184800</v>
      </c>
      <c r="AC30" s="10">
        <v>47.43</v>
      </c>
      <c r="AD30" s="2">
        <f t="shared" si="0"/>
        <v>0.83999999999999631</v>
      </c>
      <c r="AE30" s="138">
        <f t="shared" si="1"/>
        <v>-8.7774294670847075E-3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42565</v>
      </c>
      <c r="X31" s="10">
        <v>46.73</v>
      </c>
      <c r="Y31" s="10">
        <v>47.94</v>
      </c>
      <c r="Z31" s="10">
        <v>46.42</v>
      </c>
      <c r="AA31" s="10">
        <v>47.85</v>
      </c>
      <c r="AB31" s="95">
        <v>7702500</v>
      </c>
      <c r="AC31" s="10">
        <v>47.85</v>
      </c>
      <c r="AD31" s="2">
        <f t="shared" si="0"/>
        <v>1.519999999999996</v>
      </c>
      <c r="AE31" s="138">
        <f t="shared" si="1"/>
        <v>4.3392935019624934E-2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42564</v>
      </c>
      <c r="X32" s="10">
        <v>46.55</v>
      </c>
      <c r="Y32" s="10">
        <v>46.73</v>
      </c>
      <c r="Z32" s="10">
        <v>45.42</v>
      </c>
      <c r="AA32" s="10">
        <v>45.86</v>
      </c>
      <c r="AB32" s="95">
        <v>5491900</v>
      </c>
      <c r="AC32" s="10">
        <v>45.86</v>
      </c>
      <c r="AD32" s="2">
        <f t="shared" si="0"/>
        <v>1.3099999999999952</v>
      </c>
      <c r="AE32" s="138">
        <f t="shared" si="1"/>
        <v>-6.4991334488734287E-3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42563</v>
      </c>
      <c r="X33" s="10">
        <v>44.19</v>
      </c>
      <c r="Y33" s="10">
        <v>46.36</v>
      </c>
      <c r="Z33" s="10">
        <v>44.19</v>
      </c>
      <c r="AA33" s="10">
        <v>46.16</v>
      </c>
      <c r="AB33" s="95">
        <v>9778600</v>
      </c>
      <c r="AC33" s="10">
        <v>46.16</v>
      </c>
      <c r="AD33" s="2">
        <f t="shared" si="0"/>
        <v>2.1700000000000017</v>
      </c>
      <c r="AE33" s="138">
        <f t="shared" si="1"/>
        <v>8.8422541853336423E-2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42562</v>
      </c>
      <c r="X34" s="10">
        <v>41.88</v>
      </c>
      <c r="Y34" s="10">
        <v>42.74</v>
      </c>
      <c r="Z34" s="10">
        <v>41.72</v>
      </c>
      <c r="AA34" s="10">
        <v>42.41</v>
      </c>
      <c r="AB34" s="95">
        <v>4661700</v>
      </c>
      <c r="AC34" s="10">
        <v>42.41</v>
      </c>
      <c r="AD34" s="2">
        <f t="shared" si="0"/>
        <v>1.0200000000000031</v>
      </c>
      <c r="AE34" s="138">
        <f t="shared" si="1"/>
        <v>2.2420443587271022E-2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42559</v>
      </c>
      <c r="X35" s="10">
        <v>40.700000000000003</v>
      </c>
      <c r="Y35" s="10">
        <v>41.73</v>
      </c>
      <c r="Z35" s="10">
        <v>40.700000000000003</v>
      </c>
      <c r="AA35" s="10">
        <v>41.48</v>
      </c>
      <c r="AB35" s="95">
        <v>5261200</v>
      </c>
      <c r="AC35" s="10">
        <v>41.48</v>
      </c>
      <c r="AD35" s="2">
        <f t="shared" si="0"/>
        <v>1.029999999999994</v>
      </c>
      <c r="AE35" s="138">
        <f t="shared" si="1"/>
        <v>3.4671988026939271E-2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42558</v>
      </c>
      <c r="X36" s="10">
        <v>39.32</v>
      </c>
      <c r="Y36" s="10">
        <v>40.409999999999997</v>
      </c>
      <c r="Z36" s="10">
        <v>39.31</v>
      </c>
      <c r="AA36" s="10">
        <v>40.090000000000003</v>
      </c>
      <c r="AB36" s="95">
        <v>4606300</v>
      </c>
      <c r="AC36" s="10">
        <v>40.090000000000003</v>
      </c>
      <c r="AD36" s="2">
        <f t="shared" si="0"/>
        <v>1.0999999999999943</v>
      </c>
      <c r="AE36" s="138">
        <f t="shared" si="1"/>
        <v>1.9842279318239564E-2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42557</v>
      </c>
      <c r="X37" s="10">
        <v>39.14</v>
      </c>
      <c r="Y37" s="10">
        <v>39.409999999999997</v>
      </c>
      <c r="Z37" s="10">
        <v>37.64</v>
      </c>
      <c r="AA37" s="10">
        <v>39.31</v>
      </c>
      <c r="AB37" s="95">
        <v>8217800</v>
      </c>
      <c r="AC37" s="10">
        <v>39.31</v>
      </c>
      <c r="AD37" s="2">
        <f t="shared" si="0"/>
        <v>1.769999999999996</v>
      </c>
      <c r="AE37" s="138">
        <f t="shared" si="1"/>
        <v>-2.4323653512037691E-2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42556</v>
      </c>
      <c r="X38" s="10">
        <v>40.799999999999997</v>
      </c>
      <c r="Y38" s="10">
        <v>40.92</v>
      </c>
      <c r="Z38" s="10">
        <v>39.409999999999997</v>
      </c>
      <c r="AA38" s="10">
        <v>40.29</v>
      </c>
      <c r="AB38" s="95">
        <v>5207800</v>
      </c>
      <c r="AC38" s="10">
        <v>40.29</v>
      </c>
      <c r="AD38" s="2">
        <f t="shared" si="0"/>
        <v>1.5100000000000051</v>
      </c>
      <c r="AE38" s="138">
        <f t="shared" si="1"/>
        <v>-2.6105873821609782E-2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42552</v>
      </c>
      <c r="X39" s="10">
        <v>41.02</v>
      </c>
      <c r="Y39" s="10">
        <v>41.8</v>
      </c>
      <c r="Z39" s="10">
        <v>40.83</v>
      </c>
      <c r="AA39" s="10">
        <v>41.37</v>
      </c>
      <c r="AB39" s="95">
        <v>5092900</v>
      </c>
      <c r="AC39" s="10">
        <v>41.37</v>
      </c>
      <c r="AD39" s="2">
        <f t="shared" si="0"/>
        <v>0.96999999999999886</v>
      </c>
      <c r="AE39" s="138">
        <f t="shared" si="1"/>
        <v>8.0409356725146264E-3</v>
      </c>
    </row>
    <row r="40" spans="2:31" ht="20.25" thickBot="1" x14ac:dyDescent="0.35">
      <c r="B40" s="193">
        <v>42549</v>
      </c>
      <c r="C40" s="461">
        <v>450</v>
      </c>
      <c r="D40" s="462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5" t="s">
        <v>78</v>
      </c>
      <c r="P40" s="535"/>
      <c r="W40" s="133">
        <v>42551</v>
      </c>
      <c r="X40" s="10">
        <v>40.72</v>
      </c>
      <c r="Y40" s="10">
        <v>41.04</v>
      </c>
      <c r="Z40" s="10">
        <v>40.200000000000003</v>
      </c>
      <c r="AA40" s="10">
        <v>41.04</v>
      </c>
      <c r="AB40" s="95">
        <v>6052600</v>
      </c>
      <c r="AC40" s="10">
        <v>41.04</v>
      </c>
      <c r="AD40" s="2">
        <f t="shared" si="0"/>
        <v>0.83999999999999631</v>
      </c>
      <c r="AE40" s="138">
        <f t="shared" si="1"/>
        <v>1.1584914961794368E-2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52.360000000000007</v>
      </c>
      <c r="Q41" s="2"/>
      <c r="W41" s="133">
        <v>42550</v>
      </c>
      <c r="X41" s="10">
        <v>39.19</v>
      </c>
      <c r="Y41" s="10">
        <v>40.92</v>
      </c>
      <c r="Z41" s="10">
        <v>39.15</v>
      </c>
      <c r="AA41" s="10">
        <v>40.57</v>
      </c>
      <c r="AB41" s="95">
        <v>7373100</v>
      </c>
      <c r="AC41" s="10">
        <v>40.57</v>
      </c>
      <c r="AD41" s="2">
        <f t="shared" si="0"/>
        <v>1.7700000000000031</v>
      </c>
      <c r="AE41" s="138">
        <f t="shared" si="1"/>
        <v>4.1591784338895987E-2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51.884000000000007</v>
      </c>
      <c r="Q42" s="2"/>
      <c r="T42" s="91" t="s">
        <v>113</v>
      </c>
      <c r="W42" s="133">
        <v>42549</v>
      </c>
      <c r="X42" s="10">
        <v>38.82</v>
      </c>
      <c r="Y42" s="10">
        <v>39.06</v>
      </c>
      <c r="Z42" s="10">
        <v>38.01</v>
      </c>
      <c r="AA42" s="10">
        <v>38.950000000000003</v>
      </c>
      <c r="AB42" s="95">
        <v>7820500</v>
      </c>
      <c r="AC42" s="10">
        <v>38.950000000000003</v>
      </c>
      <c r="AD42" s="2">
        <f t="shared" si="0"/>
        <v>1.0500000000000043</v>
      </c>
      <c r="AE42" s="138">
        <f t="shared" si="1"/>
        <v>3.1788079470198793E-2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51.408000000000008</v>
      </c>
      <c r="Q43" s="2"/>
      <c r="T43" s="128" t="s">
        <v>98</v>
      </c>
      <c r="U43" s="98">
        <v>47.49</v>
      </c>
      <c r="W43" s="133">
        <v>42548</v>
      </c>
      <c r="X43" s="10">
        <v>40.64</v>
      </c>
      <c r="Y43" s="10">
        <v>40.69</v>
      </c>
      <c r="Z43" s="10">
        <v>37.409999999999997</v>
      </c>
      <c r="AA43" s="10">
        <v>37.75</v>
      </c>
      <c r="AB43" s="95">
        <v>12908800</v>
      </c>
      <c r="AC43" s="10">
        <v>37.75</v>
      </c>
      <c r="AD43" s="2">
        <f t="shared" si="0"/>
        <v>3.2800000000000011</v>
      </c>
      <c r="AE43" s="138">
        <f t="shared" si="1"/>
        <v>-8.0613735996103331E-2</v>
      </c>
    </row>
    <row r="44" spans="2:31" x14ac:dyDescent="0.25">
      <c r="B44" s="193">
        <v>42557</v>
      </c>
      <c r="C44" s="461">
        <v>450</v>
      </c>
      <c r="D44" s="462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50.932000000000002</v>
      </c>
      <c r="Q44" s="2"/>
      <c r="T44" s="93" t="s">
        <v>99</v>
      </c>
      <c r="U44" s="88">
        <v>47.29</v>
      </c>
      <c r="W44" s="133">
        <v>42545</v>
      </c>
      <c r="X44" s="10">
        <v>42.67</v>
      </c>
      <c r="Y44" s="10">
        <v>43.22</v>
      </c>
      <c r="Z44" s="10">
        <v>41.04</v>
      </c>
      <c r="AA44" s="10">
        <v>41.06</v>
      </c>
      <c r="AB44" s="95">
        <v>12313800</v>
      </c>
      <c r="AC44" s="10">
        <v>41.06</v>
      </c>
      <c r="AD44" s="2">
        <f t="shared" si="0"/>
        <v>2.1799999999999997</v>
      </c>
      <c r="AE44" s="138">
        <f t="shared" si="1"/>
        <v>-9.0989594863847723E-2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50.456000000000003</v>
      </c>
      <c r="Q45" s="2"/>
      <c r="T45" s="93" t="s">
        <v>100</v>
      </c>
      <c r="U45" s="88" t="s">
        <v>434</v>
      </c>
      <c r="W45" s="133">
        <v>42544</v>
      </c>
      <c r="X45" s="10">
        <v>45.75</v>
      </c>
      <c r="Y45" s="10">
        <v>45.92</v>
      </c>
      <c r="Z45" s="10">
        <v>44.46</v>
      </c>
      <c r="AA45" s="10">
        <v>45.17</v>
      </c>
      <c r="AB45" s="95">
        <v>4914100</v>
      </c>
      <c r="AC45" s="10">
        <v>45.17</v>
      </c>
      <c r="AD45" s="2">
        <f t="shared" si="0"/>
        <v>1.4600000000000009</v>
      </c>
      <c r="AE45" s="138">
        <f t="shared" si="1"/>
        <v>1.7742293191393976E-3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49.980000000000004</v>
      </c>
      <c r="Q46" s="2"/>
      <c r="T46" s="93" t="s">
        <v>101</v>
      </c>
      <c r="U46" s="88" t="s">
        <v>571</v>
      </c>
      <c r="W46" s="133">
        <v>42543</v>
      </c>
      <c r="X46" s="10">
        <v>45</v>
      </c>
      <c r="Y46" s="10">
        <v>45.64</v>
      </c>
      <c r="Z46" s="10">
        <v>44.94</v>
      </c>
      <c r="AA46" s="10">
        <v>45.09</v>
      </c>
      <c r="AB46" s="95">
        <v>4814700</v>
      </c>
      <c r="AC46" s="10">
        <v>45.09</v>
      </c>
      <c r="AD46" s="2">
        <f t="shared" si="0"/>
        <v>0.70000000000000284</v>
      </c>
      <c r="AE46" s="138">
        <f t="shared" si="1"/>
        <v>5.1270619705752196E-3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49.504000000000005</v>
      </c>
      <c r="Q47" s="2"/>
      <c r="T47" s="93" t="s">
        <v>102</v>
      </c>
      <c r="U47" s="88">
        <v>58.83</v>
      </c>
      <c r="W47" s="133">
        <v>42542</v>
      </c>
      <c r="X47" s="10">
        <v>45.01</v>
      </c>
      <c r="Y47" s="10">
        <v>45.59</v>
      </c>
      <c r="Z47" s="10">
        <v>44.4</v>
      </c>
      <c r="AA47" s="10">
        <v>44.86</v>
      </c>
      <c r="AB47" s="95">
        <v>7749400</v>
      </c>
      <c r="AC47" s="10">
        <v>44.86</v>
      </c>
      <c r="AD47" s="2">
        <f t="shared" si="0"/>
        <v>1.1900000000000048</v>
      </c>
      <c r="AE47" s="138">
        <f t="shared" si="1"/>
        <v>3.3640552995391815E-2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49.028000000000006</v>
      </c>
      <c r="Q48" s="2"/>
      <c r="T48" s="93" t="s">
        <v>103</v>
      </c>
      <c r="U48" s="88">
        <v>0.86960700000000002</v>
      </c>
      <c r="W48" s="133">
        <v>42541</v>
      </c>
      <c r="X48" s="10">
        <v>43.07</v>
      </c>
      <c r="Y48" s="10">
        <v>44.03</v>
      </c>
      <c r="Z48" s="10">
        <v>43</v>
      </c>
      <c r="AA48" s="10">
        <v>43.4</v>
      </c>
      <c r="AB48" s="95">
        <v>4427800</v>
      </c>
      <c r="AC48" s="10">
        <v>43.4</v>
      </c>
      <c r="AD48" s="2">
        <f t="shared" si="0"/>
        <v>1.0300000000000011</v>
      </c>
      <c r="AE48" s="138">
        <f t="shared" si="1"/>
        <v>1.8301267010793154E-2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48.552</v>
      </c>
      <c r="Q49" s="2"/>
      <c r="T49" s="93" t="s">
        <v>123</v>
      </c>
      <c r="U49" s="88" t="s">
        <v>315</v>
      </c>
      <c r="W49" s="133">
        <v>42538</v>
      </c>
      <c r="X49" s="10">
        <v>41.9</v>
      </c>
      <c r="Y49" s="10">
        <v>43.07</v>
      </c>
      <c r="Z49" s="10">
        <v>41.5</v>
      </c>
      <c r="AA49" s="10">
        <v>42.62</v>
      </c>
      <c r="AB49" s="95">
        <v>8183100</v>
      </c>
      <c r="AC49" s="10">
        <v>42.62</v>
      </c>
      <c r="AD49" s="2">
        <f t="shared" si="0"/>
        <v>1.5700000000000003</v>
      </c>
      <c r="AE49" s="138">
        <f t="shared" si="1"/>
        <v>1.8885967009323323E-2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48.076000000000001</v>
      </c>
      <c r="Q50" s="2"/>
      <c r="T50" s="93"/>
      <c r="U50" s="88"/>
      <c r="W50" s="133">
        <v>42537</v>
      </c>
      <c r="X50" s="10">
        <v>42.23</v>
      </c>
      <c r="Y50" s="10">
        <v>42.9</v>
      </c>
      <c r="Z50" s="10">
        <v>41.68</v>
      </c>
      <c r="AA50" s="10">
        <v>41.83</v>
      </c>
      <c r="AB50" s="95">
        <v>7695600</v>
      </c>
      <c r="AC50" s="10">
        <v>41.83</v>
      </c>
      <c r="AD50" s="2">
        <f t="shared" si="0"/>
        <v>1.2199999999999989</v>
      </c>
      <c r="AE50" s="138">
        <f t="shared" si="1"/>
        <v>-2.4714385637677805E-2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47.6</v>
      </c>
      <c r="Q51" s="2"/>
      <c r="T51" s="93" t="s">
        <v>105</v>
      </c>
      <c r="U51" s="88" t="s">
        <v>572</v>
      </c>
      <c r="W51" s="133">
        <v>42536</v>
      </c>
      <c r="X51" s="10">
        <v>42.55</v>
      </c>
      <c r="Y51" s="10">
        <v>43.72</v>
      </c>
      <c r="Z51" s="10">
        <v>42.51</v>
      </c>
      <c r="AA51" s="10">
        <v>42.89</v>
      </c>
      <c r="AB51" s="95">
        <v>6334500</v>
      </c>
      <c r="AC51" s="10">
        <v>42.89</v>
      </c>
      <c r="AD51" s="2">
        <f t="shared" si="0"/>
        <v>1.2100000000000009</v>
      </c>
      <c r="AE51" s="138">
        <f t="shared" si="1"/>
        <v>1.9006889997624121E-2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47.124000000000002</v>
      </c>
      <c r="Q52" s="2"/>
      <c r="T52" s="93" t="s">
        <v>106</v>
      </c>
      <c r="U52" s="88" t="s">
        <v>298</v>
      </c>
      <c r="W52" s="133">
        <v>42535</v>
      </c>
      <c r="X52" s="10">
        <v>43.98</v>
      </c>
      <c r="Y52" s="10">
        <v>44.3</v>
      </c>
      <c r="Z52" s="10">
        <v>41.46</v>
      </c>
      <c r="AA52" s="10">
        <v>42.09</v>
      </c>
      <c r="AB52" s="95">
        <v>8162800</v>
      </c>
      <c r="AC52" s="10">
        <v>42.09</v>
      </c>
      <c r="AD52" s="2">
        <f t="shared" si="0"/>
        <v>2.8399999999999963</v>
      </c>
      <c r="AE52" s="138">
        <f t="shared" si="1"/>
        <v>-4.4711756695415272E-2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46.648000000000003</v>
      </c>
      <c r="Q53" s="2"/>
      <c r="T53" s="93" t="s">
        <v>107</v>
      </c>
      <c r="U53" s="90">
        <v>2203199</v>
      </c>
      <c r="W53" s="133">
        <v>42534</v>
      </c>
      <c r="X53" s="10">
        <v>45.59</v>
      </c>
      <c r="Y53" s="10">
        <v>45.88</v>
      </c>
      <c r="Z53" s="10">
        <v>43.64</v>
      </c>
      <c r="AA53" s="10">
        <v>44.06</v>
      </c>
      <c r="AB53" s="95">
        <v>7127800</v>
      </c>
      <c r="AC53" s="10">
        <v>44.06</v>
      </c>
      <c r="AD53" s="2">
        <f t="shared" si="0"/>
        <v>2.240000000000002</v>
      </c>
      <c r="AE53" s="138">
        <f t="shared" si="1"/>
        <v>-4.3836805555555469E-2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46.171999999999997</v>
      </c>
      <c r="T54" s="93" t="s">
        <v>110</v>
      </c>
      <c r="U54" s="90">
        <v>5235610</v>
      </c>
      <c r="W54" s="133">
        <v>42531</v>
      </c>
      <c r="X54" s="10">
        <v>46.09</v>
      </c>
      <c r="Y54" s="10">
        <v>46.69</v>
      </c>
      <c r="Z54" s="10">
        <v>45.63</v>
      </c>
      <c r="AA54" s="10">
        <v>46.08</v>
      </c>
      <c r="AB54" s="95">
        <v>4206300</v>
      </c>
      <c r="AC54" s="10">
        <v>46.08</v>
      </c>
      <c r="AD54" s="2">
        <f t="shared" si="0"/>
        <v>1.0599999999999952</v>
      </c>
      <c r="AE54" s="138">
        <f t="shared" si="1"/>
        <v>-1.3276231263383398E-2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45.695999999999998</v>
      </c>
      <c r="T55" s="93" t="s">
        <v>108</v>
      </c>
      <c r="U55" s="88" t="s">
        <v>573</v>
      </c>
      <c r="W55" s="133">
        <v>42530</v>
      </c>
      <c r="X55" s="10">
        <v>45.59</v>
      </c>
      <c r="Y55" s="10">
        <v>46.91</v>
      </c>
      <c r="Z55" s="10">
        <v>45.44</v>
      </c>
      <c r="AA55" s="10">
        <v>46.7</v>
      </c>
      <c r="AB55" s="95">
        <v>4648800</v>
      </c>
      <c r="AC55" s="10">
        <v>46.7</v>
      </c>
      <c r="AD55" s="2">
        <f t="shared" si="0"/>
        <v>1.4699999999999989</v>
      </c>
      <c r="AE55" s="138">
        <f t="shared" si="1"/>
        <v>2.2105493543445043E-2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45.22</v>
      </c>
      <c r="T56" s="93" t="s">
        <v>111</v>
      </c>
      <c r="U56" s="88">
        <v>2.6</v>
      </c>
      <c r="W56" s="133">
        <v>42529</v>
      </c>
      <c r="X56" s="10">
        <v>45.94</v>
      </c>
      <c r="Y56" s="10">
        <v>46.53</v>
      </c>
      <c r="Z56" s="10">
        <v>45.29</v>
      </c>
      <c r="AA56" s="10">
        <v>45.69</v>
      </c>
      <c r="AB56" s="95">
        <v>4875300</v>
      </c>
      <c r="AC56" s="10">
        <v>45.69</v>
      </c>
      <c r="AD56" s="2">
        <f t="shared" si="0"/>
        <v>1.240000000000002</v>
      </c>
      <c r="AE56" s="138">
        <f t="shared" si="1"/>
        <v>-2.6195153896529932E-3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44.744</v>
      </c>
      <c r="T57" s="93" t="s">
        <v>112</v>
      </c>
      <c r="U57" s="88">
        <v>18.3</v>
      </c>
      <c r="W57" s="133">
        <v>42528</v>
      </c>
      <c r="X57" s="10">
        <v>44.5</v>
      </c>
      <c r="Y57" s="10">
        <v>46.46</v>
      </c>
      <c r="Z57" s="10">
        <v>44.01</v>
      </c>
      <c r="AA57" s="10">
        <v>45.81</v>
      </c>
      <c r="AB57" s="95">
        <v>5863000</v>
      </c>
      <c r="AC57" s="10">
        <v>45.81</v>
      </c>
      <c r="AD57" s="2">
        <f t="shared" si="0"/>
        <v>2.4500000000000028</v>
      </c>
      <c r="AE57" s="138">
        <f t="shared" si="1"/>
        <v>2.8744666516954842E-2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44.268000000000001</v>
      </c>
      <c r="T58" s="93" t="s">
        <v>109</v>
      </c>
      <c r="U58" s="88" t="s">
        <v>124</v>
      </c>
      <c r="W58" s="133">
        <v>42527</v>
      </c>
      <c r="X58" s="10">
        <v>44.2</v>
      </c>
      <c r="Y58" s="10">
        <v>44.54</v>
      </c>
      <c r="Z58" s="10">
        <v>43.53</v>
      </c>
      <c r="AA58" s="10">
        <v>44.53</v>
      </c>
      <c r="AB58" s="95">
        <v>5251200</v>
      </c>
      <c r="AC58" s="10">
        <v>44.53</v>
      </c>
      <c r="AD58" s="2">
        <f t="shared" si="0"/>
        <v>1.009999999999998</v>
      </c>
      <c r="AE58" s="138">
        <f t="shared" si="1"/>
        <v>5.1918735891649526E-3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43.792000000000002</v>
      </c>
      <c r="W59" s="133">
        <v>42524</v>
      </c>
      <c r="X59" s="10">
        <v>45.01</v>
      </c>
      <c r="Y59" s="10">
        <v>45.16</v>
      </c>
      <c r="Z59" s="10">
        <v>43.6</v>
      </c>
      <c r="AA59" s="10">
        <v>44.3</v>
      </c>
      <c r="AB59" s="95">
        <v>5639400</v>
      </c>
      <c r="AC59" s="10">
        <v>44.3</v>
      </c>
      <c r="AD59" s="2">
        <f t="shared" si="0"/>
        <v>1.5599999999999952</v>
      </c>
      <c r="AE59" s="138">
        <f t="shared" si="1"/>
        <v>-1.9260571175559127E-2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43.316000000000003</v>
      </c>
      <c r="W60" s="133">
        <v>42523</v>
      </c>
      <c r="X60" s="10">
        <v>44.92</v>
      </c>
      <c r="Y60" s="10">
        <v>45.59</v>
      </c>
      <c r="Z60" s="10">
        <v>44.86</v>
      </c>
      <c r="AA60" s="10">
        <v>45.17</v>
      </c>
      <c r="AB60" s="95">
        <v>3355300</v>
      </c>
      <c r="AC60" s="10">
        <v>45.17</v>
      </c>
      <c r="AD60" s="2">
        <f t="shared" si="0"/>
        <v>0.73000000000000398</v>
      </c>
      <c r="AE60" s="138">
        <f t="shared" si="1"/>
        <v>-1.7679558011048924E-3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42.84</v>
      </c>
      <c r="W61" s="133">
        <v>42522</v>
      </c>
      <c r="X61" s="10">
        <v>45.09</v>
      </c>
      <c r="Y61" s="10">
        <v>45.46</v>
      </c>
      <c r="Z61" s="10">
        <v>44.7</v>
      </c>
      <c r="AA61" s="10">
        <v>45.25</v>
      </c>
      <c r="AB61" s="95">
        <v>3982300</v>
      </c>
      <c r="AC61" s="10">
        <v>45.25</v>
      </c>
      <c r="AD61" s="2">
        <f t="shared" si="0"/>
        <v>0.75999999999999801</v>
      </c>
      <c r="AE61" s="138">
        <f t="shared" si="1"/>
        <v>3.5484586382790173E-3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42521</v>
      </c>
      <c r="X62" s="10">
        <v>45.13</v>
      </c>
      <c r="Y62" s="10">
        <v>45.3</v>
      </c>
      <c r="Z62" s="10">
        <v>44.3</v>
      </c>
      <c r="AA62" s="10">
        <v>45.09</v>
      </c>
      <c r="AB62" s="95">
        <v>6080900</v>
      </c>
      <c r="AC62" s="10">
        <v>45.09</v>
      </c>
      <c r="AD62" s="2">
        <f t="shared" si="0"/>
        <v>1</v>
      </c>
      <c r="AE62" s="138">
        <f t="shared" si="1"/>
        <v>-1.9920318725098474E-3</v>
      </c>
    </row>
    <row r="63" spans="2:31" x14ac:dyDescent="0.25">
      <c r="W63" s="133">
        <v>42517</v>
      </c>
      <c r="X63" s="10">
        <v>44.56</v>
      </c>
      <c r="Y63" s="10">
        <v>45.46</v>
      </c>
      <c r="Z63" s="10">
        <v>44.53</v>
      </c>
      <c r="AA63" s="10">
        <v>45.18</v>
      </c>
      <c r="AB63" s="95">
        <v>3619400</v>
      </c>
      <c r="AC63" s="10">
        <v>45.18</v>
      </c>
      <c r="AD63" s="2">
        <f t="shared" si="0"/>
        <v>0.92999999999999972</v>
      </c>
      <c r="AE63" s="138">
        <f t="shared" si="1"/>
        <v>1.5280898876404381E-2</v>
      </c>
    </row>
    <row r="64" spans="2:31" x14ac:dyDescent="0.25">
      <c r="W64" s="133">
        <v>42516</v>
      </c>
      <c r="X64" s="10">
        <v>45.2</v>
      </c>
      <c r="Y64" s="10">
        <v>45.33</v>
      </c>
      <c r="Z64" s="10">
        <v>44.14</v>
      </c>
      <c r="AA64" s="10">
        <v>44.5</v>
      </c>
      <c r="AB64" s="95">
        <v>4891000</v>
      </c>
      <c r="AC64" s="10">
        <v>44.5</v>
      </c>
      <c r="AD64" s="2">
        <f t="shared" si="0"/>
        <v>1.1899999999999977</v>
      </c>
      <c r="AE64" s="138">
        <f t="shared" si="1"/>
        <v>-1.3959672058497685E-2</v>
      </c>
    </row>
    <row r="65" spans="1:31" x14ac:dyDescent="0.25">
      <c r="W65" s="133">
        <v>42515</v>
      </c>
      <c r="X65" s="10">
        <v>45.12</v>
      </c>
      <c r="Y65" s="10">
        <v>45.94</v>
      </c>
      <c r="Z65" s="10">
        <v>45.07</v>
      </c>
      <c r="AA65" s="10">
        <v>45.13</v>
      </c>
      <c r="AB65" s="95">
        <v>3650300</v>
      </c>
      <c r="AC65" s="10">
        <v>45.13</v>
      </c>
      <c r="AD65" s="2">
        <f t="shared" si="0"/>
        <v>0.86999999999999744</v>
      </c>
      <c r="AE65" s="138">
        <f t="shared" si="1"/>
        <v>3.1118026228049711E-3</v>
      </c>
    </row>
    <row r="66" spans="1:31" x14ac:dyDescent="0.25">
      <c r="W66" s="133">
        <v>42514</v>
      </c>
      <c r="X66" s="10">
        <v>44.46</v>
      </c>
      <c r="Y66" s="10">
        <v>45.08</v>
      </c>
      <c r="Z66" s="10">
        <v>44.39</v>
      </c>
      <c r="AA66" s="10">
        <v>44.99</v>
      </c>
      <c r="AB66" s="95">
        <v>3703300</v>
      </c>
      <c r="AC66" s="10">
        <v>44.99</v>
      </c>
      <c r="AD66" s="2">
        <f t="shared" si="0"/>
        <v>0.68999999999999773</v>
      </c>
      <c r="AE66" s="138">
        <f t="shared" si="1"/>
        <v>1.7873303167420751E-2</v>
      </c>
    </row>
    <row r="67" spans="1:31" x14ac:dyDescent="0.25">
      <c r="W67" s="133">
        <v>42513</v>
      </c>
      <c r="X67" s="10">
        <v>44.54</v>
      </c>
      <c r="Y67" s="10">
        <v>45</v>
      </c>
      <c r="Z67" s="10">
        <v>44.15</v>
      </c>
      <c r="AA67" s="10">
        <v>44.2</v>
      </c>
      <c r="AB67" s="95">
        <v>3745500</v>
      </c>
      <c r="AC67" s="10">
        <v>44.2</v>
      </c>
      <c r="AD67" s="2">
        <f>Y67-Z67</f>
        <v>0.85000000000000142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1" t="s">
        <v>1</v>
      </c>
      <c r="B76" s="391" t="s">
        <v>2</v>
      </c>
      <c r="C76" s="391" t="s">
        <v>4</v>
      </c>
      <c r="D76" s="393" t="s">
        <v>5</v>
      </c>
      <c r="E76" s="393" t="s">
        <v>94</v>
      </c>
      <c r="F76" s="393" t="s">
        <v>60</v>
      </c>
      <c r="G76" s="391" t="s">
        <v>3</v>
      </c>
      <c r="H76" s="391" t="s">
        <v>6</v>
      </c>
      <c r="I76" s="393" t="s">
        <v>7</v>
      </c>
      <c r="J76" s="393" t="s">
        <v>95</v>
      </c>
      <c r="K76" s="393" t="s">
        <v>61</v>
      </c>
      <c r="L76" s="391" t="s">
        <v>37</v>
      </c>
      <c r="M76" s="391" t="s">
        <v>38</v>
      </c>
    </row>
    <row r="77" spans="1:31" x14ac:dyDescent="0.25">
      <c r="A77" s="394" t="s">
        <v>13</v>
      </c>
      <c r="B77" s="384">
        <v>42485</v>
      </c>
      <c r="C77" s="385">
        <v>80</v>
      </c>
      <c r="D77" s="386">
        <v>49.5</v>
      </c>
      <c r="E77" s="386">
        <v>0</v>
      </c>
      <c r="F77" s="386">
        <f t="shared" ref="F77:F85" si="49">D77*C77+E77</f>
        <v>3960</v>
      </c>
      <c r="G77" s="385"/>
      <c r="H77" s="385"/>
      <c r="I77" s="386"/>
      <c r="J77" s="386"/>
      <c r="K77" s="386"/>
      <c r="L77" s="384"/>
      <c r="M77" s="385"/>
    </row>
    <row r="78" spans="1:31" x14ac:dyDescent="0.25">
      <c r="A78" s="395" t="s">
        <v>71</v>
      </c>
      <c r="B78" s="384">
        <v>42489</v>
      </c>
      <c r="C78" s="385">
        <v>20</v>
      </c>
      <c r="D78" s="386">
        <v>46.95</v>
      </c>
      <c r="E78" s="386">
        <v>0</v>
      </c>
      <c r="F78" s="386">
        <f t="shared" si="49"/>
        <v>939</v>
      </c>
      <c r="G78" s="385"/>
      <c r="H78" s="386"/>
      <c r="I78" s="386"/>
      <c r="J78" s="386"/>
      <c r="K78" s="386"/>
      <c r="L78" s="385"/>
      <c r="M78" s="385"/>
    </row>
    <row r="79" spans="1:31" x14ac:dyDescent="0.25">
      <c r="A79" s="385"/>
      <c r="B79" s="384">
        <v>42489</v>
      </c>
      <c r="C79" s="385">
        <v>50</v>
      </c>
      <c r="D79" s="386">
        <v>45.91</v>
      </c>
      <c r="E79" s="386">
        <v>0</v>
      </c>
      <c r="F79" s="386">
        <f t="shared" si="49"/>
        <v>2295.5</v>
      </c>
      <c r="G79" s="385"/>
      <c r="H79" s="385"/>
      <c r="I79" s="386"/>
      <c r="J79" s="386"/>
      <c r="K79" s="386"/>
      <c r="L79" s="385"/>
      <c r="M79" s="385"/>
    </row>
    <row r="80" spans="1:31" x14ac:dyDescent="0.25">
      <c r="A80" s="385"/>
      <c r="B80" s="384">
        <v>42495</v>
      </c>
      <c r="C80" s="385">
        <v>25</v>
      </c>
      <c r="D80" s="386">
        <v>45</v>
      </c>
      <c r="E80" s="386">
        <v>0</v>
      </c>
      <c r="F80" s="386">
        <f t="shared" si="49"/>
        <v>1125</v>
      </c>
      <c r="G80" s="384">
        <v>42557</v>
      </c>
      <c r="H80" s="385">
        <v>150</v>
      </c>
      <c r="I80" s="386">
        <v>39.28</v>
      </c>
      <c r="J80" s="386">
        <v>0.13</v>
      </c>
      <c r="K80" s="386">
        <f t="shared" ref="K80:K85" si="50">I80*H80-J80</f>
        <v>5891.87</v>
      </c>
      <c r="L80" s="385"/>
      <c r="M80" s="385"/>
    </row>
    <row r="81" spans="1:13" x14ac:dyDescent="0.25">
      <c r="A81" s="385"/>
      <c r="B81" s="384">
        <v>42502</v>
      </c>
      <c r="C81" s="385">
        <v>25</v>
      </c>
      <c r="D81" s="386">
        <v>44.09</v>
      </c>
      <c r="E81" s="386">
        <v>0</v>
      </c>
      <c r="F81" s="386">
        <f t="shared" si="49"/>
        <v>1102.25</v>
      </c>
      <c r="G81" s="384">
        <v>42562</v>
      </c>
      <c r="H81" s="385">
        <v>50</v>
      </c>
      <c r="I81" s="386">
        <v>42.68</v>
      </c>
      <c r="J81" s="386">
        <v>0.05</v>
      </c>
      <c r="K81" s="386">
        <f t="shared" si="50"/>
        <v>2133.9499999999998</v>
      </c>
      <c r="L81" s="385"/>
      <c r="M81" s="385"/>
    </row>
    <row r="82" spans="1:13" x14ac:dyDescent="0.25">
      <c r="A82" s="385"/>
      <c r="B82" s="384">
        <v>42535</v>
      </c>
      <c r="C82" s="385">
        <v>40</v>
      </c>
      <c r="D82" s="386">
        <v>43.19</v>
      </c>
      <c r="E82" s="386">
        <v>0</v>
      </c>
      <c r="F82" s="386">
        <f t="shared" si="49"/>
        <v>1727.6</v>
      </c>
      <c r="G82" s="384">
        <v>42566</v>
      </c>
      <c r="H82" s="385">
        <v>40</v>
      </c>
      <c r="I82" s="386">
        <v>47.51</v>
      </c>
      <c r="J82" s="386">
        <v>0.04</v>
      </c>
      <c r="K82" s="386">
        <f t="shared" si="50"/>
        <v>1900.36</v>
      </c>
      <c r="L82" s="385"/>
      <c r="M82" s="385"/>
    </row>
    <row r="83" spans="1:13" x14ac:dyDescent="0.25">
      <c r="A83" s="385"/>
      <c r="B83" s="384">
        <v>42545</v>
      </c>
      <c r="C83" s="385">
        <v>100</v>
      </c>
      <c r="D83" s="386">
        <v>42.28</v>
      </c>
      <c r="E83" s="386">
        <v>0</v>
      </c>
      <c r="F83" s="386">
        <f t="shared" si="49"/>
        <v>4228</v>
      </c>
      <c r="G83" s="384">
        <v>42587</v>
      </c>
      <c r="H83" s="385">
        <v>210</v>
      </c>
      <c r="I83" s="386">
        <v>47.58</v>
      </c>
      <c r="J83" s="386">
        <v>0.22</v>
      </c>
      <c r="K83" s="386">
        <f t="shared" si="50"/>
        <v>9991.58</v>
      </c>
      <c r="L83" s="385"/>
      <c r="M83" s="385"/>
    </row>
    <row r="84" spans="1:13" x14ac:dyDescent="0.25">
      <c r="A84" s="385"/>
      <c r="B84" s="384">
        <v>42545</v>
      </c>
      <c r="C84" s="385">
        <v>110</v>
      </c>
      <c r="D84" s="386">
        <v>41.12</v>
      </c>
      <c r="E84" s="386">
        <v>0</v>
      </c>
      <c r="F84" s="386">
        <f t="shared" si="49"/>
        <v>4523.2</v>
      </c>
      <c r="G84" s="384">
        <v>42593</v>
      </c>
      <c r="H84" s="385">
        <v>50</v>
      </c>
      <c r="I84" s="386">
        <v>47.35</v>
      </c>
      <c r="J84" s="386">
        <v>0.05</v>
      </c>
      <c r="K84" s="386">
        <f t="shared" si="50"/>
        <v>2367.4499999999998</v>
      </c>
      <c r="L84" s="385"/>
      <c r="M84" s="385"/>
    </row>
    <row r="85" spans="1:13" x14ac:dyDescent="0.25">
      <c r="A85" s="385"/>
      <c r="B85" s="384">
        <v>42557</v>
      </c>
      <c r="C85" s="385">
        <v>150</v>
      </c>
      <c r="D85" s="386">
        <v>38.08</v>
      </c>
      <c r="E85" s="386">
        <v>0</v>
      </c>
      <c r="F85" s="386">
        <f t="shared" si="49"/>
        <v>5712</v>
      </c>
      <c r="G85" s="384">
        <v>42597</v>
      </c>
      <c r="H85" s="385">
        <v>100</v>
      </c>
      <c r="I85" s="386">
        <v>47.89</v>
      </c>
      <c r="J85" s="386">
        <v>0.1</v>
      </c>
      <c r="K85" s="386">
        <f t="shared" si="50"/>
        <v>4788.8999999999996</v>
      </c>
      <c r="L85" s="385"/>
      <c r="M85" s="385"/>
    </row>
    <row r="86" spans="1:13" x14ac:dyDescent="0.25">
      <c r="A86" s="385"/>
      <c r="B86" s="384"/>
      <c r="C86" s="385"/>
      <c r="D86" s="386"/>
      <c r="E86" s="386"/>
      <c r="F86" s="386"/>
      <c r="G86" s="385"/>
      <c r="H86" s="385"/>
      <c r="I86" s="386"/>
      <c r="J86" s="386"/>
      <c r="K86" s="386"/>
      <c r="L86" s="385"/>
      <c r="M86" s="385"/>
    </row>
    <row r="87" spans="1:13" x14ac:dyDescent="0.25">
      <c r="A87" s="385"/>
      <c r="B87" s="385"/>
      <c r="C87" s="385"/>
      <c r="D87" s="386"/>
      <c r="E87" s="386"/>
      <c r="F87" s="386"/>
      <c r="G87" s="385"/>
      <c r="H87" s="385"/>
      <c r="I87" s="386"/>
      <c r="J87" s="386"/>
      <c r="K87" s="386"/>
      <c r="L87" s="385"/>
      <c r="M87" s="385"/>
    </row>
    <row r="88" spans="1:13" x14ac:dyDescent="0.25">
      <c r="A88" s="385"/>
      <c r="B88" s="385"/>
      <c r="C88" s="385"/>
      <c r="D88" s="386"/>
      <c r="E88" s="386"/>
      <c r="F88" s="386"/>
      <c r="G88" s="385"/>
      <c r="H88" s="385"/>
      <c r="I88" s="386"/>
      <c r="J88" s="386"/>
      <c r="K88" s="386"/>
      <c r="L88" s="385"/>
      <c r="M88" s="385"/>
    </row>
    <row r="89" spans="1:13" x14ac:dyDescent="0.25">
      <c r="A89" s="385"/>
      <c r="B89" s="385"/>
      <c r="C89" s="385"/>
      <c r="D89" s="386"/>
      <c r="E89" s="386"/>
      <c r="F89" s="386"/>
      <c r="G89" s="385"/>
      <c r="H89" s="385"/>
      <c r="I89" s="386"/>
      <c r="J89" s="386"/>
      <c r="K89" s="386"/>
      <c r="L89" s="385"/>
      <c r="M89" s="385"/>
    </row>
    <row r="90" spans="1:13" x14ac:dyDescent="0.25">
      <c r="A90" s="385"/>
      <c r="B90" s="385"/>
      <c r="C90" s="385"/>
      <c r="D90" s="386"/>
      <c r="E90" s="386"/>
      <c r="F90" s="386"/>
      <c r="G90" s="385"/>
      <c r="H90" s="385"/>
      <c r="I90" s="386"/>
      <c r="J90" s="386"/>
      <c r="K90" s="386"/>
      <c r="L90" s="385"/>
      <c r="M90" s="385"/>
    </row>
    <row r="91" spans="1:13" x14ac:dyDescent="0.25">
      <c r="A91" s="385"/>
      <c r="B91" s="385"/>
      <c r="C91" s="385"/>
      <c r="D91" s="386"/>
      <c r="E91" s="386"/>
      <c r="F91" s="386"/>
      <c r="G91" s="385"/>
      <c r="H91" s="385"/>
      <c r="I91" s="386"/>
      <c r="J91" s="386"/>
      <c r="K91" s="386"/>
      <c r="L91" s="385"/>
      <c r="M91" s="385"/>
    </row>
    <row r="92" spans="1:13" x14ac:dyDescent="0.25">
      <c r="A92" s="385"/>
      <c r="B92" s="385"/>
      <c r="C92" s="385"/>
      <c r="D92" s="386"/>
      <c r="E92" s="386"/>
      <c r="F92" s="386"/>
      <c r="G92" s="385"/>
      <c r="H92" s="385"/>
      <c r="I92" s="386"/>
      <c r="J92" s="386"/>
      <c r="K92" s="386"/>
      <c r="L92" s="385"/>
      <c r="M92" s="385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8" t="s">
        <v>204</v>
      </c>
      <c r="B94" s="499"/>
      <c r="C94" s="500">
        <f>SumByColor($A$19,C77:C92)</f>
        <v>0</v>
      </c>
      <c r="D94" s="500"/>
      <c r="E94" s="500"/>
      <c r="F94" s="501">
        <f>SumByColor($A$19,F77:F92)</f>
        <v>0</v>
      </c>
      <c r="G94" s="500"/>
      <c r="H94" s="500">
        <f>SumByColor($A$19,H78:H92)</f>
        <v>0</v>
      </c>
      <c r="I94" s="500"/>
      <c r="J94" s="500"/>
      <c r="K94" s="501">
        <f>SumByColor($A$19,K78:K92)</f>
        <v>0</v>
      </c>
      <c r="L94" s="500"/>
      <c r="M94" s="50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 t="s">
        <v>374</v>
      </c>
      <c r="M2" s="3"/>
      <c r="O2" s="11" t="s">
        <v>57</v>
      </c>
      <c r="Q2">
        <f>C18-H18</f>
        <v>0</v>
      </c>
      <c r="T2" s="1" t="s">
        <v>210</v>
      </c>
      <c r="W2" s="133">
        <v>42606</v>
      </c>
      <c r="X2" s="10">
        <v>81.849999999999994</v>
      </c>
      <c r="Y2" s="10">
        <v>82.01</v>
      </c>
      <c r="Z2" s="10">
        <v>80.87</v>
      </c>
      <c r="AA2" s="10">
        <v>81.08</v>
      </c>
      <c r="AB2" s="95">
        <v>1213000</v>
      </c>
      <c r="AC2" s="10">
        <v>81.08</v>
      </c>
      <c r="AD2" s="2">
        <f>Y2-Z2</f>
        <v>1.1400000000000006</v>
      </c>
      <c r="AE2" s="138">
        <f>AC2/AC3-1</f>
        <v>-1.1460619361131408E-2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81.08</v>
      </c>
      <c r="T3" s="1" t="s">
        <v>212</v>
      </c>
      <c r="W3" s="133">
        <v>42605</v>
      </c>
      <c r="X3" s="10">
        <v>82.39</v>
      </c>
      <c r="Y3" s="10">
        <v>82.56</v>
      </c>
      <c r="Z3" s="10">
        <v>82</v>
      </c>
      <c r="AA3" s="10">
        <v>82.02</v>
      </c>
      <c r="AB3" s="95">
        <v>899300</v>
      </c>
      <c r="AC3" s="10">
        <v>82.02</v>
      </c>
      <c r="AD3" s="2">
        <f t="shared" ref="AD3:AD66" si="0">Y3-Z3</f>
        <v>0.56000000000000227</v>
      </c>
      <c r="AE3" s="138">
        <f t="shared" ref="AE3:AE66" si="1">AC3/AC4-1</f>
        <v>-1.5824710894706273E-3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81.08</v>
      </c>
      <c r="T4" s="163"/>
      <c r="U4" s="1"/>
      <c r="W4" s="133">
        <v>42604</v>
      </c>
      <c r="X4" s="10">
        <v>81.73</v>
      </c>
      <c r="Y4" s="10">
        <v>82.26</v>
      </c>
      <c r="Z4" s="10">
        <v>81.56</v>
      </c>
      <c r="AA4" s="10">
        <v>82.15</v>
      </c>
      <c r="AB4" s="95">
        <v>1349900</v>
      </c>
      <c r="AC4" s="10">
        <v>82.15</v>
      </c>
      <c r="AD4" s="2">
        <f t="shared" si="0"/>
        <v>0.70000000000000284</v>
      </c>
      <c r="AE4" s="138">
        <f t="shared" si="1"/>
        <v>5.2618697993147556E-3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42601</v>
      </c>
      <c r="X5" s="10">
        <v>82.12</v>
      </c>
      <c r="Y5" s="10">
        <v>82.36</v>
      </c>
      <c r="Z5" s="10">
        <v>81.56</v>
      </c>
      <c r="AA5" s="10">
        <v>81.72</v>
      </c>
      <c r="AB5" s="95">
        <v>2054800</v>
      </c>
      <c r="AC5" s="10">
        <v>81.72</v>
      </c>
      <c r="AD5" s="2">
        <f t="shared" si="0"/>
        <v>0.79999999999999716</v>
      </c>
      <c r="AE5" s="138">
        <f t="shared" si="1"/>
        <v>-8.4930842028634324E-3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42600</v>
      </c>
      <c r="X6" s="10">
        <v>82.61</v>
      </c>
      <c r="Y6" s="10">
        <v>82.93</v>
      </c>
      <c r="Z6" s="10">
        <v>82.34</v>
      </c>
      <c r="AA6" s="10">
        <v>82.42</v>
      </c>
      <c r="AB6" s="95">
        <v>1541100</v>
      </c>
      <c r="AC6" s="10">
        <v>82.42</v>
      </c>
      <c r="AD6" s="2">
        <f t="shared" si="0"/>
        <v>0.59000000000000341</v>
      </c>
      <c r="AE6" s="138">
        <f t="shared" si="1"/>
        <v>-4.3488765402270868E-3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490.94999999999891</v>
      </c>
      <c r="R7">
        <v>0</v>
      </c>
      <c r="W7" s="133">
        <v>42599</v>
      </c>
      <c r="X7" s="10">
        <v>82.88</v>
      </c>
      <c r="Y7" s="10">
        <v>82.99</v>
      </c>
      <c r="Z7" s="10">
        <v>82.12</v>
      </c>
      <c r="AA7" s="10">
        <v>82.78</v>
      </c>
      <c r="AB7" s="95">
        <v>1491900</v>
      </c>
      <c r="AC7" s="10">
        <v>82.78</v>
      </c>
      <c r="AD7" s="2">
        <f t="shared" si="0"/>
        <v>0.86999999999999034</v>
      </c>
      <c r="AE7" s="138">
        <f t="shared" si="1"/>
        <v>1.2094823415578215E-3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83</v>
      </c>
      <c r="Y8" s="10">
        <v>83.18</v>
      </c>
      <c r="Z8" s="10">
        <v>82.65</v>
      </c>
      <c r="AA8" s="10">
        <v>82.68</v>
      </c>
      <c r="AB8" s="95">
        <v>1059700</v>
      </c>
      <c r="AC8" s="10">
        <v>82.68</v>
      </c>
      <c r="AD8" s="2">
        <f t="shared" si="0"/>
        <v>0.53000000000000114</v>
      </c>
      <c r="AE8" s="138">
        <f t="shared" si="1"/>
        <v>-6.1305445366028888E-3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83.25</v>
      </c>
      <c r="Y9" s="10">
        <v>83.49</v>
      </c>
      <c r="Z9" s="10">
        <v>83.05</v>
      </c>
      <c r="AA9" s="10">
        <v>83.19</v>
      </c>
      <c r="AB9" s="95">
        <v>1392900</v>
      </c>
      <c r="AC9" s="10">
        <v>83.19</v>
      </c>
      <c r="AD9" s="2">
        <f t="shared" si="0"/>
        <v>0.43999999999999773</v>
      </c>
      <c r="AE9" s="138">
        <f t="shared" si="1"/>
        <v>-4.9043062200956333E-3</v>
      </c>
    </row>
    <row r="10" spans="1:31" x14ac:dyDescent="0.25">
      <c r="H10" s="72"/>
      <c r="O10" s="11" t="s">
        <v>224</v>
      </c>
      <c r="P10" s="34"/>
      <c r="Q10" s="2">
        <f>M63</f>
        <v>490.94999999999891</v>
      </c>
      <c r="W10" s="133">
        <v>42594</v>
      </c>
      <c r="X10" s="10">
        <v>83.55</v>
      </c>
      <c r="Y10" s="10">
        <v>83.66</v>
      </c>
      <c r="Z10" s="10">
        <v>83.12</v>
      </c>
      <c r="AA10" s="10">
        <v>83.6</v>
      </c>
      <c r="AB10" s="95">
        <v>1025600</v>
      </c>
      <c r="AC10" s="10">
        <v>83.6</v>
      </c>
      <c r="AD10" s="2">
        <f t="shared" si="0"/>
        <v>0.53999999999999204</v>
      </c>
      <c r="AE10" s="138">
        <f t="shared" si="1"/>
        <v>-1.196029183112568E-4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2.1999999999999999E-2</v>
      </c>
      <c r="W11" s="133">
        <v>42593</v>
      </c>
      <c r="X11" s="10">
        <v>83.69</v>
      </c>
      <c r="Y11" s="10">
        <v>83.73</v>
      </c>
      <c r="Z11" s="10">
        <v>82.65</v>
      </c>
      <c r="AA11" s="10">
        <v>83.61</v>
      </c>
      <c r="AB11" s="95">
        <v>1176000</v>
      </c>
      <c r="AC11" s="10">
        <v>83.61</v>
      </c>
      <c r="AD11" s="2">
        <f t="shared" si="0"/>
        <v>1.0799999999999983</v>
      </c>
      <c r="AE11" s="138">
        <f t="shared" si="1"/>
        <v>7.1813285457822396E-4</v>
      </c>
    </row>
    <row r="12" spans="1:31" x14ac:dyDescent="0.25">
      <c r="H12" s="72"/>
      <c r="W12" s="133">
        <v>42592</v>
      </c>
      <c r="X12" s="10">
        <v>83.8</v>
      </c>
      <c r="Y12" s="10">
        <v>83.98</v>
      </c>
      <c r="Z12" s="10">
        <v>83.24</v>
      </c>
      <c r="AA12" s="10">
        <v>83.55</v>
      </c>
      <c r="AB12" s="95">
        <v>2212300</v>
      </c>
      <c r="AC12" s="10">
        <v>83.55</v>
      </c>
      <c r="AD12" s="2">
        <f t="shared" si="0"/>
        <v>0.74000000000000909</v>
      </c>
      <c r="AE12" s="138">
        <f t="shared" si="1"/>
        <v>-2.983293556085953E-3</v>
      </c>
    </row>
    <row r="13" spans="1:31" x14ac:dyDescent="0.25">
      <c r="H13" s="72"/>
      <c r="W13" s="133">
        <v>42591</v>
      </c>
      <c r="X13" s="10">
        <v>83.91</v>
      </c>
      <c r="Y13" s="10">
        <v>84.05</v>
      </c>
      <c r="Z13" s="10">
        <v>83.56</v>
      </c>
      <c r="AA13" s="10">
        <v>83.8</v>
      </c>
      <c r="AB13" s="95">
        <v>1354700</v>
      </c>
      <c r="AC13" s="10">
        <v>83.8</v>
      </c>
      <c r="AD13" s="2">
        <f t="shared" si="0"/>
        <v>0.48999999999999488</v>
      </c>
      <c r="AE13" s="138">
        <f t="shared" si="1"/>
        <v>2.387204583431668E-4</v>
      </c>
    </row>
    <row r="14" spans="1:31" x14ac:dyDescent="0.25">
      <c r="H14" s="72"/>
      <c r="W14" s="133">
        <v>42590</v>
      </c>
      <c r="X14" s="10">
        <v>84.64</v>
      </c>
      <c r="Y14" s="10">
        <v>84.7</v>
      </c>
      <c r="Z14" s="10">
        <v>83.61</v>
      </c>
      <c r="AA14" s="10">
        <v>83.78</v>
      </c>
      <c r="AB14" s="95">
        <v>1214600</v>
      </c>
      <c r="AC14" s="10">
        <v>83.78</v>
      </c>
      <c r="AD14" s="2">
        <f t="shared" si="0"/>
        <v>1.0900000000000034</v>
      </c>
      <c r="AE14" s="138">
        <f t="shared" si="1"/>
        <v>-6.8752963489805419E-3</v>
      </c>
    </row>
    <row r="15" spans="1:31" x14ac:dyDescent="0.25">
      <c r="H15" s="72"/>
      <c r="W15" s="133">
        <v>42587</v>
      </c>
      <c r="X15" s="10">
        <v>84</v>
      </c>
      <c r="Y15" s="10">
        <v>84.74</v>
      </c>
      <c r="Z15" s="10">
        <v>83.69</v>
      </c>
      <c r="AA15" s="10">
        <v>84.36</v>
      </c>
      <c r="AB15" s="95">
        <v>1492800</v>
      </c>
      <c r="AC15" s="10">
        <v>84.36</v>
      </c>
      <c r="AD15" s="2">
        <f t="shared" si="0"/>
        <v>1.0499999999999972</v>
      </c>
      <c r="AE15" s="138">
        <f t="shared" si="1"/>
        <v>9.3323761665471405E-3</v>
      </c>
    </row>
    <row r="16" spans="1:31" x14ac:dyDescent="0.25">
      <c r="H16" s="72"/>
      <c r="W16" s="133">
        <v>42586</v>
      </c>
      <c r="X16" s="10">
        <v>84.52</v>
      </c>
      <c r="Y16" s="10">
        <v>84.8</v>
      </c>
      <c r="Z16" s="10">
        <v>83.51</v>
      </c>
      <c r="AA16" s="10">
        <v>83.58</v>
      </c>
      <c r="AB16" s="95">
        <v>1793500</v>
      </c>
      <c r="AC16" s="10">
        <v>83.58</v>
      </c>
      <c r="AD16" s="2">
        <f t="shared" si="0"/>
        <v>1.289999999999992</v>
      </c>
      <c r="AE16" s="138">
        <f t="shared" si="1"/>
        <v>-1.2523629489603061E-2</v>
      </c>
    </row>
    <row r="17" spans="1:31" x14ac:dyDescent="0.25">
      <c r="H17" s="72"/>
      <c r="W17" s="133">
        <v>42585</v>
      </c>
      <c r="X17" s="10">
        <v>84.74</v>
      </c>
      <c r="Y17" s="10">
        <v>84.9</v>
      </c>
      <c r="Z17" s="10">
        <v>83.24</v>
      </c>
      <c r="AA17" s="10">
        <v>84.64</v>
      </c>
      <c r="AB17" s="95">
        <v>2616500</v>
      </c>
      <c r="AC17" s="10">
        <v>84.64</v>
      </c>
      <c r="AD17" s="2">
        <f t="shared" si="0"/>
        <v>1.6600000000000108</v>
      </c>
      <c r="AE17" s="138">
        <f t="shared" si="1"/>
        <v>-3.2972209138012465E-3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42584</v>
      </c>
      <c r="X18" s="10">
        <v>83.04</v>
      </c>
      <c r="Y18" s="10">
        <v>85.52</v>
      </c>
      <c r="Z18" s="10">
        <v>82.01</v>
      </c>
      <c r="AA18" s="10">
        <v>84.92</v>
      </c>
      <c r="AB18" s="95">
        <v>4813800</v>
      </c>
      <c r="AC18" s="10">
        <v>84.92</v>
      </c>
      <c r="AD18" s="2">
        <f t="shared" si="0"/>
        <v>3.5099999999999909</v>
      </c>
      <c r="AE18" s="138">
        <f t="shared" si="1"/>
        <v>3.0457468753792183E-2</v>
      </c>
    </row>
    <row r="19" spans="1:31" ht="15.75" thickBot="1" x14ac:dyDescent="0.3">
      <c r="A19" s="360" t="s">
        <v>204</v>
      </c>
      <c r="B19" s="361"/>
      <c r="C19" s="362">
        <f>SumByColor($A$19,C2:C17)</f>
        <v>0</v>
      </c>
      <c r="D19" s="362"/>
      <c r="E19" s="362"/>
      <c r="F19" s="363">
        <f>SumByColor($A$19,F2:F17)</f>
        <v>0</v>
      </c>
      <c r="G19" s="362"/>
      <c r="H19" s="362">
        <f>SumByColor($A$19,H2:H17)</f>
        <v>0</v>
      </c>
      <c r="I19" s="362"/>
      <c r="J19" s="362"/>
      <c r="K19" s="363">
        <f>SumByColor($A$19,K2:K17)</f>
        <v>0</v>
      </c>
      <c r="L19" s="362"/>
      <c r="M19" s="363">
        <f t="shared" ref="M19" si="2">SumByColor($A$19,M2:M17)</f>
        <v>0</v>
      </c>
      <c r="W19" s="133">
        <v>42583</v>
      </c>
      <c r="X19" s="10">
        <v>83.21</v>
      </c>
      <c r="Y19" s="10">
        <v>83.89</v>
      </c>
      <c r="Z19" s="10">
        <v>82.1</v>
      </c>
      <c r="AA19" s="10">
        <v>82.41</v>
      </c>
      <c r="AB19" s="95">
        <v>4588000</v>
      </c>
      <c r="AC19" s="10">
        <v>82.41</v>
      </c>
      <c r="AD19" s="2">
        <f t="shared" si="0"/>
        <v>1.7900000000000063</v>
      </c>
      <c r="AE19" s="138">
        <f t="shared" si="1"/>
        <v>-1.4234449760765489E-2</v>
      </c>
    </row>
    <row r="20" spans="1:31" x14ac:dyDescent="0.25">
      <c r="W20" s="133">
        <v>42580</v>
      </c>
      <c r="X20" s="10">
        <v>82.6</v>
      </c>
      <c r="Y20" s="10">
        <v>83.74</v>
      </c>
      <c r="Z20" s="10">
        <v>82.45</v>
      </c>
      <c r="AA20" s="10">
        <v>83.6</v>
      </c>
      <c r="AB20" s="95">
        <v>2727100</v>
      </c>
      <c r="AC20" s="10">
        <v>83.6</v>
      </c>
      <c r="AD20" s="2">
        <f t="shared" si="0"/>
        <v>1.289999999999992</v>
      </c>
      <c r="AE20" s="138">
        <f t="shared" si="1"/>
        <v>1.2596899224806002E-2</v>
      </c>
    </row>
    <row r="21" spans="1:31" x14ac:dyDescent="0.25">
      <c r="W21" s="133">
        <v>42579</v>
      </c>
      <c r="X21" s="10">
        <v>83.12</v>
      </c>
      <c r="Y21" s="10">
        <v>83.23</v>
      </c>
      <c r="Z21" s="10">
        <v>82.18</v>
      </c>
      <c r="AA21" s="10">
        <v>82.56</v>
      </c>
      <c r="AB21" s="95">
        <v>3311700</v>
      </c>
      <c r="AC21" s="10">
        <v>82.56</v>
      </c>
      <c r="AD21" s="2">
        <f t="shared" si="0"/>
        <v>1.0499999999999972</v>
      </c>
      <c r="AE21" s="138">
        <f t="shared" si="1"/>
        <v>-9.3592512598992261E-3</v>
      </c>
    </row>
    <row r="22" spans="1:31" x14ac:dyDescent="0.25">
      <c r="W22" s="133">
        <v>42578</v>
      </c>
      <c r="X22" s="10">
        <v>83.5</v>
      </c>
      <c r="Y22" s="10">
        <v>83.64</v>
      </c>
      <c r="Z22" s="10">
        <v>82.88</v>
      </c>
      <c r="AA22" s="10">
        <v>83.34</v>
      </c>
      <c r="AB22" s="95">
        <v>1688700</v>
      </c>
      <c r="AC22" s="10">
        <v>83.34</v>
      </c>
      <c r="AD22" s="2">
        <f t="shared" si="0"/>
        <v>0.76000000000000512</v>
      </c>
      <c r="AE22" s="138">
        <f t="shared" si="1"/>
        <v>-3.5868005738880493E-3</v>
      </c>
    </row>
    <row r="23" spans="1:31" x14ac:dyDescent="0.25">
      <c r="W23" s="133">
        <v>42577</v>
      </c>
      <c r="X23" s="10">
        <v>82.81</v>
      </c>
      <c r="Y23" s="10">
        <v>83.66</v>
      </c>
      <c r="Z23" s="10">
        <v>82.68</v>
      </c>
      <c r="AA23" s="10">
        <v>83.64</v>
      </c>
      <c r="AB23" s="95">
        <v>1510000</v>
      </c>
      <c r="AC23" s="10">
        <v>83.64</v>
      </c>
      <c r="AD23" s="2">
        <f t="shared" si="0"/>
        <v>0.97999999999998977</v>
      </c>
      <c r="AE23" s="138">
        <f t="shared" si="1"/>
        <v>9.413468501086264E-3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82.85</v>
      </c>
      <c r="Y24" s="10">
        <v>82.99</v>
      </c>
      <c r="Z24" s="10">
        <v>82.04</v>
      </c>
      <c r="AA24" s="10">
        <v>82.86</v>
      </c>
      <c r="AB24" s="95">
        <v>1336800</v>
      </c>
      <c r="AC24" s="10">
        <v>82.86</v>
      </c>
      <c r="AD24" s="2">
        <f t="shared" si="0"/>
        <v>0.94999999999998863</v>
      </c>
      <c r="AE24" s="138">
        <f t="shared" si="1"/>
        <v>-1.5664537896131758E-3</v>
      </c>
    </row>
    <row r="25" spans="1:31" x14ac:dyDescent="0.25">
      <c r="B25" s="384">
        <v>42488</v>
      </c>
      <c r="C25" s="385">
        <v>30</v>
      </c>
      <c r="D25" s="386">
        <v>79.349999999999994</v>
      </c>
      <c r="E25" s="386">
        <v>78.510000000000005</v>
      </c>
      <c r="F25" s="386">
        <f t="shared" ref="F25:F37" si="3">C25*(E25-D25)</f>
        <v>-25.199999999999676</v>
      </c>
      <c r="G25" s="386">
        <f t="shared" ref="G25:G37" si="4">D25*C25</f>
        <v>2380.5</v>
      </c>
      <c r="H25" s="387">
        <f t="shared" ref="H25:H37" si="5">(E25-D25)/D25</f>
        <v>-1.0586011342154875E-2</v>
      </c>
      <c r="I25" s="386"/>
      <c r="W25" s="133">
        <v>42573</v>
      </c>
      <c r="X25" s="10">
        <v>82.91</v>
      </c>
      <c r="Y25" s="10">
        <v>83.14</v>
      </c>
      <c r="Z25" s="10">
        <v>82.57</v>
      </c>
      <c r="AA25" s="10">
        <v>82.99</v>
      </c>
      <c r="AB25" s="95">
        <v>1253300</v>
      </c>
      <c r="AC25" s="10">
        <v>82.99</v>
      </c>
      <c r="AD25" s="2">
        <f t="shared" si="0"/>
        <v>0.57000000000000739</v>
      </c>
      <c r="AE25" s="138">
        <f t="shared" si="1"/>
        <v>4.5999273695678244E-3</v>
      </c>
    </row>
    <row r="26" spans="1:31" x14ac:dyDescent="0.25">
      <c r="B26" s="384">
        <v>42494</v>
      </c>
      <c r="C26" s="385">
        <v>30</v>
      </c>
      <c r="D26" s="386">
        <v>79.349999999999994</v>
      </c>
      <c r="E26" s="386">
        <v>77.510000000000005</v>
      </c>
      <c r="F26" s="386">
        <f t="shared" si="3"/>
        <v>-55.199999999999676</v>
      </c>
      <c r="G26" s="386">
        <f t="shared" si="4"/>
        <v>2380.5</v>
      </c>
      <c r="H26" s="387">
        <f t="shared" si="5"/>
        <v>-2.3188405797101314E-2</v>
      </c>
      <c r="I26" s="386"/>
      <c r="W26" s="133">
        <v>42572</v>
      </c>
      <c r="X26" s="10">
        <v>83.24</v>
      </c>
      <c r="Y26" s="10">
        <v>83.55</v>
      </c>
      <c r="Z26" s="10">
        <v>82.27</v>
      </c>
      <c r="AA26" s="10">
        <v>82.61</v>
      </c>
      <c r="AB26" s="95">
        <v>1772100</v>
      </c>
      <c r="AC26" s="10">
        <v>82.61</v>
      </c>
      <c r="AD26" s="2">
        <f t="shared" si="0"/>
        <v>1.2800000000000011</v>
      </c>
      <c r="AE26" s="138">
        <f t="shared" si="1"/>
        <v>-8.1642454076120696E-3</v>
      </c>
    </row>
    <row r="27" spans="1:31" x14ac:dyDescent="0.25">
      <c r="B27" s="384">
        <v>42495</v>
      </c>
      <c r="C27" s="385">
        <v>50</v>
      </c>
      <c r="D27" s="386">
        <v>78.11</v>
      </c>
      <c r="E27" s="386">
        <v>78.55</v>
      </c>
      <c r="F27" s="386">
        <f t="shared" si="3"/>
        <v>21.999999999999886</v>
      </c>
      <c r="G27" s="386">
        <f t="shared" si="4"/>
        <v>3905.5</v>
      </c>
      <c r="H27" s="387">
        <f t="shared" si="5"/>
        <v>5.6330815516578894E-3</v>
      </c>
      <c r="I27" s="386"/>
      <c r="W27" s="133">
        <v>42571</v>
      </c>
      <c r="X27" s="10">
        <v>82.93</v>
      </c>
      <c r="Y27" s="10">
        <v>83.54</v>
      </c>
      <c r="Z27" s="10">
        <v>82.57</v>
      </c>
      <c r="AA27" s="10">
        <v>83.29</v>
      </c>
      <c r="AB27" s="95">
        <v>1300800</v>
      </c>
      <c r="AC27" s="10">
        <v>83.29</v>
      </c>
      <c r="AD27" s="2">
        <f t="shared" si="0"/>
        <v>0.97000000000001307</v>
      </c>
      <c r="AE27" s="138">
        <f t="shared" si="1"/>
        <v>5.6749577396766338E-3</v>
      </c>
    </row>
    <row r="28" spans="1:31" x14ac:dyDescent="0.25">
      <c r="B28" s="384">
        <v>42498</v>
      </c>
      <c r="C28" s="385">
        <v>50</v>
      </c>
      <c r="D28" s="386">
        <v>78.11</v>
      </c>
      <c r="E28" s="386">
        <v>76.849999999999994</v>
      </c>
      <c r="F28" s="386">
        <f t="shared" si="3"/>
        <v>-63.000000000000256</v>
      </c>
      <c r="G28" s="386">
        <f t="shared" si="4"/>
        <v>3905.5</v>
      </c>
      <c r="H28" s="387">
        <f t="shared" si="5"/>
        <v>-1.6131097170656833E-2</v>
      </c>
      <c r="I28" s="386"/>
      <c r="W28" s="133">
        <v>42570</v>
      </c>
      <c r="X28" s="10">
        <v>82.94</v>
      </c>
      <c r="Y28" s="10">
        <v>83.5</v>
      </c>
      <c r="Z28" s="10">
        <v>82.38</v>
      </c>
      <c r="AA28" s="10">
        <v>82.82</v>
      </c>
      <c r="AB28" s="95">
        <v>1739100</v>
      </c>
      <c r="AC28" s="10">
        <v>82.82</v>
      </c>
      <c r="AD28" s="2">
        <f t="shared" si="0"/>
        <v>1.1200000000000045</v>
      </c>
      <c r="AE28" s="138">
        <f t="shared" si="1"/>
        <v>-4.6869366662660727E-3</v>
      </c>
    </row>
    <row r="29" spans="1:31" x14ac:dyDescent="0.25">
      <c r="B29" s="384">
        <v>42515</v>
      </c>
      <c r="C29" s="385">
        <v>50</v>
      </c>
      <c r="D29" s="386">
        <v>78.11</v>
      </c>
      <c r="E29" s="386">
        <v>76.73</v>
      </c>
      <c r="F29" s="386">
        <f t="shared" si="3"/>
        <v>-68.999999999999773</v>
      </c>
      <c r="G29" s="386">
        <f t="shared" si="4"/>
        <v>3905.5</v>
      </c>
      <c r="H29" s="387">
        <f t="shared" si="5"/>
        <v>-1.7667392139290687E-2</v>
      </c>
      <c r="I29" s="386"/>
      <c r="W29" s="133">
        <v>42569</v>
      </c>
      <c r="X29" s="10">
        <v>82.5</v>
      </c>
      <c r="Y29" s="10">
        <v>83.32</v>
      </c>
      <c r="Z29" s="10">
        <v>82.29</v>
      </c>
      <c r="AA29" s="10">
        <v>83.21</v>
      </c>
      <c r="AB29" s="95">
        <v>1587700</v>
      </c>
      <c r="AC29" s="10">
        <v>83.21</v>
      </c>
      <c r="AD29" s="2">
        <f t="shared" si="0"/>
        <v>1.0299999999999869</v>
      </c>
      <c r="AE29" s="138">
        <f t="shared" si="1"/>
        <v>1.0320543953375338E-2</v>
      </c>
    </row>
    <row r="30" spans="1:31" x14ac:dyDescent="0.25">
      <c r="B30" s="384">
        <v>42518</v>
      </c>
      <c r="C30" s="385">
        <v>50</v>
      </c>
      <c r="D30" s="386">
        <v>78.11</v>
      </c>
      <c r="E30" s="386">
        <v>78.150000000000006</v>
      </c>
      <c r="F30" s="386">
        <f t="shared" si="3"/>
        <v>2.0000000000003126</v>
      </c>
      <c r="G30" s="386">
        <f t="shared" si="4"/>
        <v>3905.5</v>
      </c>
      <c r="H30" s="387">
        <f t="shared" si="5"/>
        <v>5.1209832287807259E-4</v>
      </c>
      <c r="I30" s="386"/>
      <c r="W30" s="133">
        <v>42566</v>
      </c>
      <c r="X30" s="10">
        <v>83.02</v>
      </c>
      <c r="Y30" s="10">
        <v>83.28</v>
      </c>
      <c r="Z30" s="10">
        <v>82.12</v>
      </c>
      <c r="AA30" s="10">
        <v>82.36</v>
      </c>
      <c r="AB30" s="95">
        <v>2379200</v>
      </c>
      <c r="AC30" s="10">
        <v>82.36</v>
      </c>
      <c r="AD30" s="2">
        <f t="shared" si="0"/>
        <v>1.1599999999999966</v>
      </c>
      <c r="AE30" s="138">
        <f t="shared" si="1"/>
        <v>-7.3520549596239881E-3</v>
      </c>
    </row>
    <row r="31" spans="1:31" x14ac:dyDescent="0.25">
      <c r="B31" s="384">
        <v>42522</v>
      </c>
      <c r="C31" s="385">
        <v>25</v>
      </c>
      <c r="D31" s="386">
        <v>77.171599999999998</v>
      </c>
      <c r="E31" s="386">
        <v>78.72</v>
      </c>
      <c r="F31" s="386">
        <f t="shared" si="3"/>
        <v>38.710000000000022</v>
      </c>
      <c r="G31" s="386">
        <f t="shared" si="4"/>
        <v>1929.29</v>
      </c>
      <c r="H31" s="387">
        <f t="shared" si="5"/>
        <v>2.0064376013974063E-2</v>
      </c>
      <c r="I31" s="386"/>
      <c r="W31" s="133">
        <v>42565</v>
      </c>
      <c r="X31" s="10">
        <v>82.76</v>
      </c>
      <c r="Y31" s="10">
        <v>83.42</v>
      </c>
      <c r="Z31" s="10">
        <v>82.54</v>
      </c>
      <c r="AA31" s="10">
        <v>82.97</v>
      </c>
      <c r="AB31" s="95">
        <v>1742800</v>
      </c>
      <c r="AC31" s="10">
        <v>82.97</v>
      </c>
      <c r="AD31" s="2">
        <f t="shared" si="0"/>
        <v>0.87999999999999545</v>
      </c>
      <c r="AE31" s="138">
        <f t="shared" si="1"/>
        <v>8.3859990277102003E-3</v>
      </c>
    </row>
    <row r="32" spans="1:31" x14ac:dyDescent="0.25">
      <c r="B32" s="384">
        <v>42528</v>
      </c>
      <c r="C32" s="385">
        <v>25</v>
      </c>
      <c r="D32" s="386">
        <v>77.171599999999998</v>
      </c>
      <c r="E32" s="386">
        <v>80.42</v>
      </c>
      <c r="F32" s="386">
        <f t="shared" si="3"/>
        <v>81.210000000000093</v>
      </c>
      <c r="G32" s="386">
        <f t="shared" si="4"/>
        <v>1929.29</v>
      </c>
      <c r="H32" s="387">
        <f t="shared" si="5"/>
        <v>4.209320527240596E-2</v>
      </c>
      <c r="I32" s="386"/>
      <c r="W32" s="133">
        <v>42564</v>
      </c>
      <c r="X32" s="10">
        <v>82.14</v>
      </c>
      <c r="Y32" s="10">
        <v>82.87</v>
      </c>
      <c r="Z32" s="10">
        <v>81.97</v>
      </c>
      <c r="AA32" s="10">
        <v>82.28</v>
      </c>
      <c r="AB32" s="95">
        <v>1942600</v>
      </c>
      <c r="AC32" s="10">
        <v>82.28</v>
      </c>
      <c r="AD32" s="2">
        <f t="shared" si="0"/>
        <v>0.90000000000000568</v>
      </c>
      <c r="AE32" s="138">
        <f t="shared" si="1"/>
        <v>6.2370062370062929E-3</v>
      </c>
    </row>
    <row r="33" spans="2:31" x14ac:dyDescent="0.25">
      <c r="B33" s="384">
        <v>42534</v>
      </c>
      <c r="C33" s="385">
        <v>25</v>
      </c>
      <c r="D33" s="386">
        <v>77.171599999999998</v>
      </c>
      <c r="E33" s="386">
        <v>78.2</v>
      </c>
      <c r="F33" s="386">
        <f t="shared" si="3"/>
        <v>25.710000000000122</v>
      </c>
      <c r="G33" s="386">
        <f t="shared" si="4"/>
        <v>1929.29</v>
      </c>
      <c r="H33" s="387">
        <f t="shared" si="5"/>
        <v>1.3326145887865548E-2</v>
      </c>
      <c r="I33" s="386"/>
      <c r="W33" s="133">
        <v>42563</v>
      </c>
      <c r="X33" s="10">
        <v>81.150000000000006</v>
      </c>
      <c r="Y33" s="10">
        <v>82</v>
      </c>
      <c r="Z33" s="10">
        <v>81.12</v>
      </c>
      <c r="AA33" s="10">
        <v>81.77</v>
      </c>
      <c r="AB33" s="95">
        <v>2668700</v>
      </c>
      <c r="AC33" s="10">
        <v>81.77</v>
      </c>
      <c r="AD33" s="2">
        <f t="shared" si="0"/>
        <v>0.87999999999999545</v>
      </c>
      <c r="AE33" s="138">
        <f t="shared" si="1"/>
        <v>8.7589439921045287E-3</v>
      </c>
    </row>
    <row r="34" spans="2:31" x14ac:dyDescent="0.25">
      <c r="B34" s="384">
        <v>42537</v>
      </c>
      <c r="C34" s="385">
        <v>50</v>
      </c>
      <c r="D34" s="386">
        <v>76.525800000000004</v>
      </c>
      <c r="E34" s="386">
        <v>76.540000000000006</v>
      </c>
      <c r="F34" s="386">
        <f t="shared" si="3"/>
        <v>0.71000000000012164</v>
      </c>
      <c r="G34" s="386">
        <f t="shared" si="4"/>
        <v>3826.29</v>
      </c>
      <c r="H34" s="387">
        <f t="shared" si="5"/>
        <v>1.8555833457477652E-4</v>
      </c>
      <c r="I34" s="386"/>
      <c r="W34" s="133">
        <v>42562</v>
      </c>
      <c r="X34" s="10">
        <v>80.5</v>
      </c>
      <c r="Y34" s="10">
        <v>81.45</v>
      </c>
      <c r="Z34" s="10">
        <v>80.38</v>
      </c>
      <c r="AA34" s="10">
        <v>81.06</v>
      </c>
      <c r="AB34" s="95">
        <v>1818400</v>
      </c>
      <c r="AC34" s="10">
        <v>81.06</v>
      </c>
      <c r="AD34" s="2">
        <f t="shared" si="0"/>
        <v>1.0700000000000074</v>
      </c>
      <c r="AE34" s="138">
        <f t="shared" si="1"/>
        <v>8.4598158745956553E-3</v>
      </c>
    </row>
    <row r="35" spans="2:31" x14ac:dyDescent="0.25">
      <c r="B35" s="384">
        <v>42546</v>
      </c>
      <c r="C35" s="385">
        <v>50</v>
      </c>
      <c r="D35" s="386">
        <v>76.53</v>
      </c>
      <c r="E35" s="386">
        <v>75.23</v>
      </c>
      <c r="F35" s="386">
        <f t="shared" si="3"/>
        <v>-64.999999999999858</v>
      </c>
      <c r="G35" s="386">
        <f t="shared" si="4"/>
        <v>3826.5</v>
      </c>
      <c r="H35" s="387">
        <f t="shared" si="5"/>
        <v>-1.6986802561087117E-2</v>
      </c>
      <c r="I35" s="386"/>
      <c r="W35" s="133">
        <v>42559</v>
      </c>
      <c r="X35" s="10">
        <v>79.55</v>
      </c>
      <c r="Y35" s="10">
        <v>80.44</v>
      </c>
      <c r="Z35" s="10">
        <v>79.34</v>
      </c>
      <c r="AA35" s="10">
        <v>80.38</v>
      </c>
      <c r="AB35" s="95">
        <v>2900400</v>
      </c>
      <c r="AC35" s="10">
        <v>80.38</v>
      </c>
      <c r="AD35" s="2">
        <f t="shared" si="0"/>
        <v>1.0999999999999943</v>
      </c>
      <c r="AE35" s="138">
        <f t="shared" si="1"/>
        <v>1.1832829808660517E-2</v>
      </c>
    </row>
    <row r="36" spans="2:31" x14ac:dyDescent="0.25">
      <c r="B36" s="384">
        <v>42548</v>
      </c>
      <c r="C36" s="385">
        <v>75</v>
      </c>
      <c r="D36" s="386">
        <v>75.543899999999994</v>
      </c>
      <c r="E36" s="386">
        <v>73.69</v>
      </c>
      <c r="F36" s="386">
        <f t="shared" si="3"/>
        <v>-139.04249999999968</v>
      </c>
      <c r="G36" s="386">
        <f t="shared" si="4"/>
        <v>5665.7924999999996</v>
      </c>
      <c r="H36" s="387">
        <f t="shared" si="5"/>
        <v>-2.4540697528192164E-2</v>
      </c>
      <c r="I36" s="386"/>
      <c r="W36" s="133">
        <v>42558</v>
      </c>
      <c r="X36" s="10">
        <v>79.08</v>
      </c>
      <c r="Y36" s="10">
        <v>80.180000000000007</v>
      </c>
      <c r="Z36" s="10">
        <v>78.680000000000007</v>
      </c>
      <c r="AA36" s="10">
        <v>79.44</v>
      </c>
      <c r="AB36" s="95">
        <v>3949600</v>
      </c>
      <c r="AC36" s="10">
        <v>79.44</v>
      </c>
      <c r="AD36" s="2">
        <f t="shared" si="0"/>
        <v>1.5</v>
      </c>
      <c r="AE36" s="138">
        <f t="shared" si="1"/>
        <v>-6.8758594824352981E-3</v>
      </c>
    </row>
    <row r="37" spans="2:31" x14ac:dyDescent="0.25">
      <c r="B37" s="384">
        <v>42549</v>
      </c>
      <c r="C37" s="385">
        <v>75</v>
      </c>
      <c r="D37" s="386">
        <v>75.543899999999994</v>
      </c>
      <c r="E37" s="386">
        <v>75.430000000000007</v>
      </c>
      <c r="F37" s="386">
        <f t="shared" si="3"/>
        <v>-8.5424999999990092</v>
      </c>
      <c r="G37" s="386">
        <f t="shared" si="4"/>
        <v>5665.7924999999996</v>
      </c>
      <c r="H37" s="387">
        <f t="shared" si="5"/>
        <v>-1.5077325899243593E-3</v>
      </c>
      <c r="I37" s="386"/>
      <c r="W37" s="133">
        <v>42557</v>
      </c>
      <c r="X37" s="10">
        <v>78.180000000000007</v>
      </c>
      <c r="Y37" s="10">
        <v>80.47</v>
      </c>
      <c r="Z37" s="10">
        <v>77.77</v>
      </c>
      <c r="AA37" s="10">
        <v>79.989999999999995</v>
      </c>
      <c r="AB37" s="95">
        <v>2853000</v>
      </c>
      <c r="AC37" s="10">
        <v>79.989999999999995</v>
      </c>
      <c r="AD37" s="2">
        <f t="shared" si="0"/>
        <v>2.7000000000000028</v>
      </c>
      <c r="AE37" s="138">
        <f t="shared" si="1"/>
        <v>2.2497763006519067E-2</v>
      </c>
    </row>
    <row r="38" spans="2:31" x14ac:dyDescent="0.25">
      <c r="B38" s="384">
        <v>42550</v>
      </c>
      <c r="C38" s="385">
        <v>75</v>
      </c>
      <c r="D38" s="386">
        <v>75.543899999999994</v>
      </c>
      <c r="E38" s="386">
        <v>77.290000000000006</v>
      </c>
      <c r="F38" s="386">
        <f t="shared" ref="F38:F39" si="6">C38*(E38-D38)</f>
        <v>130.95750000000095</v>
      </c>
      <c r="G38" s="386">
        <f t="shared" ref="G38:G39" si="7">D38*C38</f>
        <v>5665.7924999999996</v>
      </c>
      <c r="H38" s="387">
        <f t="shared" ref="H38:H39" si="8">(E38-D38)/D38</f>
        <v>2.3113712688913504E-2</v>
      </c>
      <c r="I38" s="386"/>
      <c r="W38" s="133">
        <v>42556</v>
      </c>
      <c r="X38" s="10">
        <v>77.91</v>
      </c>
      <c r="Y38" s="10">
        <v>78.69</v>
      </c>
      <c r="Z38" s="10">
        <v>77.72</v>
      </c>
      <c r="AA38" s="10">
        <v>78.23</v>
      </c>
      <c r="AB38" s="95">
        <v>2576200</v>
      </c>
      <c r="AC38" s="10">
        <v>78.23</v>
      </c>
      <c r="AD38" s="2">
        <f t="shared" si="0"/>
        <v>0.96999999999999886</v>
      </c>
      <c r="AE38" s="138">
        <f t="shared" si="1"/>
        <v>-7.6638140247797804E-4</v>
      </c>
    </row>
    <row r="39" spans="2:31" x14ac:dyDescent="0.25">
      <c r="B39" s="384">
        <v>42552</v>
      </c>
      <c r="C39" s="385">
        <v>50</v>
      </c>
      <c r="D39" s="386">
        <v>74.176599999999993</v>
      </c>
      <c r="E39" s="386">
        <v>78.28</v>
      </c>
      <c r="F39" s="386">
        <f t="shared" si="6"/>
        <v>205.17000000000039</v>
      </c>
      <c r="G39" s="386">
        <f t="shared" si="7"/>
        <v>3708.8299999999995</v>
      </c>
      <c r="H39" s="387">
        <f t="shared" si="8"/>
        <v>5.5319332511870427E-2</v>
      </c>
      <c r="I39" s="386"/>
      <c r="W39" s="133">
        <v>42552</v>
      </c>
      <c r="X39" s="10">
        <v>77.92</v>
      </c>
      <c r="Y39" s="10">
        <v>78.38</v>
      </c>
      <c r="Z39" s="10">
        <v>77.63</v>
      </c>
      <c r="AA39" s="10">
        <v>78.290000000000006</v>
      </c>
      <c r="AB39" s="95">
        <v>2303000</v>
      </c>
      <c r="AC39" s="10">
        <v>78.290000000000006</v>
      </c>
      <c r="AD39" s="2">
        <f t="shared" si="0"/>
        <v>0.75</v>
      </c>
      <c r="AE39" s="138">
        <f t="shared" si="1"/>
        <v>3.5892834252018169E-3</v>
      </c>
    </row>
    <row r="40" spans="2:31" ht="20.25" thickBot="1" x14ac:dyDescent="0.35">
      <c r="B40" s="384">
        <v>42557</v>
      </c>
      <c r="C40" s="385">
        <v>50</v>
      </c>
      <c r="D40" s="386">
        <v>74.176599999999993</v>
      </c>
      <c r="E40" s="386">
        <v>79.989999999999995</v>
      </c>
      <c r="F40" s="386">
        <f t="shared" ref="F40" si="9">C40*(E40-D40)</f>
        <v>290.67000000000007</v>
      </c>
      <c r="G40" s="386">
        <f t="shared" ref="G40" si="10">D40*C40</f>
        <v>3708.8299999999995</v>
      </c>
      <c r="H40" s="387">
        <f t="shared" ref="H40" si="11">(E40-D40)/D40</f>
        <v>7.837242472693548E-2</v>
      </c>
      <c r="I40" s="386"/>
      <c r="O40" s="535" t="s">
        <v>78</v>
      </c>
      <c r="P40" s="535"/>
      <c r="W40" s="133">
        <v>42551</v>
      </c>
      <c r="X40" s="10">
        <v>77.36</v>
      </c>
      <c r="Y40" s="10">
        <v>78.17</v>
      </c>
      <c r="Z40" s="10">
        <v>76.97</v>
      </c>
      <c r="AA40" s="10">
        <v>78.010000000000005</v>
      </c>
      <c r="AB40" s="95">
        <v>2992900</v>
      </c>
      <c r="AC40" s="10">
        <v>78.010000000000005</v>
      </c>
      <c r="AD40" s="2">
        <f t="shared" si="0"/>
        <v>1.2000000000000028</v>
      </c>
      <c r="AE40" s="138">
        <f t="shared" si="1"/>
        <v>9.3155647561133925E-3</v>
      </c>
    </row>
    <row r="41" spans="2:31" ht="15.75" thickTop="1" x14ac:dyDescent="0.25">
      <c r="B41" s="384">
        <v>42562</v>
      </c>
      <c r="C41" s="385">
        <v>50</v>
      </c>
      <c r="D41" s="386">
        <v>74.176599999999993</v>
      </c>
      <c r="E41" s="386">
        <v>81.06</v>
      </c>
      <c r="F41" s="386">
        <f t="shared" ref="F41" si="12">C41*(E41-D41)</f>
        <v>344.17000000000041</v>
      </c>
      <c r="G41" s="386">
        <f t="shared" ref="G41" si="13">D41*C41</f>
        <v>3708.8299999999995</v>
      </c>
      <c r="H41" s="387">
        <f t="shared" ref="H41" si="14">(E41-D41)/D41</f>
        <v>9.2797459036947083E-2</v>
      </c>
      <c r="I41" s="386"/>
      <c r="O41" s="83">
        <v>1.1000000000000001</v>
      </c>
      <c r="P41" s="83">
        <f>O41*$Q$4</f>
        <v>89.188000000000002</v>
      </c>
      <c r="Q41" s="2"/>
      <c r="W41" s="133">
        <v>42550</v>
      </c>
      <c r="X41" s="10">
        <v>75.97</v>
      </c>
      <c r="Y41" s="10">
        <v>77.45</v>
      </c>
      <c r="Z41" s="10">
        <v>75.69</v>
      </c>
      <c r="AA41" s="10">
        <v>77.290000000000006</v>
      </c>
      <c r="AB41" s="95">
        <v>2305800</v>
      </c>
      <c r="AC41" s="10">
        <v>77.290000000000006</v>
      </c>
      <c r="AD41" s="2">
        <f t="shared" si="0"/>
        <v>1.7600000000000051</v>
      </c>
      <c r="AE41" s="138" t="e">
        <f t="shared" si="1"/>
        <v>#DIV/0!</v>
      </c>
    </row>
    <row r="42" spans="2:31" ht="20.25" thickBot="1" x14ac:dyDescent="0.35">
      <c r="B42" s="384">
        <v>42566</v>
      </c>
      <c r="C42" s="385">
        <v>50</v>
      </c>
      <c r="D42" s="386">
        <v>74.176599999999993</v>
      </c>
      <c r="E42" s="386">
        <v>82.36</v>
      </c>
      <c r="F42" s="386">
        <f t="shared" ref="F42" si="15">C42*(E42-D42)</f>
        <v>409.1700000000003</v>
      </c>
      <c r="G42" s="386">
        <f t="shared" ref="G42" si="16">D42*C42</f>
        <v>3708.8299999999995</v>
      </c>
      <c r="H42" s="387">
        <f t="shared" ref="H42" si="17">(E42-D42)/D42</f>
        <v>0.11032320165658721</v>
      </c>
      <c r="I42" s="495">
        <v>72.5</v>
      </c>
      <c r="O42" s="83">
        <v>1.0900000000000001</v>
      </c>
      <c r="P42" s="83">
        <f t="shared" ref="P42:P61" si="18">O42*$Q$4</f>
        <v>88.377200000000002</v>
      </c>
      <c r="Q42" s="2"/>
      <c r="T42" s="91" t="s">
        <v>113</v>
      </c>
      <c r="W42" s="133">
        <v>42550</v>
      </c>
      <c r="X42" s="10" t="s">
        <v>275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384">
        <v>42569</v>
      </c>
      <c r="C43" s="385">
        <v>50</v>
      </c>
      <c r="D43" s="386">
        <v>73.503200000000007</v>
      </c>
      <c r="E43" s="386">
        <v>83.21</v>
      </c>
      <c r="F43" s="386">
        <f t="shared" ref="F43" si="19">C43*(E43-D43)</f>
        <v>485.33999999999935</v>
      </c>
      <c r="G43" s="386">
        <f t="shared" ref="G43" si="20">D43*C43</f>
        <v>3675.1600000000003</v>
      </c>
      <c r="H43" s="387">
        <f t="shared" ref="H43" si="21">(E43-D43)/D43</f>
        <v>0.13205955659073326</v>
      </c>
      <c r="I43" s="386" t="s">
        <v>289</v>
      </c>
      <c r="O43" s="83">
        <v>1.08</v>
      </c>
      <c r="P43" s="83">
        <f t="shared" si="18"/>
        <v>87.566400000000002</v>
      </c>
      <c r="Q43" s="2"/>
      <c r="T43" s="128" t="s">
        <v>98</v>
      </c>
      <c r="U43" s="98">
        <v>82.02</v>
      </c>
      <c r="W43" s="133">
        <v>42549</v>
      </c>
      <c r="X43" s="10">
        <v>75.16</v>
      </c>
      <c r="Y43" s="10">
        <v>75.44</v>
      </c>
      <c r="Z43" s="10">
        <v>73.98</v>
      </c>
      <c r="AA43" s="10">
        <v>75.430000000000007</v>
      </c>
      <c r="AB43" s="95">
        <v>2888300</v>
      </c>
      <c r="AC43" s="10">
        <v>74.98</v>
      </c>
      <c r="AD43" s="2">
        <f t="shared" si="0"/>
        <v>1.4599999999999937</v>
      </c>
      <c r="AE43" s="138">
        <f t="shared" si="1"/>
        <v>2.3617747440273007E-2</v>
      </c>
    </row>
    <row r="44" spans="2:31" x14ac:dyDescent="0.25">
      <c r="B44" s="384">
        <v>42570</v>
      </c>
      <c r="C44" s="385">
        <v>50</v>
      </c>
      <c r="D44" s="386">
        <v>73.503200000000007</v>
      </c>
      <c r="E44" s="386">
        <v>82.82</v>
      </c>
      <c r="F44" s="386">
        <f t="shared" ref="F44:F45" si="22">C44*(E44-D44)</f>
        <v>465.83999999999935</v>
      </c>
      <c r="G44" s="386">
        <f>D44*C44</f>
        <v>3675.1600000000003</v>
      </c>
      <c r="H44" s="387">
        <f t="shared" ref="H44:H45" si="23">(E44-D44)/D44</f>
        <v>0.12675366514655126</v>
      </c>
      <c r="I44" s="386"/>
      <c r="O44" s="83">
        <v>1.07</v>
      </c>
      <c r="P44" s="83">
        <f t="shared" si="18"/>
        <v>86.755600000000001</v>
      </c>
      <c r="Q44" s="2"/>
      <c r="T44" s="93" t="s">
        <v>99</v>
      </c>
      <c r="U44" s="88">
        <v>81.849999999999994</v>
      </c>
      <c r="W44" s="133">
        <v>42548</v>
      </c>
      <c r="X44" s="10">
        <v>74.84</v>
      </c>
      <c r="Y44" s="10">
        <v>75.150000000000006</v>
      </c>
      <c r="Z44" s="10">
        <v>73.25</v>
      </c>
      <c r="AA44" s="10">
        <v>73.69</v>
      </c>
      <c r="AB44" s="95">
        <v>2078500</v>
      </c>
      <c r="AC44" s="10">
        <v>73.25</v>
      </c>
      <c r="AD44" s="2">
        <f t="shared" si="0"/>
        <v>1.9000000000000057</v>
      </c>
      <c r="AE44" s="138">
        <f t="shared" si="1"/>
        <v>-2.0460016047071372E-2</v>
      </c>
    </row>
    <row r="45" spans="2:31" x14ac:dyDescent="0.25">
      <c r="B45" s="384">
        <v>42577</v>
      </c>
      <c r="C45" s="385">
        <v>40</v>
      </c>
      <c r="D45" s="386">
        <v>71.054500000000004</v>
      </c>
      <c r="E45" s="386">
        <v>83.64</v>
      </c>
      <c r="F45" s="386">
        <f t="shared" si="22"/>
        <v>503.41999999999985</v>
      </c>
      <c r="G45" s="386">
        <f>D45*C45</f>
        <v>2842.1800000000003</v>
      </c>
      <c r="H45" s="387">
        <f t="shared" si="23"/>
        <v>0.17712460153825579</v>
      </c>
      <c r="I45" s="386"/>
      <c r="O45" s="83">
        <v>1.06</v>
      </c>
      <c r="P45" s="83">
        <f t="shared" si="18"/>
        <v>85.944800000000001</v>
      </c>
      <c r="Q45" s="2"/>
      <c r="T45" s="93" t="s">
        <v>100</v>
      </c>
      <c r="U45" s="88" t="s">
        <v>574</v>
      </c>
      <c r="W45" s="133">
        <v>42545</v>
      </c>
      <c r="X45" s="10">
        <v>75.64</v>
      </c>
      <c r="Y45" s="10">
        <v>76.25</v>
      </c>
      <c r="Z45" s="10">
        <v>75.040000000000006</v>
      </c>
      <c r="AA45" s="10">
        <v>75.23</v>
      </c>
      <c r="AB45" s="95">
        <v>3282000</v>
      </c>
      <c r="AC45" s="10">
        <v>74.78</v>
      </c>
      <c r="AD45" s="2">
        <f t="shared" si="0"/>
        <v>1.2099999999999937</v>
      </c>
      <c r="AE45" s="138">
        <f t="shared" si="1"/>
        <v>-3.6960721184803647E-2</v>
      </c>
    </row>
    <row r="46" spans="2:31" x14ac:dyDescent="0.25">
      <c r="B46" s="384">
        <v>42580</v>
      </c>
      <c r="C46" s="385">
        <v>0</v>
      </c>
      <c r="D46" s="386"/>
      <c r="E46" s="386"/>
      <c r="F46" s="386">
        <v>490.95</v>
      </c>
      <c r="G46" s="386"/>
      <c r="H46" s="387"/>
      <c r="I46" s="386"/>
      <c r="O46" s="83">
        <v>1.05</v>
      </c>
      <c r="P46" s="83">
        <f t="shared" si="18"/>
        <v>85.134</v>
      </c>
      <c r="Q46" s="2"/>
      <c r="T46" s="93" t="s">
        <v>101</v>
      </c>
      <c r="U46" s="88" t="s">
        <v>575</v>
      </c>
      <c r="W46" s="133">
        <v>42544</v>
      </c>
      <c r="X46" s="10">
        <v>77.98</v>
      </c>
      <c r="Y46" s="10">
        <v>78.14</v>
      </c>
      <c r="Z46" s="10">
        <v>77.44</v>
      </c>
      <c r="AA46" s="10">
        <v>78.12</v>
      </c>
      <c r="AB46" s="95">
        <v>1279300</v>
      </c>
      <c r="AC46" s="10">
        <v>77.650000000000006</v>
      </c>
      <c r="AD46" s="2">
        <f t="shared" si="0"/>
        <v>0.70000000000000284</v>
      </c>
      <c r="AE46" s="138">
        <f t="shared" si="1"/>
        <v>1.3972316531731588E-2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8"/>
        <v>84.3232</v>
      </c>
      <c r="Q47" s="2"/>
      <c r="T47" s="93" t="s">
        <v>102</v>
      </c>
      <c r="U47" s="88">
        <v>93.86</v>
      </c>
      <c r="W47" s="133">
        <v>42543</v>
      </c>
      <c r="X47" s="10">
        <v>76.900000000000006</v>
      </c>
      <c r="Y47" s="10">
        <v>77.69</v>
      </c>
      <c r="Z47" s="10">
        <v>76.8</v>
      </c>
      <c r="AA47" s="10">
        <v>77.040000000000006</v>
      </c>
      <c r="AB47" s="95">
        <v>2148500</v>
      </c>
      <c r="AC47" s="10">
        <v>76.58</v>
      </c>
      <c r="AD47" s="2">
        <f t="shared" si="0"/>
        <v>0.89000000000000057</v>
      </c>
      <c r="AE47" s="138">
        <f t="shared" si="1"/>
        <v>1.9625801386888853E-3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83.5124</v>
      </c>
      <c r="Q48" s="2"/>
      <c r="T48" s="93" t="s">
        <v>103</v>
      </c>
      <c r="U48" s="88">
        <v>0.80776400000000004</v>
      </c>
      <c r="W48" s="133">
        <v>42542</v>
      </c>
      <c r="X48" s="10">
        <v>76.819999999999993</v>
      </c>
      <c r="Y48" s="10">
        <v>77.06</v>
      </c>
      <c r="Z48" s="10">
        <v>76.31</v>
      </c>
      <c r="AA48" s="10">
        <v>76.89</v>
      </c>
      <c r="AB48" s="95">
        <v>1855000</v>
      </c>
      <c r="AC48" s="10">
        <v>76.430000000000007</v>
      </c>
      <c r="AD48" s="2">
        <f t="shared" si="0"/>
        <v>0.75</v>
      </c>
      <c r="AE48" s="138">
        <f t="shared" si="1"/>
        <v>5.3933175480138651E-3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82.701599999999999</v>
      </c>
      <c r="Q49" s="2"/>
      <c r="T49" s="93" t="s">
        <v>123</v>
      </c>
      <c r="U49" s="88" t="s">
        <v>349</v>
      </c>
      <c r="W49" s="133">
        <v>42541</v>
      </c>
      <c r="X49" s="10">
        <v>76.400000000000006</v>
      </c>
      <c r="Y49" s="10">
        <v>77.06</v>
      </c>
      <c r="Z49" s="10">
        <v>76.23</v>
      </c>
      <c r="AA49" s="10">
        <v>76.48</v>
      </c>
      <c r="AB49" s="95">
        <v>2193800</v>
      </c>
      <c r="AC49" s="10">
        <v>76.02</v>
      </c>
      <c r="AD49" s="2">
        <f t="shared" si="0"/>
        <v>0.82999999999999829</v>
      </c>
      <c r="AE49" s="138">
        <f t="shared" si="1"/>
        <v>1.2789768185451633E-2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81.890799999999999</v>
      </c>
      <c r="Q50" s="2"/>
      <c r="T50" s="93"/>
      <c r="U50" s="88"/>
      <c r="W50" s="133">
        <v>42538</v>
      </c>
      <c r="X50" s="10">
        <v>76.56</v>
      </c>
      <c r="Y50" s="10">
        <v>76.569999999999993</v>
      </c>
      <c r="Z50" s="10">
        <v>75.37</v>
      </c>
      <c r="AA50" s="10">
        <v>75.510000000000005</v>
      </c>
      <c r="AB50" s="95">
        <v>2897500</v>
      </c>
      <c r="AC50" s="10">
        <v>75.06</v>
      </c>
      <c r="AD50" s="2">
        <f t="shared" si="0"/>
        <v>1.1999999999999886</v>
      </c>
      <c r="AE50" s="138">
        <f t="shared" si="1"/>
        <v>-1.3406940063091399E-2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81.08</v>
      </c>
      <c r="Q51" s="2"/>
      <c r="T51" s="93" t="s">
        <v>105</v>
      </c>
      <c r="U51" s="88" t="s">
        <v>576</v>
      </c>
      <c r="W51" s="133">
        <v>42537</v>
      </c>
      <c r="X51" s="10">
        <v>76.400000000000006</v>
      </c>
      <c r="Y51" s="10">
        <v>76.599999999999994</v>
      </c>
      <c r="Z51" s="10">
        <v>75.430000000000007</v>
      </c>
      <c r="AA51" s="10">
        <v>76.540000000000006</v>
      </c>
      <c r="AB51" s="95">
        <v>3228300</v>
      </c>
      <c r="AC51" s="10">
        <v>76.08</v>
      </c>
      <c r="AD51" s="2">
        <f t="shared" si="0"/>
        <v>1.1699999999999875</v>
      </c>
      <c r="AE51" s="138">
        <f t="shared" si="1"/>
        <v>-1.836788244555243E-3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80.269199999999998</v>
      </c>
      <c r="Q52" s="2"/>
      <c r="T52" s="93" t="s">
        <v>106</v>
      </c>
      <c r="U52" s="88" t="s">
        <v>299</v>
      </c>
      <c r="W52" s="133">
        <v>42536</v>
      </c>
      <c r="X52" s="10">
        <v>78.02</v>
      </c>
      <c r="Y52" s="10">
        <v>78.08</v>
      </c>
      <c r="Z52" s="10">
        <v>76.61</v>
      </c>
      <c r="AA52" s="10">
        <v>76.680000000000007</v>
      </c>
      <c r="AB52" s="95">
        <v>3548700</v>
      </c>
      <c r="AC52" s="10">
        <v>76.22</v>
      </c>
      <c r="AD52" s="2">
        <f t="shared" si="0"/>
        <v>1.4699999999999989</v>
      </c>
      <c r="AE52" s="138">
        <f t="shared" si="1"/>
        <v>-1.6135278172195733E-2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79.458399999999997</v>
      </c>
      <c r="Q53" s="2"/>
      <c r="T53" s="93" t="s">
        <v>107</v>
      </c>
      <c r="U53" s="90">
        <v>1262139</v>
      </c>
      <c r="W53" s="133">
        <v>42535</v>
      </c>
      <c r="X53" s="10">
        <v>78.010000000000005</v>
      </c>
      <c r="Y53" s="10">
        <v>78.319999999999993</v>
      </c>
      <c r="Z53" s="10">
        <v>77.569999999999993</v>
      </c>
      <c r="AA53" s="10">
        <v>77.930000000000007</v>
      </c>
      <c r="AB53" s="95">
        <v>1707400</v>
      </c>
      <c r="AC53" s="10">
        <v>77.47</v>
      </c>
      <c r="AD53" s="2">
        <f t="shared" si="0"/>
        <v>0.75</v>
      </c>
      <c r="AE53" s="138">
        <f t="shared" si="1"/>
        <v>-3.3449118744371953E-3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78.647599999999997</v>
      </c>
      <c r="T54" s="93" t="s">
        <v>110</v>
      </c>
      <c r="U54" s="90">
        <v>2218140</v>
      </c>
      <c r="W54" s="133">
        <v>42534</v>
      </c>
      <c r="X54" s="10">
        <v>78.53</v>
      </c>
      <c r="Y54" s="10">
        <v>78.790000000000006</v>
      </c>
      <c r="Z54" s="10">
        <v>78.150000000000006</v>
      </c>
      <c r="AA54" s="10">
        <v>78.2</v>
      </c>
      <c r="AB54" s="95">
        <v>2042100</v>
      </c>
      <c r="AC54" s="10">
        <v>77.73</v>
      </c>
      <c r="AD54" s="2">
        <f t="shared" si="0"/>
        <v>0.64000000000000057</v>
      </c>
      <c r="AE54" s="138">
        <f t="shared" si="1"/>
        <v>-4.2275172943888606E-3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77.836799999999997</v>
      </c>
      <c r="T55" s="93" t="s">
        <v>108</v>
      </c>
      <c r="U55" s="88" t="s">
        <v>577</v>
      </c>
      <c r="W55" s="133">
        <v>42531</v>
      </c>
      <c r="X55" s="10">
        <v>79</v>
      </c>
      <c r="Y55" s="10">
        <v>79.06</v>
      </c>
      <c r="Z55" s="10">
        <v>78.05</v>
      </c>
      <c r="AA55" s="10">
        <v>78.53</v>
      </c>
      <c r="AB55" s="95">
        <v>2714500</v>
      </c>
      <c r="AC55" s="10">
        <v>78.06</v>
      </c>
      <c r="AD55" s="2">
        <f t="shared" si="0"/>
        <v>1.0100000000000051</v>
      </c>
      <c r="AE55" s="138">
        <f t="shared" si="1"/>
        <v>-9.642222786094834E-3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77.025999999999996</v>
      </c>
      <c r="T56" s="93" t="s">
        <v>111</v>
      </c>
      <c r="U56" s="88">
        <v>18.77</v>
      </c>
      <c r="W56" s="133">
        <v>42530</v>
      </c>
      <c r="X56" s="10">
        <v>79.56</v>
      </c>
      <c r="Y56" s="10">
        <v>79.959999999999994</v>
      </c>
      <c r="Z56" s="10">
        <v>79.11</v>
      </c>
      <c r="AA56" s="10">
        <v>79.290000000000006</v>
      </c>
      <c r="AB56" s="95">
        <v>3082300</v>
      </c>
      <c r="AC56" s="10">
        <v>78.819999999999993</v>
      </c>
      <c r="AD56" s="2">
        <f t="shared" si="0"/>
        <v>0.84999999999999432</v>
      </c>
      <c r="AE56" s="138">
        <f t="shared" si="1"/>
        <v>-4.672307109483631E-3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76.215199999999996</v>
      </c>
      <c r="T57" s="93" t="s">
        <v>112</v>
      </c>
      <c r="U57" s="88">
        <v>4.32</v>
      </c>
      <c r="W57" s="133">
        <v>42529</v>
      </c>
      <c r="X57" s="10">
        <v>79.849999999999994</v>
      </c>
      <c r="Y57" s="10">
        <v>80.13</v>
      </c>
      <c r="Z57" s="10">
        <v>79.5</v>
      </c>
      <c r="AA57" s="10">
        <v>79.66</v>
      </c>
      <c r="AB57" s="95">
        <v>3437900</v>
      </c>
      <c r="AC57" s="10">
        <v>79.19</v>
      </c>
      <c r="AD57" s="2">
        <f t="shared" si="0"/>
        <v>0.62999999999999545</v>
      </c>
      <c r="AE57" s="138">
        <f t="shared" si="1"/>
        <v>-4.1498993963782205E-3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75.404399999999995</v>
      </c>
      <c r="T58" s="93" t="s">
        <v>109</v>
      </c>
      <c r="U58" s="88" t="s">
        <v>412</v>
      </c>
      <c r="W58" s="133">
        <v>42528</v>
      </c>
      <c r="X58" s="10">
        <v>80.099999999999994</v>
      </c>
      <c r="Y58" s="10">
        <v>80.41</v>
      </c>
      <c r="Z58" s="10">
        <v>79.72</v>
      </c>
      <c r="AA58" s="10">
        <v>80</v>
      </c>
      <c r="AB58" s="95">
        <v>2142200</v>
      </c>
      <c r="AC58" s="10">
        <v>79.52</v>
      </c>
      <c r="AD58" s="2">
        <f t="shared" si="0"/>
        <v>0.68999999999999773</v>
      </c>
      <c r="AE58" s="138">
        <f t="shared" si="1"/>
        <v>-5.2539404553415547E-3</v>
      </c>
    </row>
    <row r="59" spans="1:31" x14ac:dyDescent="0.25">
      <c r="O59" s="83">
        <v>0.92</v>
      </c>
      <c r="P59" s="83">
        <f t="shared" si="18"/>
        <v>74.593599999999995</v>
      </c>
      <c r="W59" s="133">
        <v>42527</v>
      </c>
      <c r="X59" s="10">
        <v>79.72</v>
      </c>
      <c r="Y59" s="10">
        <v>80.52</v>
      </c>
      <c r="Z59" s="10">
        <v>79.37</v>
      </c>
      <c r="AA59" s="10">
        <v>80.42</v>
      </c>
      <c r="AB59" s="95">
        <v>2021800</v>
      </c>
      <c r="AC59" s="10">
        <v>79.94</v>
      </c>
      <c r="AD59" s="2">
        <f t="shared" si="0"/>
        <v>1.1499999999999915</v>
      </c>
      <c r="AE59" s="138">
        <f t="shared" si="1"/>
        <v>7.8164397377711303E-3</v>
      </c>
    </row>
    <row r="60" spans="1:31" x14ac:dyDescent="0.25">
      <c r="O60" s="83">
        <v>0.91</v>
      </c>
      <c r="P60" s="83">
        <f t="shared" si="18"/>
        <v>73.782799999999995</v>
      </c>
      <c r="W60" s="133">
        <v>42524</v>
      </c>
      <c r="X60" s="10">
        <v>79.72</v>
      </c>
      <c r="Y60" s="10">
        <v>79.989999999999995</v>
      </c>
      <c r="Z60" s="10">
        <v>79.209999999999994</v>
      </c>
      <c r="AA60" s="10">
        <v>79.790000000000006</v>
      </c>
      <c r="AB60" s="95">
        <v>1988000</v>
      </c>
      <c r="AC60" s="10">
        <v>79.319999999999993</v>
      </c>
      <c r="AD60" s="2">
        <f t="shared" si="0"/>
        <v>0.78000000000000114</v>
      </c>
      <c r="AE60" s="138">
        <f t="shared" si="1"/>
        <v>-1.1333585190782536E-3</v>
      </c>
    </row>
    <row r="61" spans="1:31" x14ac:dyDescent="0.25">
      <c r="O61" s="83">
        <v>0.9</v>
      </c>
      <c r="P61" s="83">
        <f t="shared" si="18"/>
        <v>72.971999999999994</v>
      </c>
      <c r="W61" s="133">
        <v>42523</v>
      </c>
      <c r="X61" s="10">
        <v>78.7</v>
      </c>
      <c r="Y61" s="10">
        <v>79.89</v>
      </c>
      <c r="Z61" s="10">
        <v>78.61</v>
      </c>
      <c r="AA61" s="10">
        <v>79.89</v>
      </c>
      <c r="AB61" s="95">
        <v>2361100</v>
      </c>
      <c r="AC61" s="10">
        <v>79.41</v>
      </c>
      <c r="AD61" s="2">
        <f t="shared" si="0"/>
        <v>1.2800000000000011</v>
      </c>
      <c r="AE61" s="138">
        <f t="shared" si="1"/>
        <v>1.4824281150159768E-2</v>
      </c>
    </row>
    <row r="62" spans="1:31" x14ac:dyDescent="0.25">
      <c r="W62" s="133">
        <v>42522</v>
      </c>
      <c r="X62" s="10">
        <v>78.58</v>
      </c>
      <c r="Y62" s="10">
        <v>79.05</v>
      </c>
      <c r="Z62" s="10">
        <v>78.44</v>
      </c>
      <c r="AA62" s="10">
        <v>78.72</v>
      </c>
      <c r="AB62" s="95">
        <v>2595700</v>
      </c>
      <c r="AC62" s="10">
        <v>78.25</v>
      </c>
      <c r="AD62" s="2">
        <f t="shared" si="0"/>
        <v>0.60999999999999943</v>
      </c>
      <c r="AE62" s="138">
        <f t="shared" si="1"/>
        <v>-2.9306829765546327E-3</v>
      </c>
    </row>
    <row r="63" spans="1:31" x14ac:dyDescent="0.25">
      <c r="L63" t="s">
        <v>65</v>
      </c>
      <c r="M63" s="2">
        <f>M81+K81-F81</f>
        <v>490.94999999999891</v>
      </c>
      <c r="W63" s="133">
        <v>42521</v>
      </c>
      <c r="X63" s="10">
        <v>78.16</v>
      </c>
      <c r="Y63" s="10">
        <v>79.17</v>
      </c>
      <c r="Z63" s="10">
        <v>78.150000000000006</v>
      </c>
      <c r="AA63" s="10">
        <v>78.95</v>
      </c>
      <c r="AB63" s="95">
        <v>3613000</v>
      </c>
      <c r="AC63" s="10">
        <v>78.48</v>
      </c>
      <c r="AD63" s="2">
        <f t="shared" si="0"/>
        <v>1.019999999999996</v>
      </c>
      <c r="AE63" s="138">
        <f t="shared" si="1"/>
        <v>1.029866117404743E-2</v>
      </c>
    </row>
    <row r="64" spans="1:31" x14ac:dyDescent="0.25">
      <c r="A64" s="391" t="s">
        <v>1</v>
      </c>
      <c r="B64" s="391" t="s">
        <v>2</v>
      </c>
      <c r="C64" s="391" t="s">
        <v>4</v>
      </c>
      <c r="D64" s="393" t="s">
        <v>5</v>
      </c>
      <c r="E64" s="393" t="s">
        <v>94</v>
      </c>
      <c r="F64" s="393" t="s">
        <v>60</v>
      </c>
      <c r="G64" s="391" t="s">
        <v>3</v>
      </c>
      <c r="H64" s="391" t="s">
        <v>6</v>
      </c>
      <c r="I64" s="393" t="s">
        <v>7</v>
      </c>
      <c r="J64" s="393" t="s">
        <v>95</v>
      </c>
      <c r="K64" s="393" t="s">
        <v>61</v>
      </c>
      <c r="L64" s="391" t="s">
        <v>37</v>
      </c>
      <c r="M64" s="391" t="s">
        <v>38</v>
      </c>
      <c r="W64" s="133">
        <v>42517</v>
      </c>
      <c r="X64" s="10">
        <v>77.55</v>
      </c>
      <c r="Y64" s="10">
        <v>78.36</v>
      </c>
      <c r="Z64" s="10">
        <v>77.45</v>
      </c>
      <c r="AA64" s="10">
        <v>78.150000000000006</v>
      </c>
      <c r="AB64" s="95">
        <v>1857200</v>
      </c>
      <c r="AC64" s="10">
        <v>77.680000000000007</v>
      </c>
      <c r="AD64" s="2">
        <f t="shared" si="0"/>
        <v>0.90999999999999659</v>
      </c>
      <c r="AE64" s="138">
        <f t="shared" si="1"/>
        <v>1.1063386697904631E-2</v>
      </c>
    </row>
    <row r="65" spans="1:31" x14ac:dyDescent="0.25">
      <c r="A65" s="394" t="s">
        <v>52</v>
      </c>
      <c r="B65" s="384">
        <v>42488</v>
      </c>
      <c r="C65" s="385">
        <v>30</v>
      </c>
      <c r="D65" s="386">
        <v>79.349999999999994</v>
      </c>
      <c r="E65" s="386">
        <v>0</v>
      </c>
      <c r="F65" s="386">
        <f>D65*C65+E65</f>
        <v>2380.5</v>
      </c>
      <c r="G65" s="384">
        <v>42521</v>
      </c>
      <c r="H65" s="389">
        <v>25</v>
      </c>
      <c r="I65" s="386">
        <v>79.05</v>
      </c>
      <c r="J65" s="386">
        <v>0.04</v>
      </c>
      <c r="K65" s="386">
        <f>I65*H65-J65</f>
        <v>1976.21</v>
      </c>
      <c r="L65" s="384">
        <v>42566</v>
      </c>
      <c r="M65" s="386">
        <v>33.67</v>
      </c>
      <c r="W65" s="133">
        <v>42516</v>
      </c>
      <c r="X65" s="10">
        <v>76.650000000000006</v>
      </c>
      <c r="Y65" s="10">
        <v>77.459999999999994</v>
      </c>
      <c r="Z65" s="10">
        <v>76.400000000000006</v>
      </c>
      <c r="AA65" s="10">
        <v>77.290000000000006</v>
      </c>
      <c r="AB65" s="95">
        <v>2036500</v>
      </c>
      <c r="AC65" s="10">
        <v>76.83</v>
      </c>
      <c r="AD65" s="2">
        <f t="shared" si="0"/>
        <v>1.0599999999999881</v>
      </c>
      <c r="AE65" s="138">
        <f t="shared" si="1"/>
        <v>7.3423364363445209E-3</v>
      </c>
    </row>
    <row r="66" spans="1:31" x14ac:dyDescent="0.25">
      <c r="A66" s="395" t="s">
        <v>71</v>
      </c>
      <c r="B66" s="384">
        <v>42495</v>
      </c>
      <c r="C66" s="385">
        <v>20</v>
      </c>
      <c r="D66" s="386">
        <v>76.25</v>
      </c>
      <c r="E66" s="386">
        <v>0</v>
      </c>
      <c r="F66" s="386">
        <f>D66*C66+E66</f>
        <v>1525</v>
      </c>
      <c r="G66" s="384">
        <v>42552</v>
      </c>
      <c r="H66" s="389">
        <v>25</v>
      </c>
      <c r="I66" s="386">
        <v>78.28</v>
      </c>
      <c r="J66" s="386">
        <v>0.04</v>
      </c>
      <c r="K66" s="386">
        <f t="shared" ref="K66:K68" si="24">I66*H66-J66</f>
        <v>1956.96</v>
      </c>
      <c r="L66" s="385"/>
      <c r="M66" s="385"/>
      <c r="W66" s="133">
        <v>42515</v>
      </c>
      <c r="X66" s="10">
        <v>77.78</v>
      </c>
      <c r="Y66" s="10">
        <v>77.989999999999995</v>
      </c>
      <c r="Z66" s="10">
        <v>76.69</v>
      </c>
      <c r="AA66" s="10">
        <v>76.73</v>
      </c>
      <c r="AB66" s="95">
        <v>3011000</v>
      </c>
      <c r="AC66" s="10">
        <v>76.27</v>
      </c>
      <c r="AD66" s="2">
        <f t="shared" si="0"/>
        <v>1.2999999999999972</v>
      </c>
      <c r="AE66" s="138">
        <f t="shared" si="1"/>
        <v>-9.4805194805195336E-3</v>
      </c>
    </row>
    <row r="67" spans="1:31" x14ac:dyDescent="0.25">
      <c r="A67" s="385"/>
      <c r="B67" s="384">
        <v>42537</v>
      </c>
      <c r="C67" s="385">
        <v>25</v>
      </c>
      <c r="D67" s="386">
        <v>75.88</v>
      </c>
      <c r="E67" s="386">
        <v>0</v>
      </c>
      <c r="F67" s="386">
        <f>D67*C67+E67</f>
        <v>1897</v>
      </c>
      <c r="G67" s="384">
        <v>42577</v>
      </c>
      <c r="H67" s="389">
        <v>10</v>
      </c>
      <c r="I67" s="386">
        <v>83.3</v>
      </c>
      <c r="J67" s="386">
        <v>0.02</v>
      </c>
      <c r="K67" s="386">
        <f t="shared" si="24"/>
        <v>832.98</v>
      </c>
      <c r="L67" s="385"/>
      <c r="M67" s="385"/>
      <c r="W67" s="133">
        <v>42514</v>
      </c>
      <c r="X67" s="10">
        <v>77.069999999999993</v>
      </c>
      <c r="Y67" s="10">
        <v>77.66</v>
      </c>
      <c r="Z67" s="10">
        <v>76.92</v>
      </c>
      <c r="AA67" s="10">
        <v>77.459999999999994</v>
      </c>
      <c r="AB67" s="95">
        <v>1674500</v>
      </c>
      <c r="AC67" s="10">
        <v>77</v>
      </c>
      <c r="AD67" s="2">
        <f>Y67-Z67</f>
        <v>0.73999999999999488</v>
      </c>
      <c r="AE67" s="138" t="e">
        <f>AC67/#REF!-1</f>
        <v>#REF!</v>
      </c>
    </row>
    <row r="68" spans="1:31" x14ac:dyDescent="0.25">
      <c r="A68" s="385"/>
      <c r="B68" s="384">
        <v>42548</v>
      </c>
      <c r="C68" s="385">
        <v>25</v>
      </c>
      <c r="D68" s="386">
        <v>73.58</v>
      </c>
      <c r="E68" s="386">
        <v>0</v>
      </c>
      <c r="F68" s="386">
        <f>D68*C68+E68</f>
        <v>1839.5</v>
      </c>
      <c r="G68" s="384">
        <v>42580</v>
      </c>
      <c r="H68" s="389">
        <v>40</v>
      </c>
      <c r="I68" s="386">
        <v>83.33</v>
      </c>
      <c r="J68" s="386">
        <v>7.0000000000000007E-2</v>
      </c>
      <c r="K68" s="386">
        <f t="shared" si="24"/>
        <v>3333.1299999999997</v>
      </c>
      <c r="L68" s="385"/>
      <c r="M68" s="385"/>
      <c r="W68" s="133">
        <v>42513</v>
      </c>
      <c r="X68" s="10">
        <v>77.27</v>
      </c>
      <c r="Y68" s="10">
        <v>77.62</v>
      </c>
      <c r="Z68" s="10">
        <v>76.73</v>
      </c>
      <c r="AA68" s="10">
        <v>76.739999999999995</v>
      </c>
      <c r="AB68" s="95">
        <v>2032500</v>
      </c>
      <c r="AC68" s="10">
        <v>76.28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5"/>
      <c r="B69" s="384"/>
      <c r="C69" s="385"/>
      <c r="D69" s="386"/>
      <c r="E69" s="386"/>
      <c r="F69" s="386"/>
      <c r="G69" s="385"/>
      <c r="H69" s="389"/>
      <c r="I69" s="386"/>
      <c r="J69" s="386"/>
      <c r="K69" s="386"/>
      <c r="L69" s="385"/>
      <c r="M69" s="38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5"/>
      <c r="B70" s="385"/>
      <c r="C70" s="385"/>
      <c r="D70" s="386"/>
      <c r="E70" s="386"/>
      <c r="F70" s="386"/>
      <c r="G70" s="385"/>
      <c r="H70" s="389"/>
      <c r="I70" s="386"/>
      <c r="J70" s="386"/>
      <c r="K70" s="386"/>
      <c r="L70" s="385"/>
      <c r="M70" s="385"/>
    </row>
    <row r="71" spans="1:31" x14ac:dyDescent="0.25">
      <c r="A71" s="385"/>
      <c r="B71" s="385"/>
      <c r="C71" s="385"/>
      <c r="D71" s="386"/>
      <c r="E71" s="386"/>
      <c r="F71" s="386"/>
      <c r="G71" s="385"/>
      <c r="H71" s="389"/>
      <c r="I71" s="386"/>
      <c r="J71" s="386"/>
      <c r="K71" s="386"/>
      <c r="L71" s="385"/>
      <c r="M71" s="385"/>
    </row>
    <row r="72" spans="1:31" x14ac:dyDescent="0.25">
      <c r="A72" s="385"/>
      <c r="B72" s="385"/>
      <c r="C72" s="385"/>
      <c r="D72" s="386"/>
      <c r="E72" s="386"/>
      <c r="F72" s="386"/>
      <c r="G72" s="385"/>
      <c r="H72" s="389"/>
      <c r="I72" s="386"/>
      <c r="J72" s="386"/>
      <c r="K72" s="386"/>
      <c r="L72" s="385"/>
      <c r="M72" s="385"/>
    </row>
    <row r="73" spans="1:31" x14ac:dyDescent="0.25">
      <c r="A73" s="385"/>
      <c r="B73" s="385"/>
      <c r="C73" s="385"/>
      <c r="D73" s="386"/>
      <c r="E73" s="386"/>
      <c r="F73" s="386"/>
      <c r="G73" s="385"/>
      <c r="H73" s="389"/>
      <c r="I73" s="386"/>
      <c r="J73" s="386"/>
      <c r="K73" s="386"/>
      <c r="L73" s="385"/>
      <c r="M73" s="385"/>
    </row>
    <row r="74" spans="1:31" x14ac:dyDescent="0.25">
      <c r="A74" s="385"/>
      <c r="B74" s="385"/>
      <c r="C74" s="385"/>
      <c r="D74" s="386"/>
      <c r="E74" s="386"/>
      <c r="F74" s="386"/>
      <c r="G74" s="385"/>
      <c r="H74" s="389"/>
      <c r="I74" s="386"/>
      <c r="J74" s="386"/>
      <c r="K74" s="386"/>
      <c r="L74" s="385"/>
      <c r="M74" s="385"/>
    </row>
    <row r="75" spans="1:31" x14ac:dyDescent="0.25">
      <c r="A75" s="385"/>
      <c r="B75" s="385"/>
      <c r="C75" s="385"/>
      <c r="D75" s="386"/>
      <c r="E75" s="386"/>
      <c r="F75" s="386"/>
      <c r="G75" s="385"/>
      <c r="H75" s="389"/>
      <c r="I75" s="386"/>
      <c r="J75" s="386"/>
      <c r="K75" s="386"/>
      <c r="L75" s="385"/>
      <c r="M75" s="385"/>
    </row>
    <row r="76" spans="1:31" x14ac:dyDescent="0.25">
      <c r="A76" s="385"/>
      <c r="B76" s="385"/>
      <c r="C76" s="385"/>
      <c r="D76" s="386"/>
      <c r="E76" s="386"/>
      <c r="F76" s="386"/>
      <c r="G76" s="385"/>
      <c r="H76" s="389"/>
      <c r="I76" s="386"/>
      <c r="J76" s="386"/>
      <c r="K76" s="386"/>
      <c r="L76" s="385"/>
      <c r="M76" s="385"/>
    </row>
    <row r="77" spans="1:31" x14ac:dyDescent="0.25">
      <c r="A77" s="385"/>
      <c r="B77" s="385"/>
      <c r="C77" s="385"/>
      <c r="D77" s="386"/>
      <c r="E77" s="386"/>
      <c r="F77" s="386"/>
      <c r="G77" s="385"/>
      <c r="H77" s="389"/>
      <c r="I77" s="386"/>
      <c r="J77" s="386"/>
      <c r="K77" s="386"/>
      <c r="L77" s="385"/>
      <c r="M77" s="385"/>
    </row>
    <row r="78" spans="1:31" x14ac:dyDescent="0.25">
      <c r="A78" s="385"/>
      <c r="B78" s="385"/>
      <c r="C78" s="385"/>
      <c r="D78" s="386"/>
      <c r="E78" s="386"/>
      <c r="F78" s="386"/>
      <c r="G78" s="385"/>
      <c r="H78" s="389"/>
      <c r="I78" s="386"/>
      <c r="J78" s="386"/>
      <c r="K78" s="386"/>
      <c r="L78" s="385"/>
      <c r="M78" s="385"/>
    </row>
    <row r="79" spans="1:31" x14ac:dyDescent="0.25">
      <c r="A79" s="385"/>
      <c r="B79" s="385"/>
      <c r="C79" s="385"/>
      <c r="D79" s="386"/>
      <c r="E79" s="386"/>
      <c r="F79" s="386"/>
      <c r="G79" s="385"/>
      <c r="H79" s="389"/>
      <c r="I79" s="386"/>
      <c r="J79" s="386"/>
      <c r="K79" s="386"/>
      <c r="L79" s="385"/>
      <c r="M79" s="385"/>
    </row>
    <row r="80" spans="1:31" x14ac:dyDescent="0.25">
      <c r="A80" s="385"/>
      <c r="B80" s="385"/>
      <c r="C80" s="385"/>
      <c r="D80" s="386"/>
      <c r="E80" s="386"/>
      <c r="F80" s="386"/>
      <c r="G80" s="385"/>
      <c r="H80" s="389"/>
      <c r="I80" s="386"/>
      <c r="J80" s="386"/>
      <c r="K80" s="386"/>
      <c r="L80" s="385"/>
      <c r="M80" s="385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8" t="s">
        <v>204</v>
      </c>
      <c r="B82" s="499"/>
      <c r="C82" s="500">
        <f>SumByColor($A$19,C65:C80)</f>
        <v>0</v>
      </c>
      <c r="D82" s="500"/>
      <c r="E82" s="500"/>
      <c r="F82" s="501">
        <f>SumByColor($A$19,F65:F80)</f>
        <v>0</v>
      </c>
      <c r="G82" s="500"/>
      <c r="H82" s="500">
        <f>SumByColor($A$19,H65:H80)</f>
        <v>0</v>
      </c>
      <c r="I82" s="500"/>
      <c r="J82" s="500"/>
      <c r="K82" s="501">
        <f>SumByColor($A$19,K65:K80)</f>
        <v>0</v>
      </c>
      <c r="L82" s="500"/>
      <c r="M82" s="501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55" activePane="bottomLeft" state="frozen"/>
      <selection activeCell="A2" sqref="A2"/>
      <selection pane="bottomLeft" activeCell="K67" sqref="K67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7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42606</v>
      </c>
      <c r="X2" s="10">
        <v>36.630000000000003</v>
      </c>
      <c r="Y2" s="10">
        <v>37.049999999999997</v>
      </c>
      <c r="Z2" s="10">
        <v>36.47</v>
      </c>
      <c r="AA2" s="10">
        <v>36.770000000000003</v>
      </c>
      <c r="AB2" s="95">
        <v>7544700</v>
      </c>
      <c r="AC2" s="10">
        <v>36.770000000000003</v>
      </c>
      <c r="AD2" s="2">
        <f>Y2-Z2</f>
        <v>0.57999999999999829</v>
      </c>
      <c r="AE2" s="138">
        <f>AC2/AC3-1</f>
        <v>2.1804306350505787E-3</v>
      </c>
    </row>
    <row r="3" spans="1:31" x14ac:dyDescent="0.25">
      <c r="A3" s="23" t="s">
        <v>71</v>
      </c>
      <c r="B3" s="47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350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290</v>
      </c>
      <c r="W3" s="133">
        <v>42605</v>
      </c>
      <c r="X3" s="10">
        <v>36.78</v>
      </c>
      <c r="Y3" s="10">
        <v>37.130000000000003</v>
      </c>
      <c r="Z3" s="10">
        <v>36.619999999999997</v>
      </c>
      <c r="AA3" s="10">
        <v>36.69</v>
      </c>
      <c r="AB3" s="95">
        <v>7588400</v>
      </c>
      <c r="AC3" s="10">
        <v>36.69</v>
      </c>
      <c r="AD3" s="2">
        <f t="shared" ref="AD3:AD66" si="1">Y3-Z3</f>
        <v>0.51000000000000512</v>
      </c>
      <c r="AE3" s="138">
        <f t="shared" ref="AE3:AE66" si="2">AC3/AC4-1</f>
        <v>2.1851953018301451E-3</v>
      </c>
    </row>
    <row r="4" spans="1:31" x14ac:dyDescent="0.25">
      <c r="B4" s="47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351</v>
      </c>
      <c r="M4" s="4"/>
      <c r="O4" s="11" t="s">
        <v>66</v>
      </c>
      <c r="Q4" s="201">
        <v>36.770000000000003</v>
      </c>
      <c r="T4" s="163">
        <v>42568</v>
      </c>
      <c r="U4" t="s">
        <v>307</v>
      </c>
      <c r="W4" s="133">
        <v>42604</v>
      </c>
      <c r="X4" s="10">
        <v>36.53</v>
      </c>
      <c r="Y4" s="10">
        <v>36.74</v>
      </c>
      <c r="Z4" s="10">
        <v>36.07</v>
      </c>
      <c r="AA4" s="10">
        <v>36.61</v>
      </c>
      <c r="AB4" s="95">
        <v>11186100</v>
      </c>
      <c r="AC4" s="10">
        <v>36.61</v>
      </c>
      <c r="AD4" s="2">
        <f t="shared" si="1"/>
        <v>0.67000000000000171</v>
      </c>
      <c r="AE4" s="138">
        <f t="shared" si="2"/>
        <v>-4.3513734022301298E-3</v>
      </c>
    </row>
    <row r="5" spans="1:31" x14ac:dyDescent="0.25">
      <c r="B5" s="47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14708.000000000002</v>
      </c>
      <c r="W5" s="133">
        <v>42601</v>
      </c>
      <c r="X5" s="10">
        <v>36.81</v>
      </c>
      <c r="Y5" s="10">
        <v>36.979999999999997</v>
      </c>
      <c r="Z5" s="10">
        <v>36.369999999999997</v>
      </c>
      <c r="AA5" s="10">
        <v>36.770000000000003</v>
      </c>
      <c r="AB5" s="95">
        <v>7579600</v>
      </c>
      <c r="AC5" s="10">
        <v>36.770000000000003</v>
      </c>
      <c r="AD5" s="2">
        <f t="shared" si="1"/>
        <v>0.60999999999999943</v>
      </c>
      <c r="AE5" s="138">
        <f t="shared" si="2"/>
        <v>-8.0927974103047751E-3</v>
      </c>
    </row>
    <row r="6" spans="1:31" x14ac:dyDescent="0.25">
      <c r="B6" s="47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6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42600</v>
      </c>
      <c r="X6" s="10">
        <v>37.369999999999997</v>
      </c>
      <c r="Y6" s="10">
        <v>37.43</v>
      </c>
      <c r="Z6" s="10">
        <v>36.85</v>
      </c>
      <c r="AA6" s="10">
        <v>37.07</v>
      </c>
      <c r="AB6" s="95">
        <v>12103300</v>
      </c>
      <c r="AC6" s="10">
        <v>37.07</v>
      </c>
      <c r="AD6" s="2">
        <f t="shared" si="1"/>
        <v>0.57999999999999829</v>
      </c>
      <c r="AE6" s="138">
        <f t="shared" si="2"/>
        <v>-1.1730205278592365E-2</v>
      </c>
    </row>
    <row r="7" spans="1:31" x14ac:dyDescent="0.25">
      <c r="B7" s="477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98.179999999998017</v>
      </c>
      <c r="R7">
        <v>300</v>
      </c>
      <c r="W7" s="133">
        <v>42599</v>
      </c>
      <c r="X7" s="10">
        <v>37.03</v>
      </c>
      <c r="Y7" s="10">
        <v>37.53</v>
      </c>
      <c r="Z7" s="10">
        <v>36.71</v>
      </c>
      <c r="AA7" s="10">
        <v>37.51</v>
      </c>
      <c r="AB7" s="95">
        <v>10427900</v>
      </c>
      <c r="AC7" s="10">
        <v>37.51</v>
      </c>
      <c r="AD7" s="2">
        <f t="shared" si="1"/>
        <v>0.82000000000000028</v>
      </c>
      <c r="AE7" s="138">
        <f t="shared" si="2"/>
        <v>1.5430427720628082E-2</v>
      </c>
    </row>
    <row r="8" spans="1:31" x14ac:dyDescent="0.25">
      <c r="B8" s="477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7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-106.84000000000196</v>
      </c>
      <c r="R8" s="434"/>
      <c r="W8" s="133">
        <v>42598</v>
      </c>
      <c r="X8" s="10">
        <v>36.81</v>
      </c>
      <c r="Y8" s="10">
        <v>37.31</v>
      </c>
      <c r="Z8" s="10">
        <v>36.79</v>
      </c>
      <c r="AA8" s="10">
        <v>36.94</v>
      </c>
      <c r="AB8" s="95">
        <v>9253500</v>
      </c>
      <c r="AC8" s="10">
        <v>36.94</v>
      </c>
      <c r="AD8" s="2">
        <f t="shared" si="1"/>
        <v>0.52000000000000313</v>
      </c>
      <c r="AE8" s="138">
        <f t="shared" si="2"/>
        <v>5.4171180931739116E-4</v>
      </c>
    </row>
    <row r="9" spans="1:31" x14ac:dyDescent="0.25">
      <c r="B9" s="477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9"/>
      <c r="H9" s="7"/>
      <c r="I9" s="44"/>
      <c r="J9" s="44"/>
      <c r="K9" s="44"/>
      <c r="L9" s="4"/>
      <c r="M9" s="4"/>
      <c r="O9" s="11" t="s">
        <v>225</v>
      </c>
      <c r="Q9" s="138">
        <f>IF(Q2=0, 0, Q8/Q6)</f>
        <v>-7.2116877401309726E-3</v>
      </c>
      <c r="W9" s="133">
        <v>42597</v>
      </c>
      <c r="X9" s="10">
        <v>36.35</v>
      </c>
      <c r="Y9" s="10">
        <v>37.049999999999997</v>
      </c>
      <c r="Z9" s="10">
        <v>35.840000000000003</v>
      </c>
      <c r="AA9" s="10">
        <v>36.92</v>
      </c>
      <c r="AB9" s="95">
        <v>10784600</v>
      </c>
      <c r="AC9" s="10">
        <v>36.92</v>
      </c>
      <c r="AD9" s="2">
        <f t="shared" si="1"/>
        <v>1.2099999999999937</v>
      </c>
      <c r="AE9" s="138">
        <f t="shared" si="2"/>
        <v>1.5680880330123825E-2</v>
      </c>
    </row>
    <row r="10" spans="1:31" x14ac:dyDescent="0.25">
      <c r="B10" s="477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7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224</v>
      </c>
      <c r="P10" s="34"/>
      <c r="Q10" s="2">
        <f>M82</f>
        <v>205.01999999999998</v>
      </c>
      <c r="W10" s="133">
        <v>42594</v>
      </c>
      <c r="X10" s="10">
        <v>36.68</v>
      </c>
      <c r="Y10" s="10">
        <v>36.74</v>
      </c>
      <c r="Z10" s="10">
        <v>36.26</v>
      </c>
      <c r="AA10" s="10">
        <v>36.35</v>
      </c>
      <c r="AB10" s="95">
        <v>7700600</v>
      </c>
      <c r="AC10" s="10">
        <v>36.35</v>
      </c>
      <c r="AD10" s="2">
        <f t="shared" si="1"/>
        <v>0.48000000000000398</v>
      </c>
      <c r="AE10" s="138">
        <f t="shared" si="2"/>
        <v>-9.5367847411444995E-3</v>
      </c>
    </row>
    <row r="11" spans="1:31" x14ac:dyDescent="0.25">
      <c r="B11" s="477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7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2.1999999999999999E-2</v>
      </c>
      <c r="W11" s="133">
        <v>42593</v>
      </c>
      <c r="X11" s="10">
        <v>36.58</v>
      </c>
      <c r="Y11" s="10">
        <v>37.049999999999997</v>
      </c>
      <c r="Z11" s="10">
        <v>36.28</v>
      </c>
      <c r="AA11" s="10">
        <v>36.700000000000003</v>
      </c>
      <c r="AB11" s="95">
        <v>7537900</v>
      </c>
      <c r="AC11" s="10">
        <v>36.700000000000003</v>
      </c>
      <c r="AD11" s="2">
        <f t="shared" si="1"/>
        <v>0.76999999999999602</v>
      </c>
      <c r="AE11" s="138">
        <f t="shared" si="2"/>
        <v>6.0307017543861363E-3</v>
      </c>
    </row>
    <row r="12" spans="1:31" x14ac:dyDescent="0.25">
      <c r="B12" s="477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7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42592</v>
      </c>
      <c r="X12" s="10">
        <v>37</v>
      </c>
      <c r="Y12" s="10">
        <v>37.119999999999997</v>
      </c>
      <c r="Z12" s="10">
        <v>36.24</v>
      </c>
      <c r="AA12" s="10">
        <v>36.479999999999997</v>
      </c>
      <c r="AB12" s="95">
        <v>9604700</v>
      </c>
      <c r="AC12" s="10">
        <v>36.479999999999997</v>
      </c>
      <c r="AD12" s="2">
        <f t="shared" si="1"/>
        <v>0.87999999999999545</v>
      </c>
      <c r="AE12" s="138" t="e">
        <f t="shared" si="2"/>
        <v>#DIV/0!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42592</v>
      </c>
      <c r="X13" s="10" t="s">
        <v>358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42591</v>
      </c>
      <c r="X14" s="10">
        <v>37.75</v>
      </c>
      <c r="Y14" s="10">
        <v>38.06</v>
      </c>
      <c r="Z14" s="10">
        <v>37.14</v>
      </c>
      <c r="AA14" s="10">
        <v>37.15</v>
      </c>
      <c r="AB14" s="95">
        <v>8392000</v>
      </c>
      <c r="AC14" s="10">
        <v>36.950000000000003</v>
      </c>
      <c r="AD14" s="2">
        <f t="shared" si="1"/>
        <v>0.92000000000000171</v>
      </c>
      <c r="AE14" s="138">
        <f t="shared" si="2"/>
        <v>-7.7873254564984062E-3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42590</v>
      </c>
      <c r="X15" s="10">
        <v>37.46</v>
      </c>
      <c r="Y15" s="10">
        <v>38.24</v>
      </c>
      <c r="Z15" s="10">
        <v>37.36</v>
      </c>
      <c r="AA15" s="10">
        <v>37.44</v>
      </c>
      <c r="AB15" s="95">
        <v>10029100</v>
      </c>
      <c r="AC15" s="10">
        <v>37.24</v>
      </c>
      <c r="AD15" s="2">
        <f t="shared" si="1"/>
        <v>0.88000000000000256</v>
      </c>
      <c r="AE15" s="138">
        <f t="shared" si="2"/>
        <v>-5.8729311265349748E-3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42587</v>
      </c>
      <c r="X16" s="10">
        <v>36.979999999999997</v>
      </c>
      <c r="Y16" s="10">
        <v>37.729999999999997</v>
      </c>
      <c r="Z16" s="10">
        <v>36.86</v>
      </c>
      <c r="AA16" s="10">
        <v>37.67</v>
      </c>
      <c r="AB16" s="95">
        <v>8097500</v>
      </c>
      <c r="AC16" s="10">
        <v>37.46</v>
      </c>
      <c r="AD16" s="2">
        <f t="shared" si="1"/>
        <v>0.86999999999999744</v>
      </c>
      <c r="AE16" s="138">
        <f t="shared" si="2"/>
        <v>3.0820033021463855E-2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42586</v>
      </c>
      <c r="X17" s="10">
        <v>36.520000000000003</v>
      </c>
      <c r="Y17" s="10">
        <v>36.68</v>
      </c>
      <c r="Z17" s="10">
        <v>36.020000000000003</v>
      </c>
      <c r="AA17" s="10">
        <v>36.54</v>
      </c>
      <c r="AB17" s="95">
        <v>8825300</v>
      </c>
      <c r="AC17" s="10">
        <v>36.340000000000003</v>
      </c>
      <c r="AD17" s="2">
        <f t="shared" si="1"/>
        <v>0.65999999999999659</v>
      </c>
      <c r="AE17" s="138">
        <f t="shared" si="2"/>
        <v>1.6538037486217849E-3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42585</v>
      </c>
      <c r="X18" s="10">
        <v>36.380000000000003</v>
      </c>
      <c r="Y18" s="10">
        <v>36.869999999999997</v>
      </c>
      <c r="Z18" s="10">
        <v>36.17</v>
      </c>
      <c r="AA18" s="10">
        <v>36.479999999999997</v>
      </c>
      <c r="AB18" s="95">
        <v>10994100</v>
      </c>
      <c r="AC18" s="10">
        <v>36.28</v>
      </c>
      <c r="AD18" s="2">
        <f t="shared" si="1"/>
        <v>0.69999999999999574</v>
      </c>
      <c r="AE18" s="138">
        <f t="shared" si="2"/>
        <v>2.4868748273003671E-3</v>
      </c>
    </row>
    <row r="19" spans="1:31" x14ac:dyDescent="0.25">
      <c r="W19" s="133">
        <v>42584</v>
      </c>
      <c r="X19" s="10">
        <v>38.82</v>
      </c>
      <c r="Y19" s="10">
        <v>38.85</v>
      </c>
      <c r="Z19" s="10">
        <v>36.29</v>
      </c>
      <c r="AA19" s="10">
        <v>36.39</v>
      </c>
      <c r="AB19" s="95">
        <v>19993500</v>
      </c>
      <c r="AC19" s="10">
        <v>36.19</v>
      </c>
      <c r="AD19" s="2">
        <f t="shared" si="1"/>
        <v>2.5600000000000023</v>
      </c>
      <c r="AE19" s="138">
        <f t="shared" si="2"/>
        <v>-7.8196637799286872E-2</v>
      </c>
    </row>
    <row r="20" spans="1:31" x14ac:dyDescent="0.25">
      <c r="W20" s="133">
        <v>42583</v>
      </c>
      <c r="X20" s="10">
        <v>38.92</v>
      </c>
      <c r="Y20" s="10">
        <v>39.51</v>
      </c>
      <c r="Z20" s="10">
        <v>38.78</v>
      </c>
      <c r="AA20" s="10">
        <v>39.479999999999997</v>
      </c>
      <c r="AB20" s="95">
        <v>8965300</v>
      </c>
      <c r="AC20" s="10">
        <v>39.26</v>
      </c>
      <c r="AD20" s="2">
        <f t="shared" si="1"/>
        <v>0.72999999999999687</v>
      </c>
      <c r="AE20" s="138">
        <f t="shared" si="2"/>
        <v>1.8681888946548986E-2</v>
      </c>
    </row>
    <row r="21" spans="1:31" x14ac:dyDescent="0.25">
      <c r="W21" s="133">
        <v>42580</v>
      </c>
      <c r="X21" s="10">
        <v>39.369999999999997</v>
      </c>
      <c r="Y21" s="10">
        <v>39.9</v>
      </c>
      <c r="Z21" s="10">
        <v>38.74</v>
      </c>
      <c r="AA21" s="10">
        <v>38.75</v>
      </c>
      <c r="AB21" s="95">
        <v>10468200</v>
      </c>
      <c r="AC21" s="10">
        <v>38.54</v>
      </c>
      <c r="AD21" s="2">
        <f t="shared" si="1"/>
        <v>1.1599999999999966</v>
      </c>
      <c r="AE21" s="138">
        <f t="shared" si="2"/>
        <v>-1.5329586101175297E-2</v>
      </c>
    </row>
    <row r="22" spans="1:31" x14ac:dyDescent="0.25">
      <c r="W22" s="133">
        <v>42579</v>
      </c>
      <c r="X22" s="10">
        <v>38.5</v>
      </c>
      <c r="Y22" s="10">
        <v>39.54</v>
      </c>
      <c r="Z22" s="10">
        <v>38.25</v>
      </c>
      <c r="AA22" s="10">
        <v>39.36</v>
      </c>
      <c r="AB22" s="95">
        <v>7354100</v>
      </c>
      <c r="AC22" s="10">
        <v>39.14</v>
      </c>
      <c r="AD22" s="2">
        <f t="shared" si="1"/>
        <v>1.2899999999999991</v>
      </c>
      <c r="AE22" s="138">
        <f t="shared" si="2"/>
        <v>2.1132272371510608E-2</v>
      </c>
    </row>
    <row r="23" spans="1:31" x14ac:dyDescent="0.25">
      <c r="W23" s="133">
        <v>42578</v>
      </c>
      <c r="X23" s="10">
        <v>38.880000000000003</v>
      </c>
      <c r="Y23" s="10">
        <v>38.92</v>
      </c>
      <c r="Z23" s="10">
        <v>38.5</v>
      </c>
      <c r="AA23" s="10">
        <v>38.54</v>
      </c>
      <c r="AB23" s="95">
        <v>8671900</v>
      </c>
      <c r="AC23" s="10">
        <v>38.33</v>
      </c>
      <c r="AD23" s="2">
        <f t="shared" si="1"/>
        <v>0.42000000000000171</v>
      </c>
      <c r="AE23" s="138">
        <f t="shared" si="2"/>
        <v>-1.2622359608449263E-2</v>
      </c>
    </row>
    <row r="24" spans="1:31" x14ac:dyDescent="0.25">
      <c r="W24" s="133">
        <v>42577</v>
      </c>
      <c r="X24" s="10">
        <v>38.97</v>
      </c>
      <c r="Y24" s="10">
        <v>39.33</v>
      </c>
      <c r="Z24" s="10">
        <v>38.61</v>
      </c>
      <c r="AA24" s="10">
        <v>39.03</v>
      </c>
      <c r="AB24" s="95">
        <v>9038700</v>
      </c>
      <c r="AC24" s="10">
        <v>38.82</v>
      </c>
      <c r="AD24" s="2">
        <f t="shared" si="1"/>
        <v>0.71999999999999886</v>
      </c>
      <c r="AE24" s="138">
        <f t="shared" si="2"/>
        <v>1.8064516129032704E-3</v>
      </c>
    </row>
    <row r="25" spans="1:31" x14ac:dyDescent="0.25">
      <c r="W25" s="133">
        <v>42576</v>
      </c>
      <c r="X25" s="10">
        <v>39.17</v>
      </c>
      <c r="Y25" s="10">
        <v>39.26</v>
      </c>
      <c r="Z25" s="10">
        <v>38.549999999999997</v>
      </c>
      <c r="AA25" s="10">
        <v>38.96</v>
      </c>
      <c r="AB25" s="95">
        <v>7160500</v>
      </c>
      <c r="AC25" s="10">
        <v>38.75</v>
      </c>
      <c r="AD25" s="2">
        <f t="shared" si="1"/>
        <v>0.71000000000000085</v>
      </c>
      <c r="AE25" s="138">
        <f t="shared" si="2"/>
        <v>0</v>
      </c>
    </row>
    <row r="26" spans="1:31" x14ac:dyDescent="0.25">
      <c r="W26" s="133">
        <v>42573</v>
      </c>
      <c r="X26" s="10">
        <v>39.07</v>
      </c>
      <c r="Y26" s="10">
        <v>39.19</v>
      </c>
      <c r="Z26" s="10">
        <v>38.43</v>
      </c>
      <c r="AA26" s="10">
        <v>38.96</v>
      </c>
      <c r="AB26" s="95">
        <v>9579300</v>
      </c>
      <c r="AC26" s="10">
        <v>38.75</v>
      </c>
      <c r="AD26" s="2">
        <f t="shared" si="1"/>
        <v>0.75999999999999801</v>
      </c>
      <c r="AE26" s="138">
        <f t="shared" si="2"/>
        <v>1.1485251892456194E-2</v>
      </c>
    </row>
    <row r="27" spans="1:31" x14ac:dyDescent="0.25">
      <c r="W27" s="133">
        <v>42572</v>
      </c>
      <c r="X27" s="10">
        <v>39.11</v>
      </c>
      <c r="Y27" s="10">
        <v>39.26</v>
      </c>
      <c r="Z27" s="10">
        <v>38.270000000000003</v>
      </c>
      <c r="AA27" s="10">
        <v>38.520000000000003</v>
      </c>
      <c r="AB27" s="95">
        <v>17399700</v>
      </c>
      <c r="AC27" s="10">
        <v>38.31</v>
      </c>
      <c r="AD27" s="2">
        <f t="shared" si="1"/>
        <v>0.98999999999999488</v>
      </c>
      <c r="AE27" s="138">
        <f t="shared" si="2"/>
        <v>-4.2010502625656421E-2</v>
      </c>
    </row>
    <row r="28" spans="1:31" x14ac:dyDescent="0.25">
      <c r="H28" s="72"/>
      <c r="W28" s="133">
        <v>42571</v>
      </c>
      <c r="X28" s="10">
        <v>40.69</v>
      </c>
      <c r="Y28" s="10">
        <v>41.22</v>
      </c>
      <c r="Z28" s="10">
        <v>39.94</v>
      </c>
      <c r="AA28" s="10">
        <v>40.21</v>
      </c>
      <c r="AB28" s="95">
        <v>9541900</v>
      </c>
      <c r="AC28" s="10">
        <v>39.99</v>
      </c>
      <c r="AD28" s="2">
        <f t="shared" si="1"/>
        <v>1.2800000000000011</v>
      </c>
      <c r="AE28" s="138">
        <f t="shared" si="2"/>
        <v>-7.9384768047631171E-3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42570</v>
      </c>
      <c r="X29" s="10">
        <v>39.880000000000003</v>
      </c>
      <c r="Y29" s="10">
        <v>40.58</v>
      </c>
      <c r="Z29" s="10">
        <v>39.5</v>
      </c>
      <c r="AA29" s="10">
        <v>40.53</v>
      </c>
      <c r="AB29" s="95">
        <v>9297000</v>
      </c>
      <c r="AC29" s="10">
        <v>40.31</v>
      </c>
      <c r="AD29" s="2">
        <f t="shared" si="1"/>
        <v>1.0799999999999983</v>
      </c>
      <c r="AE29" s="138">
        <f t="shared" si="2"/>
        <v>1.0782347041123463E-2</v>
      </c>
    </row>
    <row r="30" spans="1:31" ht="15.75" thickBot="1" x14ac:dyDescent="0.3">
      <c r="A30" s="360" t="s">
        <v>204</v>
      </c>
      <c r="B30" s="361"/>
      <c r="C30" s="362">
        <f>SumByColor($A$30,C2:C28)</f>
        <v>650</v>
      </c>
      <c r="D30" s="362"/>
      <c r="E30" s="362"/>
      <c r="F30" s="363">
        <f>SumByColor($A$30,F2:F28)</f>
        <v>26193</v>
      </c>
      <c r="G30" s="362"/>
      <c r="H30" s="362">
        <f>SumByColor($A$30,H3:H28)</f>
        <v>650</v>
      </c>
      <c r="I30" s="362"/>
      <c r="J30" s="362"/>
      <c r="K30" s="363">
        <f>SumByColor($A$30,K3:K28)</f>
        <v>26492</v>
      </c>
      <c r="L30" s="362"/>
      <c r="M30" s="363">
        <f>SumByColor($A$30,M2:M28)</f>
        <v>0</v>
      </c>
      <c r="W30" s="133">
        <v>42569</v>
      </c>
      <c r="X30" s="10">
        <v>40.17</v>
      </c>
      <c r="Y30" s="10">
        <v>40.520000000000003</v>
      </c>
      <c r="Z30" s="10">
        <v>40.06</v>
      </c>
      <c r="AA30" s="10">
        <v>40.1</v>
      </c>
      <c r="AB30" s="95">
        <v>8285500</v>
      </c>
      <c r="AC30" s="10">
        <v>39.880000000000003</v>
      </c>
      <c r="AD30" s="2">
        <f t="shared" si="1"/>
        <v>0.46000000000000085</v>
      </c>
      <c r="AE30" s="138">
        <f t="shared" si="2"/>
        <v>3.0181086519116551E-3</v>
      </c>
    </row>
    <row r="31" spans="1:31" x14ac:dyDescent="0.25">
      <c r="W31" s="133">
        <v>42566</v>
      </c>
      <c r="X31" s="10">
        <v>40.46</v>
      </c>
      <c r="Y31" s="10">
        <v>40.54</v>
      </c>
      <c r="Z31" s="10">
        <v>39.71</v>
      </c>
      <c r="AA31" s="10">
        <v>39.979999999999997</v>
      </c>
      <c r="AB31" s="95">
        <v>15192400</v>
      </c>
      <c r="AC31" s="10">
        <v>39.76</v>
      </c>
      <c r="AD31" s="2">
        <f t="shared" si="1"/>
        <v>0.82999999999999829</v>
      </c>
      <c r="AE31" s="138">
        <f t="shared" si="2"/>
        <v>-2.4533856722276703E-2</v>
      </c>
    </row>
    <row r="32" spans="1:31" x14ac:dyDescent="0.25">
      <c r="W32" s="133">
        <v>42565</v>
      </c>
      <c r="X32" s="10">
        <v>40.33</v>
      </c>
      <c r="Y32" s="10">
        <v>41.35</v>
      </c>
      <c r="Z32" s="10">
        <v>40.159999999999997</v>
      </c>
      <c r="AA32" s="10">
        <v>40.98</v>
      </c>
      <c r="AB32" s="95">
        <v>18543000</v>
      </c>
      <c r="AC32" s="10">
        <v>40.76</v>
      </c>
      <c r="AD32" s="2">
        <f t="shared" si="1"/>
        <v>1.1900000000000048</v>
      </c>
      <c r="AE32" s="138">
        <f t="shared" si="2"/>
        <v>3.6095577020843761E-2</v>
      </c>
    </row>
    <row r="33" spans="2:31" x14ac:dyDescent="0.25">
      <c r="W33" s="133">
        <v>42564</v>
      </c>
      <c r="X33" s="10">
        <v>40.5</v>
      </c>
      <c r="Y33" s="10">
        <v>40.6</v>
      </c>
      <c r="Z33" s="10">
        <v>39.42</v>
      </c>
      <c r="AA33" s="10">
        <v>39.56</v>
      </c>
      <c r="AB33" s="95">
        <v>13885600</v>
      </c>
      <c r="AC33" s="10">
        <v>39.340000000000003</v>
      </c>
      <c r="AD33" s="2">
        <f t="shared" si="1"/>
        <v>1.1799999999999997</v>
      </c>
      <c r="AE33" s="138">
        <f t="shared" si="2"/>
        <v>-1.625406351587888E-2</v>
      </c>
    </row>
    <row r="34" spans="2:31" x14ac:dyDescent="0.25">
      <c r="W34" s="133">
        <v>42563</v>
      </c>
      <c r="X34" s="10">
        <v>39.200000000000003</v>
      </c>
      <c r="Y34" s="10">
        <v>40.409999999999997</v>
      </c>
      <c r="Z34" s="10">
        <v>39.130000000000003</v>
      </c>
      <c r="AA34" s="10">
        <v>40.21</v>
      </c>
      <c r="AB34" s="95">
        <v>19533000</v>
      </c>
      <c r="AC34" s="10">
        <v>39.99</v>
      </c>
      <c r="AD34" s="2">
        <f t="shared" si="1"/>
        <v>1.279999999999994</v>
      </c>
      <c r="AE34" s="138">
        <f t="shared" si="2"/>
        <v>5.4866789765233515E-2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42562</v>
      </c>
      <c r="X35" s="10">
        <v>37.67</v>
      </c>
      <c r="Y35" s="10">
        <v>38.450000000000003</v>
      </c>
      <c r="Z35" s="10">
        <v>37.6</v>
      </c>
      <c r="AA35" s="10">
        <v>38.119999999999997</v>
      </c>
      <c r="AB35" s="95">
        <v>11994100</v>
      </c>
      <c r="AC35" s="10">
        <v>37.909999999999997</v>
      </c>
      <c r="AD35" s="2">
        <f t="shared" si="1"/>
        <v>0.85000000000000142</v>
      </c>
      <c r="AE35" s="138">
        <f t="shared" si="2"/>
        <v>1.9908528383104418E-2</v>
      </c>
    </row>
    <row r="36" spans="2:31" x14ac:dyDescent="0.25">
      <c r="B36" s="193">
        <v>42524</v>
      </c>
      <c r="C36" s="457">
        <v>200</v>
      </c>
      <c r="D36" s="458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42559</v>
      </c>
      <c r="X36" s="10">
        <v>36.9</v>
      </c>
      <c r="Y36" s="10">
        <v>37.75</v>
      </c>
      <c r="Z36" s="10">
        <v>36.86</v>
      </c>
      <c r="AA36" s="10">
        <v>37.369999999999997</v>
      </c>
      <c r="AB36" s="95">
        <v>12621000</v>
      </c>
      <c r="AC36" s="10">
        <v>37.17</v>
      </c>
      <c r="AD36" s="2">
        <f t="shared" si="1"/>
        <v>0.89000000000000057</v>
      </c>
      <c r="AE36" s="138">
        <f t="shared" si="2"/>
        <v>2.7647221454243809E-2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42558</v>
      </c>
      <c r="X37" s="10">
        <v>35.54</v>
      </c>
      <c r="Y37" s="10">
        <v>36.479999999999997</v>
      </c>
      <c r="Z37" s="10">
        <v>35.5</v>
      </c>
      <c r="AA37" s="10">
        <v>36.369999999999997</v>
      </c>
      <c r="AB37" s="95">
        <v>8775800</v>
      </c>
      <c r="AC37" s="10">
        <v>36.17</v>
      </c>
      <c r="AD37" s="2">
        <f t="shared" si="1"/>
        <v>0.97999999999999687</v>
      </c>
      <c r="AE37" s="138">
        <f t="shared" si="2"/>
        <v>2.2040124328906563E-2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42557</v>
      </c>
      <c r="X38" s="10">
        <v>34.96</v>
      </c>
      <c r="Y38" s="10">
        <v>35.61</v>
      </c>
      <c r="Z38" s="10">
        <v>34.08</v>
      </c>
      <c r="AA38" s="10">
        <v>35.58</v>
      </c>
      <c r="AB38" s="95">
        <v>14540000</v>
      </c>
      <c r="AC38" s="10">
        <v>35.39</v>
      </c>
      <c r="AD38" s="2">
        <f t="shared" si="1"/>
        <v>1.5300000000000011</v>
      </c>
      <c r="AE38" s="138">
        <f t="shared" si="2"/>
        <v>-1.1289867344058679E-3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42556</v>
      </c>
      <c r="X39" s="10">
        <v>36</v>
      </c>
      <c r="Y39" s="10">
        <v>36.24</v>
      </c>
      <c r="Z39" s="10">
        <v>34.78</v>
      </c>
      <c r="AA39" s="10">
        <v>35.619999999999997</v>
      </c>
      <c r="AB39" s="95">
        <v>14239500</v>
      </c>
      <c r="AC39" s="10">
        <v>35.43</v>
      </c>
      <c r="AD39" s="2">
        <f t="shared" si="1"/>
        <v>1.4600000000000009</v>
      </c>
      <c r="AE39" s="138">
        <f t="shared" si="2"/>
        <v>-3.1173092698933536E-2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42552</v>
      </c>
      <c r="X40" s="10">
        <v>36.409999999999997</v>
      </c>
      <c r="Y40" s="10">
        <v>37</v>
      </c>
      <c r="Z40" s="10">
        <v>36.31</v>
      </c>
      <c r="AA40" s="10">
        <v>36.770000000000003</v>
      </c>
      <c r="AB40" s="95">
        <v>9408400</v>
      </c>
      <c r="AC40" s="10">
        <v>36.57</v>
      </c>
      <c r="AD40" s="2">
        <f t="shared" si="1"/>
        <v>0.68999999999999773</v>
      </c>
      <c r="AE40" s="138">
        <f t="shared" si="2"/>
        <v>9.3844879933757674E-3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42551</v>
      </c>
      <c r="X41" s="10">
        <v>36.26</v>
      </c>
      <c r="Y41" s="10">
        <v>36.43</v>
      </c>
      <c r="Z41" s="10">
        <v>35.729999999999997</v>
      </c>
      <c r="AA41" s="10">
        <v>36.43</v>
      </c>
      <c r="AB41" s="95">
        <v>12413700</v>
      </c>
      <c r="AC41" s="10">
        <v>36.229999999999997</v>
      </c>
      <c r="AD41" s="2">
        <f t="shared" si="1"/>
        <v>0.70000000000000284</v>
      </c>
      <c r="AE41" s="138">
        <f t="shared" si="2"/>
        <v>5.2719200887900719E-3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5" t="s">
        <v>78</v>
      </c>
      <c r="P42" s="535"/>
      <c r="Q42" s="2"/>
      <c r="T42" s="91" t="s">
        <v>113</v>
      </c>
      <c r="W42" s="133">
        <v>42550</v>
      </c>
      <c r="X42" s="10">
        <v>35.4</v>
      </c>
      <c r="Y42" s="10">
        <v>36.380000000000003</v>
      </c>
      <c r="Z42" s="10">
        <v>34.909999999999997</v>
      </c>
      <c r="AA42" s="10">
        <v>36.24</v>
      </c>
      <c r="AB42" s="95">
        <v>15059700</v>
      </c>
      <c r="AC42" s="10">
        <v>36.04</v>
      </c>
      <c r="AD42" s="2">
        <f t="shared" si="1"/>
        <v>1.470000000000006</v>
      </c>
      <c r="AE42" s="138">
        <f t="shared" si="2"/>
        <v>4.5243619489559128E-2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40.44700000000001</v>
      </c>
      <c r="Q43" s="2"/>
      <c r="T43" s="128" t="s">
        <v>98</v>
      </c>
      <c r="U43" s="98">
        <v>36.69</v>
      </c>
      <c r="W43" s="133">
        <v>42549</v>
      </c>
      <c r="X43" s="10">
        <v>34.270000000000003</v>
      </c>
      <c r="Y43" s="10">
        <v>34.67</v>
      </c>
      <c r="Z43" s="10">
        <v>33.6</v>
      </c>
      <c r="AA43" s="10">
        <v>34.67</v>
      </c>
      <c r="AB43" s="95">
        <v>19678200</v>
      </c>
      <c r="AC43" s="10">
        <v>34.479999999999997</v>
      </c>
      <c r="AD43" s="2">
        <f t="shared" si="1"/>
        <v>1.0700000000000003</v>
      </c>
      <c r="AE43" s="138">
        <f t="shared" si="2"/>
        <v>3.9180229053646709E-2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40.079300000000003</v>
      </c>
      <c r="Q44" s="2"/>
      <c r="T44" s="93" t="s">
        <v>99</v>
      </c>
      <c r="U44" s="88">
        <v>36.630000000000003</v>
      </c>
      <c r="W44" s="133">
        <v>42548</v>
      </c>
      <c r="X44" s="10">
        <v>34.840000000000003</v>
      </c>
      <c r="Y44" s="10">
        <v>34.94</v>
      </c>
      <c r="Z44" s="10">
        <v>32.6</v>
      </c>
      <c r="AA44" s="10">
        <v>33.36</v>
      </c>
      <c r="AB44" s="95">
        <v>28380600</v>
      </c>
      <c r="AC44" s="10">
        <v>33.18</v>
      </c>
      <c r="AD44" s="2">
        <f t="shared" si="1"/>
        <v>2.3399999999999963</v>
      </c>
      <c r="AE44" s="138">
        <f t="shared" si="2"/>
        <v>-5.1729065447270739E-2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39.711600000000004</v>
      </c>
      <c r="Q45" s="2"/>
      <c r="T45" s="93" t="s">
        <v>100</v>
      </c>
      <c r="U45" s="88" t="s">
        <v>483</v>
      </c>
      <c r="W45" s="133">
        <v>42545</v>
      </c>
      <c r="X45" s="10">
        <v>36.090000000000003</v>
      </c>
      <c r="Y45" s="10">
        <v>37.08</v>
      </c>
      <c r="Z45" s="10">
        <v>35.17</v>
      </c>
      <c r="AA45" s="10">
        <v>35.18</v>
      </c>
      <c r="AB45" s="95">
        <v>26090700</v>
      </c>
      <c r="AC45" s="10">
        <v>34.99</v>
      </c>
      <c r="AD45" s="2">
        <f t="shared" si="1"/>
        <v>1.9099999999999966</v>
      </c>
      <c r="AE45" s="138">
        <f t="shared" si="2"/>
        <v>-8.1627296587926446E-2</v>
      </c>
    </row>
    <row r="46" spans="2:31" x14ac:dyDescent="0.25">
      <c r="B46" s="193">
        <v>42549</v>
      </c>
      <c r="C46" s="461">
        <v>600</v>
      </c>
      <c r="D46" s="462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39.343900000000005</v>
      </c>
      <c r="Q46" s="2"/>
      <c r="T46" s="93" t="s">
        <v>101</v>
      </c>
      <c r="U46" s="88" t="s">
        <v>484</v>
      </c>
      <c r="W46" s="133">
        <v>42544</v>
      </c>
      <c r="X46" s="10">
        <v>39</v>
      </c>
      <c r="Y46" s="10">
        <v>39.07</v>
      </c>
      <c r="Z46" s="10">
        <v>37.729999999999997</v>
      </c>
      <c r="AA46" s="10">
        <v>38.31</v>
      </c>
      <c r="AB46" s="95">
        <v>10956200</v>
      </c>
      <c r="AC46" s="10">
        <v>38.1</v>
      </c>
      <c r="AD46" s="2">
        <f t="shared" si="1"/>
        <v>1.3400000000000034</v>
      </c>
      <c r="AE46" s="138">
        <f t="shared" si="2"/>
        <v>-6.259780907668322E-3</v>
      </c>
    </row>
    <row r="47" spans="2:31" x14ac:dyDescent="0.25">
      <c r="B47" s="193">
        <v>42552</v>
      </c>
      <c r="C47" s="283">
        <v>600</v>
      </c>
      <c r="D47" s="3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38.976200000000006</v>
      </c>
      <c r="Q47" s="2"/>
      <c r="T47" s="93" t="s">
        <v>102</v>
      </c>
      <c r="U47" s="88">
        <v>53.42</v>
      </c>
      <c r="W47" s="133">
        <v>42543</v>
      </c>
      <c r="X47" s="10">
        <v>38.57</v>
      </c>
      <c r="Y47" s="10">
        <v>39.159999999999997</v>
      </c>
      <c r="Z47" s="10">
        <v>38.5</v>
      </c>
      <c r="AA47" s="10">
        <v>38.549999999999997</v>
      </c>
      <c r="AB47" s="95">
        <v>7029400</v>
      </c>
      <c r="AC47" s="10">
        <v>38.340000000000003</v>
      </c>
      <c r="AD47" s="2">
        <f t="shared" si="1"/>
        <v>0.65999999999999659</v>
      </c>
      <c r="AE47" s="138">
        <f t="shared" si="2"/>
        <v>-3.1201248049921304E-3</v>
      </c>
    </row>
    <row r="48" spans="2:31" x14ac:dyDescent="0.25">
      <c r="B48" s="193">
        <v>42556</v>
      </c>
      <c r="C48" s="283">
        <v>600</v>
      </c>
      <c r="D48" s="340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38.608500000000006</v>
      </c>
      <c r="Q48" s="2"/>
      <c r="T48" s="93" t="s">
        <v>103</v>
      </c>
      <c r="U48" s="88">
        <v>1.10025</v>
      </c>
      <c r="W48" s="133">
        <v>42542</v>
      </c>
      <c r="X48" s="10">
        <v>38.67</v>
      </c>
      <c r="Y48" s="10">
        <v>39</v>
      </c>
      <c r="Z48" s="10">
        <v>38.049999999999997</v>
      </c>
      <c r="AA48" s="10">
        <v>38.67</v>
      </c>
      <c r="AB48" s="95">
        <v>11997900</v>
      </c>
      <c r="AC48" s="10">
        <v>38.46</v>
      </c>
      <c r="AD48" s="2">
        <f t="shared" si="1"/>
        <v>0.95000000000000284</v>
      </c>
      <c r="AE48" s="138">
        <f t="shared" si="2"/>
        <v>1.5311510031678965E-2</v>
      </c>
    </row>
    <row r="49" spans="2:31" x14ac:dyDescent="0.25">
      <c r="B49" s="193">
        <v>42559</v>
      </c>
      <c r="C49" s="283">
        <v>600</v>
      </c>
      <c r="D49" s="340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38.240800000000007</v>
      </c>
      <c r="Q49" s="2"/>
      <c r="T49" s="93" t="s">
        <v>123</v>
      </c>
      <c r="U49" s="88" t="s">
        <v>296</v>
      </c>
      <c r="W49" s="133">
        <v>42541</v>
      </c>
      <c r="X49" s="10">
        <v>38.43</v>
      </c>
      <c r="Y49" s="10">
        <v>38.729999999999997</v>
      </c>
      <c r="Z49" s="10">
        <v>38</v>
      </c>
      <c r="AA49" s="10">
        <v>38.090000000000003</v>
      </c>
      <c r="AB49" s="95">
        <v>9921200</v>
      </c>
      <c r="AC49" s="10">
        <v>37.880000000000003</v>
      </c>
      <c r="AD49" s="2">
        <f t="shared" si="1"/>
        <v>0.72999999999999687</v>
      </c>
      <c r="AE49" s="138">
        <f t="shared" si="2"/>
        <v>2.1164021164021829E-3</v>
      </c>
    </row>
    <row r="50" spans="2:31" x14ac:dyDescent="0.25">
      <c r="B50" s="193">
        <v>42562</v>
      </c>
      <c r="C50" s="283">
        <v>600</v>
      </c>
      <c r="D50" s="340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37.873100000000001</v>
      </c>
      <c r="Q50" s="2"/>
      <c r="T50" s="93"/>
      <c r="U50" s="88"/>
      <c r="W50" s="133">
        <v>42538</v>
      </c>
      <c r="X50" s="10">
        <v>37.94</v>
      </c>
      <c r="Y50" s="10">
        <v>38.24</v>
      </c>
      <c r="Z50" s="10">
        <v>37.68</v>
      </c>
      <c r="AA50" s="10">
        <v>38.01</v>
      </c>
      <c r="AB50" s="95">
        <v>11157800</v>
      </c>
      <c r="AC50" s="10">
        <v>37.799999999999997</v>
      </c>
      <c r="AD50" s="2">
        <f t="shared" si="1"/>
        <v>0.56000000000000227</v>
      </c>
      <c r="AE50" s="138">
        <f t="shared" si="2"/>
        <v>-2.6448029621806146E-4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37.505400000000002</v>
      </c>
      <c r="Q51" s="2"/>
      <c r="T51" s="93" t="s">
        <v>105</v>
      </c>
      <c r="U51" s="88" t="s">
        <v>485</v>
      </c>
      <c r="W51" s="133">
        <v>42537</v>
      </c>
      <c r="X51" s="10">
        <v>38.369999999999997</v>
      </c>
      <c r="Y51" s="10">
        <v>38.57</v>
      </c>
      <c r="Z51" s="10">
        <v>37.840000000000003</v>
      </c>
      <c r="AA51" s="10">
        <v>38.020000000000003</v>
      </c>
      <c r="AB51" s="95">
        <v>13086600</v>
      </c>
      <c r="AC51" s="10">
        <v>37.81</v>
      </c>
      <c r="AD51" s="2">
        <f t="shared" si="1"/>
        <v>0.72999999999999687</v>
      </c>
      <c r="AE51" s="138">
        <f t="shared" si="2"/>
        <v>-2.2492244053774479E-2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37.137700000000002</v>
      </c>
      <c r="Q52" s="2"/>
      <c r="T52" s="93" t="s">
        <v>106</v>
      </c>
      <c r="U52" s="88" t="s">
        <v>270</v>
      </c>
      <c r="W52" s="133">
        <v>42536</v>
      </c>
      <c r="X52" s="10">
        <v>39.369999999999997</v>
      </c>
      <c r="Y52" s="10">
        <v>39.78</v>
      </c>
      <c r="Z52" s="10">
        <v>38.83</v>
      </c>
      <c r="AA52" s="10">
        <v>38.89</v>
      </c>
      <c r="AB52" s="95">
        <v>11044000</v>
      </c>
      <c r="AC52" s="10">
        <v>38.68</v>
      </c>
      <c r="AD52" s="2">
        <f t="shared" si="1"/>
        <v>0.95000000000000284</v>
      </c>
      <c r="AE52" s="138">
        <f t="shared" si="2"/>
        <v>-5.6555269922878848E-3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36.770000000000003</v>
      </c>
      <c r="Q53" s="2"/>
      <c r="T53" s="93" t="s">
        <v>107</v>
      </c>
      <c r="U53" s="90">
        <v>7547989</v>
      </c>
      <c r="W53" s="133">
        <v>42535</v>
      </c>
      <c r="X53" s="10">
        <v>40.409999999999997</v>
      </c>
      <c r="Y53" s="10">
        <v>40.56</v>
      </c>
      <c r="Z53" s="10">
        <v>38.64</v>
      </c>
      <c r="AA53" s="10">
        <v>39.11</v>
      </c>
      <c r="AB53" s="95">
        <v>15065800</v>
      </c>
      <c r="AC53" s="10">
        <v>38.9</v>
      </c>
      <c r="AD53" s="2">
        <f t="shared" si="1"/>
        <v>1.9200000000000017</v>
      </c>
      <c r="AE53" s="138">
        <f t="shared" si="2"/>
        <v>-3.5935563816604787E-2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36.402300000000004</v>
      </c>
      <c r="T54" s="93" t="s">
        <v>110</v>
      </c>
      <c r="U54" s="90">
        <v>11394800</v>
      </c>
      <c r="W54" s="133">
        <v>42534</v>
      </c>
      <c r="X54" s="10">
        <v>41.59</v>
      </c>
      <c r="Y54" s="10">
        <v>41.7</v>
      </c>
      <c r="Z54" s="10">
        <v>40.53</v>
      </c>
      <c r="AA54" s="10">
        <v>40.57</v>
      </c>
      <c r="AB54" s="95">
        <v>9946500</v>
      </c>
      <c r="AC54" s="10">
        <v>40.35</v>
      </c>
      <c r="AD54" s="2">
        <f t="shared" si="1"/>
        <v>1.1700000000000017</v>
      </c>
      <c r="AE54" s="138">
        <f t="shared" si="2"/>
        <v>-3.4919875627840269E-2</v>
      </c>
    </row>
    <row r="55" spans="2:31" x14ac:dyDescent="0.25">
      <c r="B55" s="193">
        <v>42571</v>
      </c>
      <c r="C55" s="454">
        <v>300</v>
      </c>
      <c r="D55" s="460">
        <v>36.805999999999997</v>
      </c>
      <c r="E55" s="340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36.034600000000005</v>
      </c>
      <c r="T55" s="93" t="s">
        <v>108</v>
      </c>
      <c r="U55" s="88" t="s">
        <v>486</v>
      </c>
      <c r="W55" s="133">
        <v>42531</v>
      </c>
      <c r="X55" s="10">
        <v>42.06</v>
      </c>
      <c r="Y55" s="10">
        <v>42.29</v>
      </c>
      <c r="Z55" s="10">
        <v>41.41</v>
      </c>
      <c r="AA55" s="10">
        <v>42.04</v>
      </c>
      <c r="AB55" s="95">
        <v>6787900</v>
      </c>
      <c r="AC55" s="10">
        <v>41.81</v>
      </c>
      <c r="AD55" s="2">
        <f t="shared" si="1"/>
        <v>0.88000000000000256</v>
      </c>
      <c r="AE55" s="138">
        <f t="shared" si="2"/>
        <v>-8.5368745553711101E-3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35.666900000000005</v>
      </c>
      <c r="T56" s="93" t="s">
        <v>111</v>
      </c>
      <c r="U56" s="88">
        <v>5.99</v>
      </c>
      <c r="W56" s="133">
        <v>42530</v>
      </c>
      <c r="X56" s="10">
        <v>41.75</v>
      </c>
      <c r="Y56" s="10">
        <v>42.58</v>
      </c>
      <c r="Z56" s="10">
        <v>41.52</v>
      </c>
      <c r="AA56" s="10">
        <v>42.4</v>
      </c>
      <c r="AB56" s="95">
        <v>7618100</v>
      </c>
      <c r="AC56" s="10">
        <v>42.17</v>
      </c>
      <c r="AD56" s="2">
        <f t="shared" si="1"/>
        <v>1.0599999999999952</v>
      </c>
      <c r="AE56" s="138">
        <f t="shared" si="2"/>
        <v>1.3214800576645924E-2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35.299199999999999</v>
      </c>
      <c r="T57" s="93" t="s">
        <v>112</v>
      </c>
      <c r="U57" s="88">
        <v>6.14</v>
      </c>
      <c r="W57" s="133">
        <v>42529</v>
      </c>
      <c r="X57" s="10">
        <v>42.2</v>
      </c>
      <c r="Y57" s="10">
        <v>42.45</v>
      </c>
      <c r="Z57" s="10">
        <v>41.1</v>
      </c>
      <c r="AA57" s="10">
        <v>41.85</v>
      </c>
      <c r="AB57" s="95">
        <v>13861700</v>
      </c>
      <c r="AC57" s="10">
        <v>41.62</v>
      </c>
      <c r="AD57" s="2">
        <f t="shared" si="1"/>
        <v>1.3500000000000014</v>
      </c>
      <c r="AE57" s="138">
        <f t="shared" si="2"/>
        <v>-5.9708621925006478E-3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34.9315</v>
      </c>
      <c r="T58" s="93" t="s">
        <v>109</v>
      </c>
      <c r="U58" s="88" t="s">
        <v>395</v>
      </c>
      <c r="W58" s="133">
        <v>42528</v>
      </c>
      <c r="X58" s="10">
        <v>41.35</v>
      </c>
      <c r="Y58" s="10">
        <v>42.81</v>
      </c>
      <c r="Z58" s="10">
        <v>41</v>
      </c>
      <c r="AA58" s="10">
        <v>42.1</v>
      </c>
      <c r="AB58" s="95">
        <v>11445900</v>
      </c>
      <c r="AC58" s="10">
        <v>41.87</v>
      </c>
      <c r="AD58" s="2">
        <f t="shared" si="1"/>
        <v>1.8100000000000023</v>
      </c>
      <c r="AE58" s="138">
        <f t="shared" si="2"/>
        <v>1.9975639464068218E-2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34.563800000000001</v>
      </c>
      <c r="W59" s="133">
        <v>42527</v>
      </c>
      <c r="X59" s="10">
        <v>41.54</v>
      </c>
      <c r="Y59" s="10">
        <v>41.6</v>
      </c>
      <c r="Z59" s="10">
        <v>41</v>
      </c>
      <c r="AA59" s="10">
        <v>41.28</v>
      </c>
      <c r="AB59" s="95">
        <v>11538400</v>
      </c>
      <c r="AC59" s="10">
        <v>41.05</v>
      </c>
      <c r="AD59" s="2">
        <f t="shared" si="1"/>
        <v>0.60000000000000142</v>
      </c>
      <c r="AE59" s="138">
        <f t="shared" si="2"/>
        <v>-7.0149975810355203E-3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34.196100000000001</v>
      </c>
      <c r="W60" s="133">
        <v>42524</v>
      </c>
      <c r="X60" s="10">
        <v>42.22</v>
      </c>
      <c r="Y60" s="10">
        <v>42.4</v>
      </c>
      <c r="Z60" s="10">
        <v>41.25</v>
      </c>
      <c r="AA60" s="10">
        <v>41.57</v>
      </c>
      <c r="AB60" s="95">
        <v>15958000</v>
      </c>
      <c r="AC60" s="10">
        <v>41.34</v>
      </c>
      <c r="AD60" s="2">
        <f t="shared" si="1"/>
        <v>1.1499999999999986</v>
      </c>
      <c r="AE60" s="138">
        <f t="shared" si="2"/>
        <v>-2.0843202273803763E-2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33.828400000000002</v>
      </c>
      <c r="W61" s="133">
        <v>42523</v>
      </c>
      <c r="X61" s="10">
        <v>42.77</v>
      </c>
      <c r="Y61" s="10">
        <v>43.46</v>
      </c>
      <c r="Z61" s="10">
        <v>42.4</v>
      </c>
      <c r="AA61" s="10">
        <v>42.45</v>
      </c>
      <c r="AB61" s="95">
        <v>10103500</v>
      </c>
      <c r="AC61" s="10">
        <v>42.22</v>
      </c>
      <c r="AD61" s="2">
        <f t="shared" si="1"/>
        <v>1.0600000000000023</v>
      </c>
      <c r="AE61" s="138">
        <f t="shared" si="2"/>
        <v>-2.4266235266928726E-2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33.460700000000003</v>
      </c>
      <c r="W62" s="133">
        <v>42522</v>
      </c>
      <c r="X62" s="10">
        <v>43.46</v>
      </c>
      <c r="Y62" s="10">
        <v>43.71</v>
      </c>
      <c r="Z62" s="10">
        <v>43.07</v>
      </c>
      <c r="AA62" s="10">
        <v>43.51</v>
      </c>
      <c r="AB62" s="95">
        <v>7047600</v>
      </c>
      <c r="AC62" s="10">
        <v>43.27</v>
      </c>
      <c r="AD62" s="2">
        <f t="shared" si="1"/>
        <v>0.64000000000000057</v>
      </c>
      <c r="AE62" s="138">
        <f t="shared" si="2"/>
        <v>1.1568718186025784E-3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33.093000000000004</v>
      </c>
      <c r="W63" s="133">
        <v>42521</v>
      </c>
      <c r="X63" s="10">
        <v>43.25</v>
      </c>
      <c r="Y63" s="10">
        <v>43.51</v>
      </c>
      <c r="Z63" s="10">
        <v>42.65</v>
      </c>
      <c r="AA63" s="10">
        <v>43.46</v>
      </c>
      <c r="AB63" s="95">
        <v>9315100</v>
      </c>
      <c r="AC63" s="10">
        <v>43.22</v>
      </c>
      <c r="AD63" s="2">
        <f t="shared" si="1"/>
        <v>0.85999999999999943</v>
      </c>
      <c r="AE63" s="138">
        <f t="shared" si="2"/>
        <v>7.9291044776117481E-3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42517</v>
      </c>
      <c r="X64" s="10">
        <v>42.83</v>
      </c>
      <c r="Y64" s="10">
        <v>43.44</v>
      </c>
      <c r="Z64" s="10">
        <v>42.81</v>
      </c>
      <c r="AA64" s="10">
        <v>43.12</v>
      </c>
      <c r="AB64" s="95">
        <v>5509400</v>
      </c>
      <c r="AC64" s="10">
        <v>42.88</v>
      </c>
      <c r="AD64" s="2">
        <f t="shared" si="1"/>
        <v>0.62999999999999545</v>
      </c>
      <c r="AE64" s="138">
        <f t="shared" si="2"/>
        <v>8.2294850693629407E-3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42516</v>
      </c>
      <c r="X65" s="10">
        <v>43.47</v>
      </c>
      <c r="Y65" s="10">
        <v>43.6</v>
      </c>
      <c r="Z65" s="10">
        <v>42.4</v>
      </c>
      <c r="AA65" s="10">
        <v>42.76</v>
      </c>
      <c r="AB65" s="95">
        <v>8512400</v>
      </c>
      <c r="AC65" s="10">
        <v>42.53</v>
      </c>
      <c r="AD65" s="2">
        <f t="shared" si="1"/>
        <v>1.2000000000000028</v>
      </c>
      <c r="AE65" s="138">
        <f t="shared" si="2"/>
        <v>-1.687471104946825E-2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42515</v>
      </c>
      <c r="X66" s="10">
        <v>43.68</v>
      </c>
      <c r="Y66" s="10">
        <v>44.11</v>
      </c>
      <c r="Z66" s="10">
        <v>43.38</v>
      </c>
      <c r="AA66" s="10">
        <v>43.5</v>
      </c>
      <c r="AB66" s="95">
        <v>7600800</v>
      </c>
      <c r="AC66" s="10">
        <v>43.26</v>
      </c>
      <c r="AD66" s="2">
        <f t="shared" si="1"/>
        <v>0.72999999999999687</v>
      </c>
      <c r="AE66" s="138">
        <f t="shared" si="2"/>
        <v>-2.996082046554549E-3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42514</v>
      </c>
      <c r="X67" s="10">
        <v>43.1</v>
      </c>
      <c r="Y67" s="10">
        <v>43.77</v>
      </c>
      <c r="Z67" s="10">
        <v>43.05</v>
      </c>
      <c r="AA67" s="10">
        <v>43.63</v>
      </c>
      <c r="AB67" s="95">
        <v>9359900</v>
      </c>
      <c r="AC67" s="10">
        <v>43.39</v>
      </c>
      <c r="AD67" s="2">
        <f>Y67-Z67</f>
        <v>0.72000000000000597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42513</v>
      </c>
      <c r="X68" s="10">
        <v>43</v>
      </c>
      <c r="Y68" s="10">
        <v>43.6</v>
      </c>
      <c r="Z68" s="10">
        <v>42.91</v>
      </c>
      <c r="AA68" s="10">
        <v>42.95</v>
      </c>
      <c r="AB68" s="95">
        <v>5227000</v>
      </c>
      <c r="AC68" s="10">
        <v>42.72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224</v>
      </c>
      <c r="M82" s="470">
        <f>M100+K100-F100</f>
        <v>205.01999999999998</v>
      </c>
    </row>
    <row r="83" spans="1:13" x14ac:dyDescent="0.25">
      <c r="A83" s="264" t="s">
        <v>1</v>
      </c>
      <c r="B83" s="264" t="s">
        <v>2</v>
      </c>
      <c r="C83" s="264" t="s">
        <v>4</v>
      </c>
      <c r="D83" s="265" t="s">
        <v>5</v>
      </c>
      <c r="E83" s="265" t="s">
        <v>94</v>
      </c>
      <c r="F83" s="265" t="s">
        <v>60</v>
      </c>
      <c r="G83" s="264" t="s">
        <v>3</v>
      </c>
      <c r="H83" s="264" t="s">
        <v>6</v>
      </c>
      <c r="I83" s="265" t="s">
        <v>7</v>
      </c>
      <c r="J83" s="265" t="s">
        <v>95</v>
      </c>
      <c r="K83" s="265" t="s">
        <v>61</v>
      </c>
      <c r="L83" s="264" t="s">
        <v>37</v>
      </c>
      <c r="M83" s="264" t="s">
        <v>38</v>
      </c>
    </row>
    <row r="84" spans="1:13" x14ac:dyDescent="0.25">
      <c r="A84" s="266" t="s">
        <v>32</v>
      </c>
      <c r="B84" s="267">
        <v>42405</v>
      </c>
      <c r="C84" s="262">
        <v>30</v>
      </c>
      <c r="D84" s="263">
        <v>41.95</v>
      </c>
      <c r="E84" s="263">
        <v>0</v>
      </c>
      <c r="F84" s="263">
        <f t="shared" ref="F84" si="63">D84*C84+E84</f>
        <v>1258.5</v>
      </c>
      <c r="G84" s="267">
        <v>42445</v>
      </c>
      <c r="H84" s="268">
        <v>30</v>
      </c>
      <c r="I84" s="263">
        <v>48.65</v>
      </c>
      <c r="J84" s="263">
        <v>0.03</v>
      </c>
      <c r="K84" s="263">
        <f>H84*I84-J84</f>
        <v>1459.47</v>
      </c>
      <c r="L84" s="267">
        <v>42438</v>
      </c>
      <c r="M84" s="262">
        <v>4.05</v>
      </c>
    </row>
    <row r="85" spans="1:13" x14ac:dyDescent="0.25">
      <c r="A85" s="269" t="s">
        <v>71</v>
      </c>
      <c r="B85" s="267"/>
      <c r="C85" s="262"/>
      <c r="D85" s="263"/>
      <c r="E85" s="263"/>
      <c r="F85" s="263"/>
      <c r="G85" s="267"/>
      <c r="H85" s="268"/>
      <c r="I85" s="263"/>
      <c r="J85" s="263"/>
      <c r="K85" s="263"/>
      <c r="L85" s="267"/>
      <c r="M85" s="263"/>
    </row>
    <row r="86" spans="1:13" x14ac:dyDescent="0.25">
      <c r="A86" s="262"/>
      <c r="B86" s="267"/>
      <c r="C86" s="262"/>
      <c r="D86" s="263"/>
      <c r="E86" s="263"/>
      <c r="F86" s="263"/>
      <c r="G86" s="267"/>
      <c r="H86" s="268"/>
      <c r="I86" s="263"/>
      <c r="J86" s="263"/>
      <c r="K86" s="263"/>
      <c r="L86" s="262"/>
      <c r="M86" s="262"/>
    </row>
    <row r="87" spans="1:13" x14ac:dyDescent="0.25">
      <c r="A87" s="262"/>
      <c r="B87" s="267"/>
      <c r="C87" s="262"/>
      <c r="D87" s="263"/>
      <c r="E87" s="263"/>
      <c r="F87" s="263"/>
      <c r="G87" s="267"/>
      <c r="H87" s="268"/>
      <c r="I87" s="263"/>
      <c r="J87" s="263"/>
      <c r="K87" s="263"/>
      <c r="L87" s="262"/>
      <c r="M87" s="262"/>
    </row>
    <row r="88" spans="1:13" x14ac:dyDescent="0.25">
      <c r="A88" s="262"/>
      <c r="B88" s="267"/>
      <c r="C88" s="262"/>
      <c r="D88" s="263"/>
      <c r="E88" s="263"/>
      <c r="F88" s="263"/>
      <c r="G88" s="262"/>
      <c r="H88" s="268"/>
      <c r="I88" s="263"/>
      <c r="J88" s="263"/>
      <c r="K88" s="263"/>
      <c r="L88" s="262"/>
      <c r="M88" s="262"/>
    </row>
    <row r="89" spans="1:13" x14ac:dyDescent="0.25">
      <c r="A89" s="262"/>
      <c r="B89" s="267"/>
      <c r="C89" s="262"/>
      <c r="D89" s="263"/>
      <c r="E89" s="263"/>
      <c r="F89" s="263"/>
      <c r="G89" s="262"/>
      <c r="H89" s="268"/>
      <c r="I89" s="263"/>
      <c r="J89" s="263"/>
      <c r="K89" s="263"/>
      <c r="L89" s="262"/>
      <c r="M89" s="262"/>
    </row>
    <row r="90" spans="1:13" x14ac:dyDescent="0.25">
      <c r="A90" s="262"/>
      <c r="B90" s="267"/>
      <c r="C90" s="262"/>
      <c r="D90" s="263"/>
      <c r="E90" s="263"/>
      <c r="F90" s="263"/>
      <c r="G90" s="262"/>
      <c r="H90" s="268"/>
      <c r="I90" s="263"/>
      <c r="J90" s="263"/>
      <c r="K90" s="263"/>
      <c r="L90" s="262"/>
      <c r="M90" s="262"/>
    </row>
    <row r="91" spans="1:13" x14ac:dyDescent="0.25">
      <c r="A91" s="262"/>
      <c r="B91" s="267"/>
      <c r="C91" s="262"/>
      <c r="D91" s="263"/>
      <c r="E91" s="263"/>
      <c r="F91" s="263"/>
      <c r="G91" s="262"/>
      <c r="H91" s="268"/>
      <c r="I91" s="263"/>
      <c r="J91" s="263"/>
      <c r="K91" s="263"/>
      <c r="L91" s="262"/>
      <c r="M91" s="262"/>
    </row>
    <row r="92" spans="1:13" x14ac:dyDescent="0.25">
      <c r="A92" s="262"/>
      <c r="B92" s="262"/>
      <c r="C92" s="262"/>
      <c r="D92" s="263"/>
      <c r="E92" s="263"/>
      <c r="F92" s="263"/>
      <c r="G92" s="262"/>
      <c r="H92" s="262"/>
      <c r="I92" s="263"/>
      <c r="J92" s="263"/>
      <c r="K92" s="263"/>
      <c r="L92" s="262"/>
      <c r="M92" s="262"/>
    </row>
    <row r="93" spans="1:13" x14ac:dyDescent="0.25">
      <c r="A93" s="262"/>
      <c r="B93" s="262"/>
      <c r="C93" s="262"/>
      <c r="D93" s="263"/>
      <c r="E93" s="263"/>
      <c r="F93" s="263"/>
      <c r="G93" s="262"/>
      <c r="H93" s="262"/>
      <c r="I93" s="263"/>
      <c r="J93" s="263"/>
      <c r="K93" s="263"/>
      <c r="L93" s="262"/>
      <c r="M93" s="262"/>
    </row>
    <row r="94" spans="1:13" x14ac:dyDescent="0.25">
      <c r="A94" s="262"/>
      <c r="B94" s="262"/>
      <c r="C94" s="262"/>
      <c r="D94" s="263"/>
      <c r="E94" s="263"/>
      <c r="F94" s="263"/>
      <c r="G94" s="262"/>
      <c r="H94" s="262"/>
      <c r="I94" s="263"/>
      <c r="J94" s="263"/>
      <c r="K94" s="263"/>
      <c r="L94" s="262"/>
      <c r="M94" s="262"/>
    </row>
    <row r="95" spans="1:13" x14ac:dyDescent="0.25">
      <c r="A95" s="262"/>
      <c r="B95" s="262"/>
      <c r="C95" s="262"/>
      <c r="D95" s="263"/>
      <c r="E95" s="263"/>
      <c r="F95" s="263"/>
      <c r="G95" s="262"/>
      <c r="H95" s="262"/>
      <c r="I95" s="263"/>
      <c r="J95" s="263"/>
      <c r="K95" s="263"/>
      <c r="L95" s="262"/>
      <c r="M95" s="262"/>
    </row>
    <row r="96" spans="1:13" x14ac:dyDescent="0.25">
      <c r="A96" s="262"/>
      <c r="B96" s="262"/>
      <c r="C96" s="262"/>
      <c r="D96" s="263"/>
      <c r="E96" s="263"/>
      <c r="F96" s="263"/>
      <c r="G96" s="262"/>
      <c r="H96" s="262"/>
      <c r="I96" s="263"/>
      <c r="J96" s="263"/>
      <c r="K96" s="263"/>
      <c r="L96" s="262"/>
      <c r="M96" s="262"/>
    </row>
    <row r="97" spans="1:13" x14ac:dyDescent="0.25">
      <c r="A97" s="262"/>
      <c r="B97" s="262"/>
      <c r="C97" s="262"/>
      <c r="D97" s="263"/>
      <c r="E97" s="263"/>
      <c r="F97" s="263"/>
      <c r="G97" s="262"/>
      <c r="H97" s="262"/>
      <c r="I97" s="263"/>
      <c r="J97" s="263"/>
      <c r="K97" s="263"/>
      <c r="L97" s="262"/>
      <c r="M97" s="262"/>
    </row>
    <row r="98" spans="1:13" x14ac:dyDescent="0.25">
      <c r="A98" s="262"/>
      <c r="B98" s="262"/>
      <c r="C98" s="262"/>
      <c r="D98" s="263"/>
      <c r="E98" s="263"/>
      <c r="F98" s="263"/>
      <c r="G98" s="262"/>
      <c r="H98" s="262"/>
      <c r="I98" s="263"/>
      <c r="J98" s="263"/>
      <c r="K98" s="263"/>
      <c r="L98" s="262"/>
      <c r="M98" s="262"/>
    </row>
    <row r="99" spans="1:13" x14ac:dyDescent="0.25">
      <c r="A99" s="262"/>
      <c r="B99" s="262"/>
      <c r="C99" s="262"/>
      <c r="D99" s="263"/>
      <c r="E99" s="263"/>
      <c r="F99" s="263"/>
      <c r="G99" s="262"/>
      <c r="H99" s="268"/>
      <c r="I99" s="263"/>
      <c r="J99" s="263"/>
      <c r="K99" s="263"/>
      <c r="L99" s="262"/>
      <c r="M99" s="262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7">
        <v>42226</v>
      </c>
      <c r="C2" s="7">
        <v>10</v>
      </c>
      <c r="D2" s="44">
        <v>113.72</v>
      </c>
      <c r="E2" s="44">
        <v>0</v>
      </c>
      <c r="F2" s="44">
        <f t="shared" ref="F2:F9" si="0">C2*D2</f>
        <v>1137.2</v>
      </c>
      <c r="G2" s="47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42606</v>
      </c>
      <c r="X2" s="10">
        <v>96.01</v>
      </c>
      <c r="Y2" s="10">
        <v>96.22</v>
      </c>
      <c r="Z2" s="10">
        <v>95.51</v>
      </c>
      <c r="AA2" s="10">
        <v>95.82</v>
      </c>
      <c r="AB2" s="95">
        <v>5893700</v>
      </c>
      <c r="AC2" s="10">
        <v>95.82</v>
      </c>
      <c r="AD2" s="2">
        <f>Y2-Z2</f>
        <v>0.70999999999999375</v>
      </c>
      <c r="AE2" s="138">
        <f>AC2/AC3-1</f>
        <v>-1.5629884338856925E-3</v>
      </c>
    </row>
    <row r="3" spans="1:31" x14ac:dyDescent="0.25">
      <c r="A3" s="23" t="s">
        <v>71</v>
      </c>
      <c r="B3" s="47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92.657999999999973</v>
      </c>
      <c r="T3" s="1"/>
      <c r="W3" s="133">
        <v>42605</v>
      </c>
      <c r="X3" s="10">
        <v>96.13</v>
      </c>
      <c r="Y3" s="10">
        <v>96.43</v>
      </c>
      <c r="Z3" s="10">
        <v>95.8</v>
      </c>
      <c r="AA3" s="10">
        <v>95.97</v>
      </c>
      <c r="AB3" s="95">
        <v>4996300</v>
      </c>
      <c r="AC3" s="10">
        <v>95.97</v>
      </c>
      <c r="AD3" s="2">
        <f t="shared" ref="AD3:AD66" si="1">Y3-Z3</f>
        <v>0.63000000000000966</v>
      </c>
      <c r="AE3" s="138">
        <f t="shared" ref="AE3:AE66" si="2">AC3/AC4-1</f>
        <v>1.0430791697089159E-3</v>
      </c>
    </row>
    <row r="4" spans="1:31" x14ac:dyDescent="0.25">
      <c r="B4" s="47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95.82</v>
      </c>
      <c r="T4" s="163"/>
      <c r="W4" s="133">
        <v>42604</v>
      </c>
      <c r="X4" s="10">
        <v>96.47</v>
      </c>
      <c r="Y4" s="10">
        <v>96.47</v>
      </c>
      <c r="Z4" s="10">
        <v>95.65</v>
      </c>
      <c r="AA4" s="10">
        <v>95.87</v>
      </c>
      <c r="AB4" s="95">
        <v>5495300</v>
      </c>
      <c r="AC4" s="10">
        <v>95.87</v>
      </c>
      <c r="AD4" s="2">
        <f t="shared" si="1"/>
        <v>0.81999999999999318</v>
      </c>
      <c r="AE4" s="138">
        <f t="shared" si="2"/>
        <v>-5.3947504927897016E-3</v>
      </c>
    </row>
    <row r="5" spans="1:31" x14ac:dyDescent="0.25">
      <c r="B5" s="47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7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2874.6</v>
      </c>
      <c r="W5" s="133">
        <v>42601</v>
      </c>
      <c r="X5" s="10">
        <v>96.4</v>
      </c>
      <c r="Y5" s="10">
        <v>96.79</v>
      </c>
      <c r="Z5" s="10">
        <v>96.05</v>
      </c>
      <c r="AA5" s="10">
        <v>96.39</v>
      </c>
      <c r="AB5" s="95">
        <v>6362400</v>
      </c>
      <c r="AC5" s="10">
        <v>96.39</v>
      </c>
      <c r="AD5" s="2">
        <f t="shared" si="1"/>
        <v>0.74000000000000909</v>
      </c>
      <c r="AE5" s="138">
        <f t="shared" si="2"/>
        <v>-2.6901189860321084E-3</v>
      </c>
    </row>
    <row r="6" spans="1:31" x14ac:dyDescent="0.25">
      <c r="B6" s="47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2779.7399999999993</v>
      </c>
      <c r="W6" s="133">
        <v>42600</v>
      </c>
      <c r="X6" s="10">
        <v>96.87</v>
      </c>
      <c r="Y6" s="10">
        <v>97.12</v>
      </c>
      <c r="Z6" s="10">
        <v>96.55</v>
      </c>
      <c r="AA6" s="10">
        <v>96.65</v>
      </c>
      <c r="AB6" s="95">
        <v>5250700</v>
      </c>
      <c r="AC6" s="10">
        <v>96.65</v>
      </c>
      <c r="AD6" s="2">
        <f t="shared" si="1"/>
        <v>0.57000000000000739</v>
      </c>
      <c r="AE6" s="138">
        <f t="shared" si="2"/>
        <v>-2.2710849592236793E-3</v>
      </c>
    </row>
    <row r="7" spans="1:31" x14ac:dyDescent="0.25">
      <c r="B7" s="477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94.860000000000127</v>
      </c>
      <c r="R7" s="30">
        <v>42617</v>
      </c>
      <c r="W7" s="133">
        <v>42599</v>
      </c>
      <c r="X7" s="10">
        <v>96.84</v>
      </c>
      <c r="Y7" s="10">
        <v>96.97</v>
      </c>
      <c r="Z7" s="10">
        <v>96.52</v>
      </c>
      <c r="AA7" s="10">
        <v>96.87</v>
      </c>
      <c r="AB7" s="95">
        <v>5697300</v>
      </c>
      <c r="AC7" s="10">
        <v>96.87</v>
      </c>
      <c r="AD7" s="2">
        <f t="shared" si="1"/>
        <v>0.45000000000000284</v>
      </c>
      <c r="AE7" s="138">
        <f t="shared" si="2"/>
        <v>-1.0322047894295583E-4</v>
      </c>
    </row>
    <row r="8" spans="1:31" x14ac:dyDescent="0.25">
      <c r="B8" s="1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94.860000000000127</v>
      </c>
      <c r="W8" s="133">
        <v>42598</v>
      </c>
      <c r="X8" s="10">
        <v>96.86</v>
      </c>
      <c r="Y8" s="10">
        <v>97.25</v>
      </c>
      <c r="Z8" s="10">
        <v>96.27</v>
      </c>
      <c r="AA8" s="10">
        <v>96.88</v>
      </c>
      <c r="AB8" s="95">
        <v>5777800</v>
      </c>
      <c r="AC8" s="10">
        <v>96.88</v>
      </c>
      <c r="AD8" s="2">
        <f t="shared" si="1"/>
        <v>0.98000000000000398</v>
      </c>
      <c r="AE8" s="138">
        <f t="shared" si="2"/>
        <v>-2.2657054582904124E-3</v>
      </c>
    </row>
    <row r="9" spans="1:31" x14ac:dyDescent="0.25">
      <c r="B9" s="1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225</v>
      </c>
      <c r="Q9" s="138">
        <f>IF(Q2=0, 0, Q8/Q6)</f>
        <v>3.4125493751214195E-2</v>
      </c>
      <c r="W9" s="133">
        <v>42597</v>
      </c>
      <c r="X9" s="10">
        <v>97.35</v>
      </c>
      <c r="Y9" s="10">
        <v>97.61</v>
      </c>
      <c r="Z9" s="10">
        <v>96.92</v>
      </c>
      <c r="AA9" s="10">
        <v>97.1</v>
      </c>
      <c r="AB9" s="95">
        <v>5299600</v>
      </c>
      <c r="AC9" s="10">
        <v>97.1</v>
      </c>
      <c r="AD9" s="2">
        <f t="shared" si="1"/>
        <v>0.68999999999999773</v>
      </c>
      <c r="AE9" s="138">
        <f t="shared" si="2"/>
        <v>2.6848409748037039E-3</v>
      </c>
    </row>
    <row r="10" spans="1:31" x14ac:dyDescent="0.25">
      <c r="C10" s="4"/>
      <c r="D10" s="3"/>
      <c r="E10" s="3"/>
      <c r="F10" s="3"/>
      <c r="O10" s="11" t="s">
        <v>224</v>
      </c>
      <c r="P10" s="34"/>
      <c r="Q10" s="2">
        <f>M32</f>
        <v>0</v>
      </c>
      <c r="W10" s="133">
        <v>42594</v>
      </c>
      <c r="X10" s="10">
        <v>97.82</v>
      </c>
      <c r="Y10" s="10">
        <v>97.82</v>
      </c>
      <c r="Z10" s="10">
        <v>96.66</v>
      </c>
      <c r="AA10" s="10">
        <v>96.84</v>
      </c>
      <c r="AB10" s="95">
        <v>9360300</v>
      </c>
      <c r="AC10" s="10">
        <v>96.84</v>
      </c>
      <c r="AD10" s="2">
        <f t="shared" si="1"/>
        <v>1.1599999999999966</v>
      </c>
      <c r="AE10" s="138">
        <f t="shared" si="2"/>
        <v>-9.512120282295089E-3</v>
      </c>
    </row>
    <row r="11" spans="1:31" x14ac:dyDescent="0.25">
      <c r="O11" s="11" t="s">
        <v>184</v>
      </c>
      <c r="P11" s="34"/>
      <c r="Q11" s="138">
        <f>VALUE(TRIM(CLEAN(MID(U58, FIND("(", U58)+1, 5))))</f>
        <v>1.47E-2</v>
      </c>
      <c r="W11" s="133">
        <v>42593</v>
      </c>
      <c r="X11" s="10">
        <v>98.2</v>
      </c>
      <c r="Y11" s="10">
        <v>98.39</v>
      </c>
      <c r="Z11" s="10">
        <v>97.15</v>
      </c>
      <c r="AA11" s="10">
        <v>97.77</v>
      </c>
      <c r="AB11" s="95">
        <v>9233900</v>
      </c>
      <c r="AC11" s="10">
        <v>97.77</v>
      </c>
      <c r="AD11" s="2">
        <f t="shared" si="1"/>
        <v>1.2399999999999949</v>
      </c>
      <c r="AE11" s="138">
        <f t="shared" si="2"/>
        <v>-9.1968117719198883E-4</v>
      </c>
    </row>
    <row r="12" spans="1:31" x14ac:dyDescent="0.25">
      <c r="W12" s="133">
        <v>42592</v>
      </c>
      <c r="X12" s="10">
        <v>96.7</v>
      </c>
      <c r="Y12" s="10">
        <v>99.27</v>
      </c>
      <c r="Z12" s="10">
        <v>95.85</v>
      </c>
      <c r="AA12" s="10">
        <v>97.86</v>
      </c>
      <c r="AB12" s="95">
        <v>27181300</v>
      </c>
      <c r="AC12" s="10">
        <v>97.86</v>
      </c>
      <c r="AD12" s="2">
        <f t="shared" si="1"/>
        <v>3.4200000000000017</v>
      </c>
      <c r="AE12" s="138">
        <f t="shared" si="2"/>
        <v>1.2309920347574277E-2</v>
      </c>
    </row>
    <row r="13" spans="1:31" x14ac:dyDescent="0.25">
      <c r="W13" s="133">
        <v>42591</v>
      </c>
      <c r="X13" s="10">
        <v>95.61</v>
      </c>
      <c r="Y13" s="10">
        <v>96.85</v>
      </c>
      <c r="Z13" s="10">
        <v>95.3</v>
      </c>
      <c r="AA13" s="10">
        <v>96.67</v>
      </c>
      <c r="AB13" s="95">
        <v>15548700</v>
      </c>
      <c r="AC13" s="10">
        <v>96.67</v>
      </c>
      <c r="AD13" s="2">
        <f t="shared" si="1"/>
        <v>1.5499999999999972</v>
      </c>
      <c r="AE13" s="138">
        <f t="shared" si="2"/>
        <v>9.6083550913839133E-3</v>
      </c>
    </row>
    <row r="14" spans="1:31" x14ac:dyDescent="0.25">
      <c r="W14" s="133">
        <v>42590</v>
      </c>
      <c r="X14" s="10">
        <v>96.11</v>
      </c>
      <c r="Y14" s="10">
        <v>96.29</v>
      </c>
      <c r="Z14" s="10">
        <v>95.58</v>
      </c>
      <c r="AA14" s="10">
        <v>95.75</v>
      </c>
      <c r="AB14" s="95">
        <v>7792000</v>
      </c>
      <c r="AC14" s="10">
        <v>95.75</v>
      </c>
      <c r="AD14" s="2">
        <f t="shared" si="1"/>
        <v>0.71000000000000796</v>
      </c>
      <c r="AE14" s="138">
        <f t="shared" si="2"/>
        <v>-8.3481164562249077E-4</v>
      </c>
    </row>
    <row r="15" spans="1:31" x14ac:dyDescent="0.25">
      <c r="W15" s="133">
        <v>42587</v>
      </c>
      <c r="X15" s="10">
        <v>95.4</v>
      </c>
      <c r="Y15" s="10">
        <v>96</v>
      </c>
      <c r="Z15" s="10">
        <v>95.35</v>
      </c>
      <c r="AA15" s="10">
        <v>95.83</v>
      </c>
      <c r="AB15" s="95">
        <v>6528500</v>
      </c>
      <c r="AC15" s="10">
        <v>95.83</v>
      </c>
      <c r="AD15" s="2">
        <f t="shared" si="1"/>
        <v>0.65000000000000568</v>
      </c>
      <c r="AE15" s="138">
        <f t="shared" si="2"/>
        <v>7.0407734342161632E-3</v>
      </c>
    </row>
    <row r="16" spans="1:31" x14ac:dyDescent="0.25">
      <c r="W16" s="133">
        <v>42586</v>
      </c>
      <c r="X16" s="10">
        <v>95.53</v>
      </c>
      <c r="Y16" s="10">
        <v>95.98</v>
      </c>
      <c r="Z16" s="10">
        <v>94.71</v>
      </c>
      <c r="AA16" s="10">
        <v>95.16</v>
      </c>
      <c r="AB16" s="95">
        <v>10038300</v>
      </c>
      <c r="AC16" s="10">
        <v>95.16</v>
      </c>
      <c r="AD16" s="2">
        <f t="shared" si="1"/>
        <v>1.2700000000000102</v>
      </c>
      <c r="AE16" s="138">
        <f t="shared" si="2"/>
        <v>-9.6784264751795801E-3</v>
      </c>
    </row>
    <row r="17" spans="1:31" x14ac:dyDescent="0.25">
      <c r="W17" s="133">
        <v>42585</v>
      </c>
      <c r="X17" s="10">
        <v>95.06</v>
      </c>
      <c r="Y17" s="10">
        <v>96.43</v>
      </c>
      <c r="Z17" s="10">
        <v>95</v>
      </c>
      <c r="AA17" s="10">
        <v>96.09</v>
      </c>
      <c r="AB17" s="95">
        <v>9068700</v>
      </c>
      <c r="AC17" s="10">
        <v>96.09</v>
      </c>
      <c r="AD17" s="2">
        <f t="shared" si="1"/>
        <v>1.4300000000000068</v>
      </c>
      <c r="AE17" s="138">
        <f t="shared" si="2"/>
        <v>1.1367224502683904E-2</v>
      </c>
    </row>
    <row r="18" spans="1:31" x14ac:dyDescent="0.25">
      <c r="A18" s="32" t="s">
        <v>81</v>
      </c>
      <c r="B18" s="14"/>
      <c r="C18" s="14">
        <f>SUM(C2:C10)</f>
        <v>100</v>
      </c>
      <c r="D18" s="18"/>
      <c r="E18" s="18"/>
      <c r="F18" s="18">
        <f>SUM(F2:F10)</f>
        <v>10028.799999999999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42584</v>
      </c>
      <c r="X18" s="10">
        <v>95.35</v>
      </c>
      <c r="Y18" s="10">
        <v>95.75</v>
      </c>
      <c r="Z18" s="10">
        <v>94.56</v>
      </c>
      <c r="AA18" s="10">
        <v>95.01</v>
      </c>
      <c r="AB18" s="95">
        <v>7644100</v>
      </c>
      <c r="AC18" s="10">
        <v>95.01</v>
      </c>
      <c r="AD18" s="2">
        <f t="shared" si="1"/>
        <v>1.1899999999999977</v>
      </c>
      <c r="AE18" s="138">
        <f t="shared" si="2"/>
        <v>-5.5474146954155312E-3</v>
      </c>
    </row>
    <row r="19" spans="1:31" ht="15.75" thickBot="1" x14ac:dyDescent="0.3">
      <c r="A19" s="360" t="s">
        <v>204</v>
      </c>
      <c r="B19" s="361"/>
      <c r="C19" s="362">
        <f>SumByColor($A$19,C2:C17)</f>
        <v>70</v>
      </c>
      <c r="D19" s="362"/>
      <c r="E19" s="362"/>
      <c r="F19" s="363">
        <f>SumByColor($A$19,F2:F17)</f>
        <v>6971</v>
      </c>
      <c r="G19" s="362"/>
      <c r="H19" s="362">
        <f>SumByColor($A$19,H2:H17)</f>
        <v>70</v>
      </c>
      <c r="I19" s="362"/>
      <c r="J19" s="362"/>
      <c r="K19" s="363">
        <f>SumByColor($A$19,K2:K17)</f>
        <v>7238</v>
      </c>
      <c r="L19" s="362"/>
      <c r="M19" s="363">
        <f t="shared" ref="M19" si="3">SumByColor($A$19,M2:M17)</f>
        <v>11</v>
      </c>
      <c r="W19" s="133">
        <v>42583</v>
      </c>
      <c r="X19" s="10">
        <v>96.15</v>
      </c>
      <c r="Y19" s="10">
        <v>96.2</v>
      </c>
      <c r="Z19" s="10">
        <v>95.08</v>
      </c>
      <c r="AA19" s="10">
        <v>95.54</v>
      </c>
      <c r="AB19" s="95">
        <v>7131600</v>
      </c>
      <c r="AC19" s="10">
        <v>95.54</v>
      </c>
      <c r="AD19" s="2">
        <f t="shared" si="1"/>
        <v>1.1200000000000045</v>
      </c>
      <c r="AE19" s="138">
        <f t="shared" si="2"/>
        <v>-4.2730588848358675E-3</v>
      </c>
    </row>
    <row r="20" spans="1:31" x14ac:dyDescent="0.25">
      <c r="W20" s="133">
        <v>42580</v>
      </c>
      <c r="X20" s="10">
        <v>95.85</v>
      </c>
      <c r="Y20" s="10">
        <v>96.38</v>
      </c>
      <c r="Z20" s="10">
        <v>95.85</v>
      </c>
      <c r="AA20" s="10">
        <v>95.95</v>
      </c>
      <c r="AB20" s="95">
        <v>8264000</v>
      </c>
      <c r="AC20" s="10">
        <v>95.95</v>
      </c>
      <c r="AD20" s="2">
        <f t="shared" si="1"/>
        <v>0.53000000000000114</v>
      </c>
      <c r="AE20" s="138">
        <f t="shared" si="2"/>
        <v>4.1705765822142027E-4</v>
      </c>
    </row>
    <row r="21" spans="1:31" x14ac:dyDescent="0.25">
      <c r="W21" s="133">
        <v>42579</v>
      </c>
      <c r="X21" s="10">
        <v>96.4</v>
      </c>
      <c r="Y21" s="10">
        <v>96.49</v>
      </c>
      <c r="Z21" s="10">
        <v>95.82</v>
      </c>
      <c r="AA21" s="10">
        <v>95.91</v>
      </c>
      <c r="AB21" s="95">
        <v>7713500</v>
      </c>
      <c r="AC21" s="10">
        <v>95.91</v>
      </c>
      <c r="AD21" s="2">
        <f t="shared" si="1"/>
        <v>0.67000000000000171</v>
      </c>
      <c r="AE21" s="138">
        <f t="shared" si="2"/>
        <v>-4.3600124571784304E-3</v>
      </c>
    </row>
    <row r="22" spans="1:31" x14ac:dyDescent="0.25">
      <c r="W22" s="133">
        <v>42578</v>
      </c>
      <c r="X22" s="10">
        <v>96.7</v>
      </c>
      <c r="Y22" s="10">
        <v>96.93</v>
      </c>
      <c r="Z22" s="10">
        <v>95.86</v>
      </c>
      <c r="AA22" s="10">
        <v>96.33</v>
      </c>
      <c r="AB22" s="95">
        <v>6911400</v>
      </c>
      <c r="AC22" s="10">
        <v>96.33</v>
      </c>
      <c r="AD22" s="2">
        <f t="shared" si="1"/>
        <v>1.0700000000000074</v>
      </c>
      <c r="AE22" s="138">
        <f t="shared" si="2"/>
        <v>-3.7232392181197893E-3</v>
      </c>
    </row>
    <row r="23" spans="1:31" x14ac:dyDescent="0.25">
      <c r="W23" s="133">
        <v>42577</v>
      </c>
      <c r="X23" s="10">
        <v>97.02</v>
      </c>
      <c r="Y23" s="10">
        <v>97.16</v>
      </c>
      <c r="Z23" s="10">
        <v>96.34</v>
      </c>
      <c r="AA23" s="10">
        <v>96.69</v>
      </c>
      <c r="AB23" s="95">
        <v>6274800</v>
      </c>
      <c r="AC23" s="10">
        <v>96.69</v>
      </c>
      <c r="AD23" s="2">
        <f t="shared" si="1"/>
        <v>0.81999999999999318</v>
      </c>
      <c r="AE23" s="138">
        <f t="shared" si="2"/>
        <v>-7.1875962624500245E-3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42576</v>
      </c>
      <c r="X24" s="10">
        <v>97.9</v>
      </c>
      <c r="Y24" s="10">
        <v>98.06</v>
      </c>
      <c r="Z24" s="10">
        <v>97.25</v>
      </c>
      <c r="AA24" s="10">
        <v>97.39</v>
      </c>
      <c r="AB24" s="95">
        <v>4825500</v>
      </c>
      <c r="AC24" s="10">
        <v>97.39</v>
      </c>
      <c r="AD24" s="2">
        <f t="shared" si="1"/>
        <v>0.81000000000000227</v>
      </c>
      <c r="AE24" s="138">
        <f t="shared" si="2"/>
        <v>-3.274997441408134E-3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42573</v>
      </c>
      <c r="X25" s="10">
        <v>98.39</v>
      </c>
      <c r="Y25" s="10">
        <v>98.42</v>
      </c>
      <c r="Z25" s="10">
        <v>97.47</v>
      </c>
      <c r="AA25" s="10">
        <v>97.71</v>
      </c>
      <c r="AB25" s="95">
        <v>5381700</v>
      </c>
      <c r="AC25" s="10">
        <v>97.71</v>
      </c>
      <c r="AD25" s="2">
        <f t="shared" si="1"/>
        <v>0.95000000000000284</v>
      </c>
      <c r="AE25" s="138">
        <f t="shared" si="2"/>
        <v>-3.06091215182136E-3</v>
      </c>
    </row>
    <row r="26" spans="1:31" x14ac:dyDescent="0.25">
      <c r="B26" s="193">
        <v>42374</v>
      </c>
      <c r="C26" s="261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42572</v>
      </c>
      <c r="X26" s="10">
        <v>98.17</v>
      </c>
      <c r="Y26" s="10">
        <v>99.13</v>
      </c>
      <c r="Z26" s="10">
        <v>97.62</v>
      </c>
      <c r="AA26" s="10">
        <v>98.01</v>
      </c>
      <c r="AB26" s="95">
        <v>6726600</v>
      </c>
      <c r="AC26" s="10">
        <v>98.01</v>
      </c>
      <c r="AD26" s="2">
        <f t="shared" si="1"/>
        <v>1.5099999999999909</v>
      </c>
      <c r="AE26" s="138">
        <f t="shared" si="2"/>
        <v>-2.1380574221135928E-3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42571</v>
      </c>
      <c r="X27" s="10">
        <v>98.65</v>
      </c>
      <c r="Y27" s="10">
        <v>98.69</v>
      </c>
      <c r="Z27" s="10">
        <v>97.14</v>
      </c>
      <c r="AA27" s="10">
        <v>98.22</v>
      </c>
      <c r="AB27" s="95">
        <v>10664900</v>
      </c>
      <c r="AC27" s="10">
        <v>98.22</v>
      </c>
      <c r="AD27" s="2">
        <f t="shared" si="1"/>
        <v>1.5499999999999972</v>
      </c>
      <c r="AE27" s="138">
        <f t="shared" si="2"/>
        <v>-1.2566602995878196E-2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42570</v>
      </c>
      <c r="X28" s="10">
        <v>99.81</v>
      </c>
      <c r="Y28" s="10">
        <v>99.99</v>
      </c>
      <c r="Z28" s="10">
        <v>99.36</v>
      </c>
      <c r="AA28" s="10">
        <v>99.47</v>
      </c>
      <c r="AB28" s="95">
        <v>5742700</v>
      </c>
      <c r="AC28" s="10">
        <v>99.47</v>
      </c>
      <c r="AD28" s="2">
        <f t="shared" si="1"/>
        <v>0.62999999999999545</v>
      </c>
      <c r="AE28" s="138">
        <f t="shared" si="2"/>
        <v>-6.7898152770844433E-3</v>
      </c>
    </row>
    <row r="29" spans="1:31" x14ac:dyDescent="0.25">
      <c r="B29" s="193">
        <v>42416</v>
      </c>
      <c r="C29" s="261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42569</v>
      </c>
      <c r="X29" s="10">
        <v>99.9</v>
      </c>
      <c r="Y29" s="10">
        <v>100.71</v>
      </c>
      <c r="Z29" s="10">
        <v>99.87</v>
      </c>
      <c r="AA29" s="10">
        <v>100.15</v>
      </c>
      <c r="AB29" s="95">
        <v>5051300</v>
      </c>
      <c r="AC29" s="10">
        <v>100.15</v>
      </c>
      <c r="AD29" s="2">
        <f t="shared" si="1"/>
        <v>0.8399999999999892</v>
      </c>
      <c r="AE29" s="138">
        <f t="shared" si="2"/>
        <v>3.507014028056199E-3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42566</v>
      </c>
      <c r="X30" s="10">
        <v>100.42</v>
      </c>
      <c r="Y30" s="10">
        <v>100.54</v>
      </c>
      <c r="Z30" s="10">
        <v>99.54</v>
      </c>
      <c r="AA30" s="10">
        <v>99.8</v>
      </c>
      <c r="AB30" s="95">
        <v>5764400</v>
      </c>
      <c r="AC30" s="10">
        <v>99.8</v>
      </c>
      <c r="AD30" s="2">
        <f t="shared" si="1"/>
        <v>1</v>
      </c>
      <c r="AE30" s="138">
        <f t="shared" si="2"/>
        <v>-1.7005101530459532E-3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42565</v>
      </c>
      <c r="X31" s="10">
        <v>100.42</v>
      </c>
      <c r="Y31" s="10">
        <v>100.8</v>
      </c>
      <c r="Z31" s="10">
        <v>99.68</v>
      </c>
      <c r="AA31" s="10">
        <v>99.97</v>
      </c>
      <c r="AB31" s="95">
        <v>7461500</v>
      </c>
      <c r="AC31" s="10">
        <v>99.97</v>
      </c>
      <c r="AD31" s="2">
        <f t="shared" si="1"/>
        <v>1.1199999999999903</v>
      </c>
      <c r="AE31" s="138">
        <f t="shared" si="2"/>
        <v>9.0108129755717137E-4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42564</v>
      </c>
      <c r="X32" s="10">
        <v>100.46</v>
      </c>
      <c r="Y32" s="10">
        <v>100.8</v>
      </c>
      <c r="Z32" s="10">
        <v>99.85</v>
      </c>
      <c r="AA32" s="10">
        <v>99.88</v>
      </c>
      <c r="AB32" s="95">
        <v>5494700</v>
      </c>
      <c r="AC32" s="10">
        <v>99.88</v>
      </c>
      <c r="AD32" s="2">
        <f t="shared" si="1"/>
        <v>0.95000000000000284</v>
      </c>
      <c r="AE32" s="138">
        <f t="shared" si="2"/>
        <v>-3.1936127744511822E-3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42563</v>
      </c>
      <c r="X33" s="10">
        <v>100.18</v>
      </c>
      <c r="Y33" s="10">
        <v>100.79</v>
      </c>
      <c r="Z33" s="10">
        <v>100</v>
      </c>
      <c r="AA33" s="10">
        <v>100.2</v>
      </c>
      <c r="AB33" s="95">
        <v>8508500</v>
      </c>
      <c r="AC33" s="10">
        <v>100.2</v>
      </c>
      <c r="AD33" s="2">
        <f t="shared" si="1"/>
        <v>0.79000000000000625</v>
      </c>
      <c r="AE33" s="138">
        <f t="shared" si="2"/>
        <v>2.2004400880175634E-3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42562</v>
      </c>
      <c r="X34" s="10">
        <v>99.8</v>
      </c>
      <c r="Y34" s="10">
        <v>100.35</v>
      </c>
      <c r="Z34" s="10">
        <v>99.4</v>
      </c>
      <c r="AA34" s="10">
        <v>99.98</v>
      </c>
      <c r="AB34" s="95">
        <v>5428000</v>
      </c>
      <c r="AC34" s="10">
        <v>99.98</v>
      </c>
      <c r="AD34" s="2">
        <f t="shared" si="1"/>
        <v>0.94999999999998863</v>
      </c>
      <c r="AE34" s="138">
        <f t="shared" si="2"/>
        <v>3.6137321822926616E-3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42559</v>
      </c>
      <c r="X35" s="10">
        <v>99.25</v>
      </c>
      <c r="Y35" s="10">
        <v>99.85</v>
      </c>
      <c r="Z35" s="10">
        <v>98.77</v>
      </c>
      <c r="AA35" s="10">
        <v>99.62</v>
      </c>
      <c r="AB35" s="95">
        <v>6045800</v>
      </c>
      <c r="AC35" s="10">
        <v>99.62</v>
      </c>
      <c r="AD35" s="2">
        <f t="shared" si="1"/>
        <v>1.0799999999999983</v>
      </c>
      <c r="AE35" s="138">
        <f t="shared" si="2"/>
        <v>1.2295498424956808E-2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42558</v>
      </c>
      <c r="X36" s="10">
        <v>97.63</v>
      </c>
      <c r="Y36" s="10">
        <v>98.48</v>
      </c>
      <c r="Z36" s="10">
        <v>97.58</v>
      </c>
      <c r="AA36" s="10">
        <v>98.41</v>
      </c>
      <c r="AB36" s="95">
        <v>5146000</v>
      </c>
      <c r="AC36" s="10">
        <v>98.41</v>
      </c>
      <c r="AD36" s="2">
        <f t="shared" si="1"/>
        <v>0.90000000000000568</v>
      </c>
      <c r="AE36" s="138" t="e">
        <f t="shared" si="2"/>
        <v>#DIV/0!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42558</v>
      </c>
      <c r="X37" s="10" t="s">
        <v>282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42557</v>
      </c>
      <c r="X38" s="10">
        <v>97</v>
      </c>
      <c r="Y38" s="10">
        <v>98.52</v>
      </c>
      <c r="Z38" s="10">
        <v>96.76</v>
      </c>
      <c r="AA38" s="10">
        <v>98.45</v>
      </c>
      <c r="AB38" s="95">
        <v>6223300</v>
      </c>
      <c r="AC38" s="10">
        <v>97.74</v>
      </c>
      <c r="AD38" s="2">
        <f t="shared" si="1"/>
        <v>1.7599999999999909</v>
      </c>
      <c r="AE38" s="138">
        <f t="shared" si="2"/>
        <v>8.0445544554454962E-3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42556</v>
      </c>
      <c r="X39" s="10">
        <v>97.77</v>
      </c>
      <c r="Y39" s="10">
        <v>98</v>
      </c>
      <c r="Z39" s="10">
        <v>97.17</v>
      </c>
      <c r="AA39" s="10">
        <v>97.66</v>
      </c>
      <c r="AB39" s="95">
        <v>5846400</v>
      </c>
      <c r="AC39" s="10">
        <v>96.96</v>
      </c>
      <c r="AD39" s="2">
        <f t="shared" si="1"/>
        <v>0.82999999999999829</v>
      </c>
      <c r="AE39" s="138">
        <f t="shared" si="2"/>
        <v>-3.6991368680641123E-3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5" t="s">
        <v>78</v>
      </c>
      <c r="P40" s="535"/>
      <c r="W40" s="133">
        <v>42552</v>
      </c>
      <c r="X40" s="10">
        <v>97.75</v>
      </c>
      <c r="Y40" s="10">
        <v>98.64</v>
      </c>
      <c r="Z40" s="10">
        <v>97.71</v>
      </c>
      <c r="AA40" s="10">
        <v>98.03</v>
      </c>
      <c r="AB40" s="95">
        <v>5681600</v>
      </c>
      <c r="AC40" s="10">
        <v>97.32</v>
      </c>
      <c r="AD40" s="2">
        <f t="shared" si="1"/>
        <v>0.93000000000000682</v>
      </c>
      <c r="AE40" s="138">
        <f t="shared" si="2"/>
        <v>2.1624961383996943E-3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105.402</v>
      </c>
      <c r="Q41" s="2"/>
      <c r="W41" s="133">
        <v>42551</v>
      </c>
      <c r="X41" s="10">
        <v>97.1</v>
      </c>
      <c r="Y41" s="10">
        <v>98.07</v>
      </c>
      <c r="Z41" s="10">
        <v>96.88</v>
      </c>
      <c r="AA41" s="10">
        <v>97.82</v>
      </c>
      <c r="AB41" s="95">
        <v>7189500</v>
      </c>
      <c r="AC41" s="10">
        <v>97.11</v>
      </c>
      <c r="AD41" s="2">
        <f t="shared" si="1"/>
        <v>1.1899999999999977</v>
      </c>
      <c r="AE41" s="138">
        <f t="shared" si="2"/>
        <v>8.6206896551723755E-3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104.4438</v>
      </c>
      <c r="Q42" s="2"/>
      <c r="T42" s="91" t="s">
        <v>113</v>
      </c>
      <c r="W42" s="133">
        <v>42550</v>
      </c>
      <c r="X42" s="10">
        <v>96.91</v>
      </c>
      <c r="Y42" s="10">
        <v>97.29</v>
      </c>
      <c r="Z42" s="10">
        <v>96.28</v>
      </c>
      <c r="AA42" s="10">
        <v>96.98</v>
      </c>
      <c r="AB42" s="95">
        <v>6563600</v>
      </c>
      <c r="AC42" s="10">
        <v>96.28</v>
      </c>
      <c r="AD42" s="2">
        <f t="shared" si="1"/>
        <v>1.0100000000000051</v>
      </c>
      <c r="AE42" s="138">
        <f t="shared" si="2"/>
        <v>9.6476510067113885E-3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103.48560000000001</v>
      </c>
      <c r="Q43" s="2"/>
      <c r="T43" s="128" t="s">
        <v>98</v>
      </c>
      <c r="U43" s="98">
        <v>95.97</v>
      </c>
      <c r="W43" s="133">
        <v>42549</v>
      </c>
      <c r="X43" s="10">
        <v>95.46</v>
      </c>
      <c r="Y43" s="10">
        <v>96.28</v>
      </c>
      <c r="Z43" s="10">
        <v>95.14</v>
      </c>
      <c r="AA43" s="10">
        <v>96.05</v>
      </c>
      <c r="AB43" s="95">
        <v>7143100</v>
      </c>
      <c r="AC43" s="10">
        <v>95.36</v>
      </c>
      <c r="AD43" s="2">
        <f t="shared" si="1"/>
        <v>1.1400000000000006</v>
      </c>
      <c r="AE43" s="138">
        <f t="shared" si="2"/>
        <v>1.7716115261472654E-2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102.5274</v>
      </c>
      <c r="Q44" s="2"/>
      <c r="T44" s="93" t="s">
        <v>99</v>
      </c>
      <c r="U44" s="88">
        <v>96.01</v>
      </c>
      <c r="W44" s="133">
        <v>42548</v>
      </c>
      <c r="X44" s="10">
        <v>94.91</v>
      </c>
      <c r="Y44" s="10">
        <v>95.23</v>
      </c>
      <c r="Z44" s="10">
        <v>94</v>
      </c>
      <c r="AA44" s="10">
        <v>94.38</v>
      </c>
      <c r="AB44" s="95">
        <v>9438400</v>
      </c>
      <c r="AC44" s="10">
        <v>93.7</v>
      </c>
      <c r="AD44" s="2">
        <f t="shared" si="1"/>
        <v>1.230000000000004</v>
      </c>
      <c r="AE44" s="138">
        <f t="shared" si="2"/>
        <v>-1.3995580343049596E-2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101.5692</v>
      </c>
      <c r="Q45" s="2"/>
      <c r="T45" s="93" t="s">
        <v>100</v>
      </c>
      <c r="U45" s="88" t="s">
        <v>487</v>
      </c>
      <c r="W45" s="133">
        <v>42545</v>
      </c>
      <c r="X45" s="10">
        <v>96.01</v>
      </c>
      <c r="Y45" s="10">
        <v>97.28</v>
      </c>
      <c r="Z45" s="10">
        <v>95.14</v>
      </c>
      <c r="AA45" s="10">
        <v>95.72</v>
      </c>
      <c r="AB45" s="95">
        <v>15079900</v>
      </c>
      <c r="AC45" s="10">
        <v>95.03</v>
      </c>
      <c r="AD45" s="2">
        <f t="shared" si="1"/>
        <v>2.1400000000000006</v>
      </c>
      <c r="AE45" s="138">
        <f t="shared" si="2"/>
        <v>-3.3363849048926864E-2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100.61099999999999</v>
      </c>
      <c r="Q46" s="2"/>
      <c r="T46" s="93" t="s">
        <v>101</v>
      </c>
      <c r="U46" s="88" t="s">
        <v>488</v>
      </c>
      <c r="W46" s="133">
        <v>42544</v>
      </c>
      <c r="X46" s="10">
        <v>99.44</v>
      </c>
      <c r="Y46" s="10">
        <v>99.62</v>
      </c>
      <c r="Z46" s="10">
        <v>98.61</v>
      </c>
      <c r="AA46" s="10">
        <v>99.02</v>
      </c>
      <c r="AB46" s="95">
        <v>5826100</v>
      </c>
      <c r="AC46" s="10">
        <v>98.31</v>
      </c>
      <c r="AD46" s="2">
        <f t="shared" si="1"/>
        <v>1.0100000000000051</v>
      </c>
      <c r="AE46" s="138">
        <f t="shared" si="2"/>
        <v>2.3450244698206557E-3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99.652799999999999</v>
      </c>
      <c r="Q47" s="2"/>
      <c r="T47" s="93" t="s">
        <v>102</v>
      </c>
      <c r="U47" s="88">
        <v>109.52</v>
      </c>
      <c r="W47" s="133">
        <v>42543</v>
      </c>
      <c r="X47" s="10">
        <v>99.08</v>
      </c>
      <c r="Y47" s="10">
        <v>99.62</v>
      </c>
      <c r="Z47" s="10">
        <v>98.7</v>
      </c>
      <c r="AA47" s="10">
        <v>98.79</v>
      </c>
      <c r="AB47" s="95">
        <v>4948900</v>
      </c>
      <c r="AC47" s="10">
        <v>98.08</v>
      </c>
      <c r="AD47" s="2">
        <f t="shared" si="1"/>
        <v>0.92000000000000171</v>
      </c>
      <c r="AE47" s="138">
        <f t="shared" si="2"/>
        <v>-3.0577922739782881E-4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98.694599999999994</v>
      </c>
      <c r="Q48" s="2"/>
      <c r="T48" s="93" t="s">
        <v>103</v>
      </c>
      <c r="U48" s="88">
        <v>1.46468</v>
      </c>
      <c r="W48" s="133">
        <v>42542</v>
      </c>
      <c r="X48" s="10">
        <v>99.73</v>
      </c>
      <c r="Y48" s="10">
        <v>99.79</v>
      </c>
      <c r="Z48" s="10">
        <v>98.77</v>
      </c>
      <c r="AA48" s="10">
        <v>98.82</v>
      </c>
      <c r="AB48" s="95">
        <v>5202500</v>
      </c>
      <c r="AC48" s="10">
        <v>98.11</v>
      </c>
      <c r="AD48" s="2">
        <f t="shared" si="1"/>
        <v>1.0200000000000102</v>
      </c>
      <c r="AE48" s="138">
        <f t="shared" si="2"/>
        <v>-7.4860900354071225E-3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97.736399999999989</v>
      </c>
      <c r="Q49" s="2"/>
      <c r="T49" s="93" t="s">
        <v>123</v>
      </c>
      <c r="U49" s="88" t="s">
        <v>341</v>
      </c>
      <c r="W49" s="133">
        <v>42541</v>
      </c>
      <c r="X49" s="10">
        <v>100.08</v>
      </c>
      <c r="Y49" s="10">
        <v>100.96</v>
      </c>
      <c r="Z49" s="10">
        <v>99.5</v>
      </c>
      <c r="AA49" s="10">
        <v>99.57</v>
      </c>
      <c r="AB49" s="95">
        <v>8268600</v>
      </c>
      <c r="AC49" s="10">
        <v>98.85</v>
      </c>
      <c r="AD49" s="2">
        <f t="shared" si="1"/>
        <v>1.4599999999999937</v>
      </c>
      <c r="AE49" s="138">
        <f t="shared" si="2"/>
        <v>5.697425984331872E-3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0"/>
        <v>96.778199999999998</v>
      </c>
      <c r="Q50" s="2"/>
      <c r="T50" s="93"/>
      <c r="U50" s="88"/>
      <c r="W50" s="133">
        <v>42538</v>
      </c>
      <c r="X50" s="10">
        <v>98.41</v>
      </c>
      <c r="Y50" s="10">
        <v>99.14</v>
      </c>
      <c r="Z50" s="10">
        <v>98.27</v>
      </c>
      <c r="AA50" s="10">
        <v>99</v>
      </c>
      <c r="AB50" s="95">
        <v>8959400</v>
      </c>
      <c r="AC50" s="10">
        <v>98.29</v>
      </c>
      <c r="AD50" s="2">
        <f t="shared" si="1"/>
        <v>0.87000000000000455</v>
      </c>
      <c r="AE50" s="138">
        <f t="shared" si="2"/>
        <v>6.3479062148050769E-3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0"/>
        <v>95.82</v>
      </c>
      <c r="Q51" s="2"/>
      <c r="T51" s="93" t="s">
        <v>105</v>
      </c>
      <c r="U51" s="88" t="s">
        <v>489</v>
      </c>
      <c r="W51" s="133">
        <v>42537</v>
      </c>
      <c r="X51" s="10">
        <v>97.8</v>
      </c>
      <c r="Y51" s="10">
        <v>98.63</v>
      </c>
      <c r="Z51" s="10">
        <v>96.86</v>
      </c>
      <c r="AA51" s="10">
        <v>98.38</v>
      </c>
      <c r="AB51" s="95">
        <v>7129700</v>
      </c>
      <c r="AC51" s="10">
        <v>97.67</v>
      </c>
      <c r="AD51" s="2">
        <f t="shared" si="1"/>
        <v>1.769999999999996</v>
      </c>
      <c r="AE51" s="138">
        <f t="shared" si="2"/>
        <v>1.1275112751127914E-3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94.861799999999988</v>
      </c>
      <c r="Q52" s="2"/>
      <c r="T52" s="93" t="s">
        <v>106</v>
      </c>
      <c r="U52" s="88" t="s">
        <v>338</v>
      </c>
      <c r="W52" s="133">
        <v>42536</v>
      </c>
      <c r="X52" s="10">
        <v>98.19</v>
      </c>
      <c r="Y52" s="10">
        <v>99</v>
      </c>
      <c r="Z52" s="10">
        <v>98.19</v>
      </c>
      <c r="AA52" s="10">
        <v>98.27</v>
      </c>
      <c r="AB52" s="95">
        <v>6663200</v>
      </c>
      <c r="AC52" s="10">
        <v>97.56</v>
      </c>
      <c r="AD52" s="2">
        <f t="shared" si="1"/>
        <v>0.81000000000000227</v>
      </c>
      <c r="AE52" s="138">
        <f t="shared" si="2"/>
        <v>-1.3307400962226934E-3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93.903599999999997</v>
      </c>
      <c r="Q53" s="2"/>
      <c r="T53" s="93" t="s">
        <v>107</v>
      </c>
      <c r="U53" s="90">
        <v>5912529</v>
      </c>
      <c r="W53" s="133">
        <v>42535</v>
      </c>
      <c r="X53" s="10">
        <v>97.2</v>
      </c>
      <c r="Y53" s="10">
        <v>98.55</v>
      </c>
      <c r="Z53" s="10">
        <v>97.18</v>
      </c>
      <c r="AA53" s="10">
        <v>98.4</v>
      </c>
      <c r="AB53" s="95">
        <v>6125700</v>
      </c>
      <c r="AC53" s="10">
        <v>97.69</v>
      </c>
      <c r="AD53" s="2">
        <f t="shared" si="1"/>
        <v>1.3699999999999903</v>
      </c>
      <c r="AE53" s="138">
        <f t="shared" si="2"/>
        <v>8.4649530298337439E-3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92.945399999999992</v>
      </c>
      <c r="T54" s="93" t="s">
        <v>110</v>
      </c>
      <c r="U54" s="90">
        <v>7231930</v>
      </c>
      <c r="W54" s="133">
        <v>42534</v>
      </c>
      <c r="X54" s="10">
        <v>96.75</v>
      </c>
      <c r="Y54" s="10">
        <v>98.98</v>
      </c>
      <c r="Z54" s="10">
        <v>96.7</v>
      </c>
      <c r="AA54" s="10">
        <v>97.57</v>
      </c>
      <c r="AB54" s="95">
        <v>8766300</v>
      </c>
      <c r="AC54" s="10">
        <v>96.87</v>
      </c>
      <c r="AD54" s="2">
        <f t="shared" si="1"/>
        <v>2.2800000000000011</v>
      </c>
      <c r="AE54" s="138">
        <f t="shared" si="2"/>
        <v>2.3799668874171509E-3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91.987199999999987</v>
      </c>
      <c r="T55" s="93" t="s">
        <v>108</v>
      </c>
      <c r="U55" s="88" t="s">
        <v>490</v>
      </c>
      <c r="W55" s="133">
        <v>42531</v>
      </c>
      <c r="X55" s="10">
        <v>97.15</v>
      </c>
      <c r="Y55" s="10">
        <v>97.71</v>
      </c>
      <c r="Z55" s="10">
        <v>96.78</v>
      </c>
      <c r="AA55" s="10">
        <v>97.34</v>
      </c>
      <c r="AB55" s="95">
        <v>7204400</v>
      </c>
      <c r="AC55" s="10">
        <v>96.64</v>
      </c>
      <c r="AD55" s="2">
        <f t="shared" si="1"/>
        <v>0.92999999999999261</v>
      </c>
      <c r="AE55" s="138">
        <f t="shared" si="2"/>
        <v>-5.0447853392360242E-3</v>
      </c>
    </row>
    <row r="56" spans="2:31" x14ac:dyDescent="0.25">
      <c r="O56" s="83">
        <v>0.95</v>
      </c>
      <c r="P56" s="83">
        <f t="shared" si="10"/>
        <v>91.028999999999996</v>
      </c>
      <c r="T56" s="93" t="s">
        <v>111</v>
      </c>
      <c r="U56" s="88">
        <v>17.22</v>
      </c>
      <c r="W56" s="133">
        <v>42530</v>
      </c>
      <c r="X56" s="10">
        <v>97.82</v>
      </c>
      <c r="Y56" s="10">
        <v>97.93</v>
      </c>
      <c r="Z56" s="10">
        <v>97.1</v>
      </c>
      <c r="AA56" s="10">
        <v>97.84</v>
      </c>
      <c r="AB56" s="95">
        <v>5379400</v>
      </c>
      <c r="AC56" s="10">
        <v>97.13</v>
      </c>
      <c r="AD56" s="2">
        <f t="shared" si="1"/>
        <v>0.83000000000001251</v>
      </c>
      <c r="AE56" s="138">
        <f t="shared" si="2"/>
        <v>-2.0548648926332902E-3</v>
      </c>
    </row>
    <row r="57" spans="2:31" x14ac:dyDescent="0.25">
      <c r="O57" s="83">
        <v>0.94</v>
      </c>
      <c r="P57" s="83">
        <f t="shared" si="10"/>
        <v>90.070799999999991</v>
      </c>
      <c r="T57" s="93" t="s">
        <v>112</v>
      </c>
      <c r="U57" s="88">
        <v>5.56</v>
      </c>
      <c r="W57" s="133">
        <v>42529</v>
      </c>
      <c r="X57" s="10">
        <v>98.49</v>
      </c>
      <c r="Y57" s="10">
        <v>98.82</v>
      </c>
      <c r="Z57" s="10">
        <v>97.7</v>
      </c>
      <c r="AA57" s="10">
        <v>98.04</v>
      </c>
      <c r="AB57" s="95">
        <v>5466200</v>
      </c>
      <c r="AC57" s="10">
        <v>97.33</v>
      </c>
      <c r="AD57" s="2">
        <f t="shared" si="1"/>
        <v>1.1199999999999903</v>
      </c>
      <c r="AE57" s="138">
        <f t="shared" si="2"/>
        <v>-3.1749283080705348E-3</v>
      </c>
    </row>
    <row r="58" spans="2:31" x14ac:dyDescent="0.25">
      <c r="O58" s="83">
        <v>0.93</v>
      </c>
      <c r="P58" s="83">
        <f t="shared" si="10"/>
        <v>89.1126</v>
      </c>
      <c r="T58" s="93" t="s">
        <v>109</v>
      </c>
      <c r="U58" s="88" t="s">
        <v>367</v>
      </c>
      <c r="W58" s="133">
        <v>42528</v>
      </c>
      <c r="X58" s="10">
        <v>99</v>
      </c>
      <c r="Y58" s="10">
        <v>99.04</v>
      </c>
      <c r="Z58" s="10">
        <v>98.32</v>
      </c>
      <c r="AA58" s="10">
        <v>98.35</v>
      </c>
      <c r="AB58" s="95">
        <v>5608400</v>
      </c>
      <c r="AC58" s="10">
        <v>97.64</v>
      </c>
      <c r="AD58" s="2">
        <f t="shared" si="1"/>
        <v>0.72000000000001307</v>
      </c>
      <c r="AE58" s="138">
        <f t="shared" si="2"/>
        <v>-4.3846232283062392E-3</v>
      </c>
    </row>
    <row r="59" spans="2:31" x14ac:dyDescent="0.25">
      <c r="O59" s="83">
        <v>0.92</v>
      </c>
      <c r="P59" s="83">
        <f t="shared" si="10"/>
        <v>88.154399999999995</v>
      </c>
      <c r="W59" s="133">
        <v>42527</v>
      </c>
      <c r="X59" s="10">
        <v>98.96</v>
      </c>
      <c r="Y59" s="10">
        <v>99.12</v>
      </c>
      <c r="Z59" s="10">
        <v>98.47</v>
      </c>
      <c r="AA59" s="10">
        <v>98.78</v>
      </c>
      <c r="AB59" s="95">
        <v>4986600</v>
      </c>
      <c r="AC59" s="10">
        <v>98.07</v>
      </c>
      <c r="AD59" s="2">
        <f t="shared" si="1"/>
        <v>0.65000000000000568</v>
      </c>
      <c r="AE59" s="138">
        <f t="shared" si="2"/>
        <v>3.0599755201943246E-4</v>
      </c>
    </row>
    <row r="60" spans="2:31" x14ac:dyDescent="0.25">
      <c r="O60" s="83">
        <v>0.91</v>
      </c>
      <c r="P60" s="83">
        <f t="shared" si="10"/>
        <v>87.19619999999999</v>
      </c>
      <c r="W60" s="133">
        <v>42524</v>
      </c>
      <c r="X60" s="10">
        <v>98.66</v>
      </c>
      <c r="Y60" s="10">
        <v>98.92</v>
      </c>
      <c r="Z60" s="10">
        <v>97.73</v>
      </c>
      <c r="AA60" s="10">
        <v>98.75</v>
      </c>
      <c r="AB60" s="95">
        <v>6857500</v>
      </c>
      <c r="AC60" s="10">
        <v>98.04</v>
      </c>
      <c r="AD60" s="2">
        <f t="shared" si="1"/>
        <v>1.1899999999999977</v>
      </c>
      <c r="AE60" s="138">
        <f t="shared" si="2"/>
        <v>3.0609121518221372E-4</v>
      </c>
    </row>
    <row r="61" spans="2:31" x14ac:dyDescent="0.25">
      <c r="O61" s="83">
        <v>0.9</v>
      </c>
      <c r="P61" s="83">
        <f t="shared" si="10"/>
        <v>86.238</v>
      </c>
      <c r="W61" s="133">
        <v>42523</v>
      </c>
      <c r="X61" s="10">
        <v>98.07</v>
      </c>
      <c r="Y61" s="10">
        <v>98.72</v>
      </c>
      <c r="Z61" s="10">
        <v>97.87</v>
      </c>
      <c r="AA61" s="10">
        <v>98.72</v>
      </c>
      <c r="AB61" s="95">
        <v>4830100</v>
      </c>
      <c r="AC61" s="10">
        <v>98.01</v>
      </c>
      <c r="AD61" s="2">
        <f t="shared" si="1"/>
        <v>0.84999999999999432</v>
      </c>
      <c r="AE61" s="138">
        <f t="shared" si="2"/>
        <v>2.0447806972703209E-3</v>
      </c>
    </row>
    <row r="62" spans="2:31" x14ac:dyDescent="0.25">
      <c r="W62" s="133">
        <v>42522</v>
      </c>
      <c r="X62" s="10">
        <v>98.67</v>
      </c>
      <c r="Y62" s="10">
        <v>98.99</v>
      </c>
      <c r="Z62" s="10">
        <v>97.73</v>
      </c>
      <c r="AA62" s="10">
        <v>98.52</v>
      </c>
      <c r="AB62" s="95">
        <v>7243900</v>
      </c>
      <c r="AC62" s="10">
        <v>97.81</v>
      </c>
      <c r="AD62" s="2">
        <f t="shared" si="1"/>
        <v>1.2599999999999909</v>
      </c>
      <c r="AE62" s="138">
        <f t="shared" si="2"/>
        <v>-7.0050761421319718E-3</v>
      </c>
    </row>
    <row r="63" spans="2:31" x14ac:dyDescent="0.25">
      <c r="W63" s="133">
        <v>42521</v>
      </c>
      <c r="X63" s="10">
        <v>99.85</v>
      </c>
      <c r="Y63" s="10">
        <v>99.89</v>
      </c>
      <c r="Z63" s="10">
        <v>98.57</v>
      </c>
      <c r="AA63" s="10">
        <v>99.22</v>
      </c>
      <c r="AB63" s="95">
        <v>10396200</v>
      </c>
      <c r="AC63" s="10">
        <v>98.5</v>
      </c>
      <c r="AD63" s="2">
        <f t="shared" si="1"/>
        <v>1.3200000000000074</v>
      </c>
      <c r="AE63" s="138">
        <f t="shared" si="2"/>
        <v>-1.0746208697398729E-2</v>
      </c>
    </row>
    <row r="64" spans="2:31" x14ac:dyDescent="0.25">
      <c r="W64" s="133">
        <v>42517</v>
      </c>
      <c r="X64" s="10">
        <v>99.81</v>
      </c>
      <c r="Y64" s="10">
        <v>100.53</v>
      </c>
      <c r="Z64" s="10">
        <v>99.81</v>
      </c>
      <c r="AA64" s="10">
        <v>100.29</v>
      </c>
      <c r="AB64" s="95">
        <v>4589100</v>
      </c>
      <c r="AC64" s="10">
        <v>99.57</v>
      </c>
      <c r="AD64" s="2">
        <f t="shared" si="1"/>
        <v>0.71999999999999886</v>
      </c>
      <c r="AE64" s="138">
        <f t="shared" si="2"/>
        <v>4.844081138358991E-3</v>
      </c>
    </row>
    <row r="65" spans="23:31" x14ac:dyDescent="0.25">
      <c r="W65" s="133">
        <v>42516</v>
      </c>
      <c r="X65" s="10">
        <v>99.89</v>
      </c>
      <c r="Y65" s="10">
        <v>100.49</v>
      </c>
      <c r="Z65" s="10">
        <v>99.57</v>
      </c>
      <c r="AA65" s="10">
        <v>99.81</v>
      </c>
      <c r="AB65" s="95">
        <v>3852600</v>
      </c>
      <c r="AC65" s="10">
        <v>99.09</v>
      </c>
      <c r="AD65" s="2">
        <f t="shared" si="1"/>
        <v>0.92000000000000171</v>
      </c>
      <c r="AE65" s="138">
        <f t="shared" si="2"/>
        <v>-5.043373007866947E-4</v>
      </c>
    </row>
    <row r="66" spans="23:31" x14ac:dyDescent="0.25">
      <c r="W66" s="133">
        <v>42515</v>
      </c>
      <c r="X66" s="10">
        <v>99.92</v>
      </c>
      <c r="Y66" s="10">
        <v>100.8</v>
      </c>
      <c r="Z66" s="10">
        <v>99.81</v>
      </c>
      <c r="AA66" s="10">
        <v>99.86</v>
      </c>
      <c r="AB66" s="95">
        <v>5667300</v>
      </c>
      <c r="AC66" s="10">
        <v>99.14</v>
      </c>
      <c r="AD66" s="2">
        <f t="shared" si="1"/>
        <v>0.98999999999999488</v>
      </c>
      <c r="AE66" s="138">
        <f t="shared" si="2"/>
        <v>3.5428687114080759E-3</v>
      </c>
    </row>
    <row r="67" spans="23:31" x14ac:dyDescent="0.25">
      <c r="W67" s="133">
        <v>42514</v>
      </c>
      <c r="X67" s="10">
        <v>99.45</v>
      </c>
      <c r="Y67" s="10">
        <v>100.04</v>
      </c>
      <c r="Z67" s="10">
        <v>99.38</v>
      </c>
      <c r="AA67" s="10">
        <v>99.51</v>
      </c>
      <c r="AB67" s="95">
        <v>5250800</v>
      </c>
      <c r="AC67" s="10">
        <v>98.79</v>
      </c>
      <c r="AD67" s="2">
        <f>Y67-Z67</f>
        <v>0.6600000000000108</v>
      </c>
      <c r="AE67" s="138" t="e">
        <f>AC67/#REF!-1</f>
        <v>#REF!</v>
      </c>
    </row>
    <row r="68" spans="23:31" x14ac:dyDescent="0.25">
      <c r="W68" s="133">
        <v>42513</v>
      </c>
      <c r="X68" s="10">
        <v>99.6</v>
      </c>
      <c r="Y68" s="10">
        <v>100.33</v>
      </c>
      <c r="Z68" s="10">
        <v>99.12</v>
      </c>
      <c r="AA68" s="10">
        <v>99.18</v>
      </c>
      <c r="AB68" s="95">
        <v>5588600</v>
      </c>
      <c r="AC68" s="10">
        <v>98.46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42606</v>
      </c>
      <c r="X2" s="9">
        <v>4.6500000000000004</v>
      </c>
      <c r="Y2" s="9">
        <v>4.7</v>
      </c>
      <c r="Z2" s="9">
        <v>4.6399999999999997</v>
      </c>
      <c r="AA2" s="9">
        <v>4.66</v>
      </c>
      <c r="AB2" s="104">
        <v>11187700</v>
      </c>
      <c r="AC2" s="9">
        <v>4.66</v>
      </c>
      <c r="AD2" s="40">
        <f>Y2-Z2</f>
        <v>6.0000000000000497E-2</v>
      </c>
      <c r="AE2" s="162">
        <f>AC2/AC3-1</f>
        <v>2.1505376344086446E-3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4.66</v>
      </c>
      <c r="T3" s="1"/>
      <c r="W3" s="110">
        <v>42605</v>
      </c>
      <c r="X3" s="9">
        <v>4.6900000000000004</v>
      </c>
      <c r="Y3" s="9">
        <v>4.7</v>
      </c>
      <c r="Z3" s="9">
        <v>4.62</v>
      </c>
      <c r="AA3" s="9">
        <v>4.6500000000000004</v>
      </c>
      <c r="AB3" s="104">
        <v>12520900</v>
      </c>
      <c r="AC3" s="9">
        <v>4.6500000000000004</v>
      </c>
      <c r="AD3" s="40">
        <f t="shared" ref="AD3:AD66" si="0">Y3-Z3</f>
        <v>8.0000000000000071E-2</v>
      </c>
      <c r="AE3" s="162">
        <f t="shared" ref="AE3:AE66" si="1">AC3/AC4-1</f>
        <v>2.1551724137931494E-3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4.66</v>
      </c>
      <c r="T4" s="163"/>
      <c r="W4" s="110">
        <v>42604</v>
      </c>
      <c r="X4" s="9">
        <v>4.72</v>
      </c>
      <c r="Y4" s="9">
        <v>4.72</v>
      </c>
      <c r="Z4" s="9">
        <v>4.6100000000000003</v>
      </c>
      <c r="AA4" s="9">
        <v>4.6399999999999997</v>
      </c>
      <c r="AB4" s="104">
        <v>17513400</v>
      </c>
      <c r="AC4" s="9">
        <v>4.6399999999999997</v>
      </c>
      <c r="AD4" s="40">
        <f t="shared" si="0"/>
        <v>0.10999999999999943</v>
      </c>
      <c r="AE4" s="162">
        <f t="shared" si="1"/>
        <v>-1.0660980810234699E-2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42601</v>
      </c>
      <c r="X5" s="9">
        <v>4.8</v>
      </c>
      <c r="Y5" s="9">
        <v>4.8099999999999996</v>
      </c>
      <c r="Z5" s="9">
        <v>4.66</v>
      </c>
      <c r="AA5" s="9">
        <v>4.6900000000000004</v>
      </c>
      <c r="AB5" s="104">
        <v>16956700</v>
      </c>
      <c r="AC5" s="9">
        <v>4.6900000000000004</v>
      </c>
      <c r="AD5" s="40">
        <f t="shared" si="0"/>
        <v>0.14999999999999947</v>
      </c>
      <c r="AE5" s="162">
        <f t="shared" si="1"/>
        <v>-1.882845188284521E-2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42600</v>
      </c>
      <c r="X6" s="9">
        <v>4.7699999999999996</v>
      </c>
      <c r="Y6" s="9">
        <v>4.8</v>
      </c>
      <c r="Z6" s="9">
        <v>4.71</v>
      </c>
      <c r="AA6" s="9">
        <v>4.78</v>
      </c>
      <c r="AB6" s="104">
        <v>17829600</v>
      </c>
      <c r="AC6" s="9">
        <v>4.78</v>
      </c>
      <c r="AD6" s="40">
        <f t="shared" si="0"/>
        <v>8.9999999999999858E-2</v>
      </c>
      <c r="AE6" s="162">
        <f t="shared" si="1"/>
        <v>1.2711864406779849E-2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42599</v>
      </c>
      <c r="X7" s="9">
        <v>4.8499999999999996</v>
      </c>
      <c r="Y7" s="9">
        <v>4.87</v>
      </c>
      <c r="Z7" s="9">
        <v>4.71</v>
      </c>
      <c r="AA7" s="9">
        <v>4.72</v>
      </c>
      <c r="AB7" s="104">
        <v>28260500</v>
      </c>
      <c r="AC7" s="9">
        <v>4.72</v>
      </c>
      <c r="AD7" s="40">
        <f t="shared" si="0"/>
        <v>0.16000000000000014</v>
      </c>
      <c r="AE7" s="162">
        <f t="shared" si="1"/>
        <v>-2.6804123711340222E-2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42598</v>
      </c>
      <c r="X8" s="9">
        <v>4.91</v>
      </c>
      <c r="Y8" s="9">
        <v>4.91</v>
      </c>
      <c r="Z8" s="9">
        <v>4.84</v>
      </c>
      <c r="AA8" s="9">
        <v>4.8499999999999996</v>
      </c>
      <c r="AB8" s="104">
        <v>13670600</v>
      </c>
      <c r="AC8" s="9">
        <v>4.8499999999999996</v>
      </c>
      <c r="AD8" s="40">
        <f t="shared" si="0"/>
        <v>7.0000000000000284E-2</v>
      </c>
      <c r="AE8" s="162">
        <f t="shared" si="1"/>
        <v>-1.0204081632653184E-2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225</v>
      </c>
      <c r="Q9" s="138">
        <f>IF(Q2=0, 0, Q8/Q6)</f>
        <v>0</v>
      </c>
      <c r="W9" s="110">
        <v>42597</v>
      </c>
      <c r="X9" s="9">
        <v>4.8499999999999996</v>
      </c>
      <c r="Y9" s="9">
        <v>4.9000000000000004</v>
      </c>
      <c r="Z9" s="9">
        <v>4.83</v>
      </c>
      <c r="AA9" s="9">
        <v>4.9000000000000004</v>
      </c>
      <c r="AB9" s="104">
        <v>15472800</v>
      </c>
      <c r="AC9" s="9">
        <v>4.9000000000000004</v>
      </c>
      <c r="AD9" s="40">
        <f t="shared" si="0"/>
        <v>7.0000000000000284E-2</v>
      </c>
      <c r="AE9" s="162">
        <f t="shared" si="1"/>
        <v>1.0309278350515649E-2</v>
      </c>
    </row>
    <row r="10" spans="1:31" x14ac:dyDescent="0.25">
      <c r="O10" s="11" t="s">
        <v>224</v>
      </c>
      <c r="P10" s="34"/>
      <c r="Q10" s="2">
        <f>M43</f>
        <v>434.93000000000029</v>
      </c>
      <c r="W10" s="110">
        <v>42594</v>
      </c>
      <c r="X10" s="9">
        <v>4.8499999999999996</v>
      </c>
      <c r="Y10" s="9">
        <v>4.87</v>
      </c>
      <c r="Z10" s="9">
        <v>4.82</v>
      </c>
      <c r="AA10" s="9">
        <v>4.8499999999999996</v>
      </c>
      <c r="AB10" s="104">
        <v>14199400</v>
      </c>
      <c r="AC10" s="9">
        <v>4.8499999999999996</v>
      </c>
      <c r="AD10" s="40">
        <f t="shared" si="0"/>
        <v>4.9999999999999822E-2</v>
      </c>
      <c r="AE10" s="162">
        <f t="shared" si="1"/>
        <v>0</v>
      </c>
    </row>
    <row r="11" spans="1:31" x14ac:dyDescent="0.25">
      <c r="O11" s="11" t="s">
        <v>184</v>
      </c>
      <c r="P11" s="34"/>
      <c r="Q11" s="138">
        <f>VALUE(TRIM(CLEAN(MID(U58, FIND("(", U58)+1, 5))))</f>
        <v>8.9599999999999999E-2</v>
      </c>
      <c r="W11" s="110">
        <v>42593</v>
      </c>
      <c r="X11" s="9">
        <v>4.91</v>
      </c>
      <c r="Y11" s="9">
        <v>4.9400000000000004</v>
      </c>
      <c r="Z11" s="9">
        <v>4.8099999999999996</v>
      </c>
      <c r="AA11" s="9">
        <v>4.8499999999999996</v>
      </c>
      <c r="AB11" s="104">
        <v>15006800</v>
      </c>
      <c r="AC11" s="9">
        <v>4.8499999999999996</v>
      </c>
      <c r="AD11" s="40">
        <f t="shared" si="0"/>
        <v>0.13000000000000078</v>
      </c>
      <c r="AE11" s="162">
        <f t="shared" si="1"/>
        <v>-6.147540983606592E-3</v>
      </c>
    </row>
    <row r="12" spans="1:31" x14ac:dyDescent="0.25">
      <c r="W12" s="110">
        <v>42592</v>
      </c>
      <c r="X12" s="9">
        <v>4.96</v>
      </c>
      <c r="Y12" s="9">
        <v>4.97</v>
      </c>
      <c r="Z12" s="9">
        <v>4.8600000000000003</v>
      </c>
      <c r="AA12" s="9">
        <v>4.88</v>
      </c>
      <c r="AB12" s="104">
        <v>17018900</v>
      </c>
      <c r="AC12" s="9">
        <v>4.88</v>
      </c>
      <c r="AD12" s="40">
        <f t="shared" si="0"/>
        <v>0.10999999999999943</v>
      </c>
      <c r="AE12" s="162">
        <f t="shared" si="1"/>
        <v>-1.4141414141414232E-2</v>
      </c>
    </row>
    <row r="13" spans="1:31" x14ac:dyDescent="0.25">
      <c r="W13" s="110">
        <v>42591</v>
      </c>
      <c r="X13" s="9">
        <v>4.95</v>
      </c>
      <c r="Y13" s="9">
        <v>4.9800000000000004</v>
      </c>
      <c r="Z13" s="9">
        <v>4.88</v>
      </c>
      <c r="AA13" s="9">
        <v>4.95</v>
      </c>
      <c r="AB13" s="104">
        <v>16059800</v>
      </c>
      <c r="AC13" s="9">
        <v>4.95</v>
      </c>
      <c r="AD13" s="40">
        <f t="shared" si="0"/>
        <v>0.10000000000000053</v>
      </c>
      <c r="AE13" s="162">
        <f t="shared" si="1"/>
        <v>4.0567951318459805E-3</v>
      </c>
    </row>
    <row r="14" spans="1:31" x14ac:dyDescent="0.25">
      <c r="W14" s="110">
        <v>42590</v>
      </c>
      <c r="X14" s="9">
        <v>4.88</v>
      </c>
      <c r="Y14" s="9">
        <v>4.95</v>
      </c>
      <c r="Z14" s="9">
        <v>4.87</v>
      </c>
      <c r="AA14" s="9">
        <v>4.93</v>
      </c>
      <c r="AB14" s="104">
        <v>14709700</v>
      </c>
      <c r="AC14" s="9">
        <v>4.93</v>
      </c>
      <c r="AD14" s="40">
        <f t="shared" si="0"/>
        <v>8.0000000000000071E-2</v>
      </c>
      <c r="AE14" s="162">
        <f t="shared" si="1"/>
        <v>1.4403292181069727E-2</v>
      </c>
    </row>
    <row r="15" spans="1:31" x14ac:dyDescent="0.25">
      <c r="W15" s="110">
        <v>42587</v>
      </c>
      <c r="X15" s="9">
        <v>4.96</v>
      </c>
      <c r="Y15" s="9">
        <v>4.9800000000000004</v>
      </c>
      <c r="Z15" s="9">
        <v>4.8499999999999996</v>
      </c>
      <c r="AA15" s="9">
        <v>4.8600000000000003</v>
      </c>
      <c r="AB15" s="104">
        <v>22395000</v>
      </c>
      <c r="AC15" s="9">
        <v>4.8600000000000003</v>
      </c>
      <c r="AD15" s="40">
        <f t="shared" si="0"/>
        <v>0.13000000000000078</v>
      </c>
      <c r="AE15" s="162">
        <f t="shared" si="1"/>
        <v>-1.4198782961460377E-2</v>
      </c>
    </row>
    <row r="16" spans="1:31" x14ac:dyDescent="0.25">
      <c r="W16" s="110">
        <v>42586</v>
      </c>
      <c r="X16" s="9">
        <v>4.88</v>
      </c>
      <c r="Y16" s="9">
        <v>4.96</v>
      </c>
      <c r="Z16" s="9">
        <v>4.7699999999999996</v>
      </c>
      <c r="AA16" s="9">
        <v>4.93</v>
      </c>
      <c r="AB16" s="104">
        <v>27512400</v>
      </c>
      <c r="AC16" s="9">
        <v>4.93</v>
      </c>
      <c r="AD16" s="40">
        <f t="shared" si="0"/>
        <v>0.19000000000000039</v>
      </c>
      <c r="AE16" s="162">
        <f t="shared" si="1"/>
        <v>2.2821576763485396E-2</v>
      </c>
    </row>
    <row r="17" spans="1:31" x14ac:dyDescent="0.25">
      <c r="H17" s="72"/>
      <c r="W17" s="110">
        <v>42585</v>
      </c>
      <c r="X17" s="9">
        <v>4.8499999999999996</v>
      </c>
      <c r="Y17" s="9">
        <v>4.87</v>
      </c>
      <c r="Z17" s="9">
        <v>4.76</v>
      </c>
      <c r="AA17" s="9">
        <v>4.82</v>
      </c>
      <c r="AB17" s="104">
        <v>27920700</v>
      </c>
      <c r="AC17" s="9">
        <v>4.82</v>
      </c>
      <c r="AD17" s="40">
        <f t="shared" si="0"/>
        <v>0.11000000000000032</v>
      </c>
      <c r="AE17" s="162">
        <f t="shared" si="1"/>
        <v>-6.1855670103091454E-3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42584</v>
      </c>
      <c r="X18" s="9">
        <v>4.93</v>
      </c>
      <c r="Y18" s="9">
        <v>4.9400000000000004</v>
      </c>
      <c r="Z18" s="9">
        <v>4.66</v>
      </c>
      <c r="AA18" s="9">
        <v>4.8499999999999996</v>
      </c>
      <c r="AB18" s="104">
        <v>70072300</v>
      </c>
      <c r="AC18" s="9">
        <v>4.8499999999999996</v>
      </c>
      <c r="AD18" s="40">
        <f t="shared" si="0"/>
        <v>0.28000000000000025</v>
      </c>
      <c r="AE18" s="162">
        <f t="shared" si="1"/>
        <v>-4.5275590551181133E-2</v>
      </c>
    </row>
    <row r="19" spans="1:31" x14ac:dyDescent="0.25">
      <c r="W19" s="110">
        <v>42583</v>
      </c>
      <c r="X19" s="9">
        <v>5.2</v>
      </c>
      <c r="Y19" s="9">
        <v>5.22</v>
      </c>
      <c r="Z19" s="9">
        <v>5.0599999999999996</v>
      </c>
      <c r="AA19" s="9">
        <v>5.08</v>
      </c>
      <c r="AB19" s="104">
        <v>22528900</v>
      </c>
      <c r="AC19" s="9">
        <v>5.08</v>
      </c>
      <c r="AD19" s="40">
        <f t="shared" si="0"/>
        <v>0.16000000000000014</v>
      </c>
      <c r="AE19" s="162">
        <f t="shared" si="1"/>
        <v>-2.3076923076923106E-2</v>
      </c>
    </row>
    <row r="20" spans="1:31" x14ac:dyDescent="0.25">
      <c r="W20" s="110">
        <v>42580</v>
      </c>
      <c r="X20" s="9">
        <v>5.0999999999999996</v>
      </c>
      <c r="Y20" s="9">
        <v>5.2</v>
      </c>
      <c r="Z20" s="9">
        <v>5.0999999999999996</v>
      </c>
      <c r="AA20" s="9">
        <v>5.2</v>
      </c>
      <c r="AB20" s="104">
        <v>14295600</v>
      </c>
      <c r="AC20" s="9">
        <v>5.2</v>
      </c>
      <c r="AD20" s="40">
        <f t="shared" si="0"/>
        <v>0.10000000000000053</v>
      </c>
      <c r="AE20" s="162">
        <f t="shared" si="1"/>
        <v>2.16110019646365E-2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42579</v>
      </c>
      <c r="X21" s="9">
        <v>5.09</v>
      </c>
      <c r="Y21" s="9">
        <v>5.14</v>
      </c>
      <c r="Z21" s="9">
        <v>5.08</v>
      </c>
      <c r="AA21" s="9">
        <v>5.09</v>
      </c>
      <c r="AB21" s="104">
        <v>9470900</v>
      </c>
      <c r="AC21" s="9">
        <v>5.09</v>
      </c>
      <c r="AD21" s="40">
        <f t="shared" si="0"/>
        <v>5.9999999999999609E-2</v>
      </c>
      <c r="AE21" s="162">
        <f t="shared" si="1"/>
        <v>0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42578</v>
      </c>
      <c r="X22" s="9">
        <v>5.15</v>
      </c>
      <c r="Y22" s="9">
        <v>5.17</v>
      </c>
      <c r="Z22" s="9">
        <v>5.07</v>
      </c>
      <c r="AA22" s="9">
        <v>5.09</v>
      </c>
      <c r="AB22" s="104">
        <v>13254600</v>
      </c>
      <c r="AC22" s="9">
        <v>5.09</v>
      </c>
      <c r="AD22" s="40">
        <f t="shared" si="0"/>
        <v>9.9999999999999645E-2</v>
      </c>
      <c r="AE22" s="162">
        <f t="shared" si="1"/>
        <v>-1.1650485436893288E-2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42577</v>
      </c>
      <c r="X23" s="9">
        <v>5.15</v>
      </c>
      <c r="Y23" s="9">
        <v>5.19</v>
      </c>
      <c r="Z23" s="9">
        <v>5.1100000000000003</v>
      </c>
      <c r="AA23" s="9">
        <v>5.15</v>
      </c>
      <c r="AB23" s="104">
        <v>7036000</v>
      </c>
      <c r="AC23" s="9">
        <v>5.15</v>
      </c>
      <c r="AD23" s="40">
        <f t="shared" si="0"/>
        <v>8.0000000000000071E-2</v>
      </c>
      <c r="AE23" s="162">
        <f t="shared" si="1"/>
        <v>3.8986354775829568E-3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42576</v>
      </c>
      <c r="X24" s="9">
        <v>5.17</v>
      </c>
      <c r="Y24" s="9">
        <v>5.2</v>
      </c>
      <c r="Z24" s="9">
        <v>5.13</v>
      </c>
      <c r="AA24" s="9">
        <v>5.13</v>
      </c>
      <c r="AB24" s="104">
        <v>10026600</v>
      </c>
      <c r="AC24" s="9">
        <v>5.13</v>
      </c>
      <c r="AD24" s="40">
        <f t="shared" si="0"/>
        <v>7.0000000000000284E-2</v>
      </c>
      <c r="AE24" s="162">
        <f t="shared" si="1"/>
        <v>-7.7369439071567347E-3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42573</v>
      </c>
      <c r="X25" s="9">
        <v>5.1100000000000003</v>
      </c>
      <c r="Y25" s="9">
        <v>5.2</v>
      </c>
      <c r="Z25" s="9">
        <v>5.08</v>
      </c>
      <c r="AA25" s="9">
        <v>5.17</v>
      </c>
      <c r="AB25" s="104">
        <v>12124200</v>
      </c>
      <c r="AC25" s="9">
        <v>5.17</v>
      </c>
      <c r="AD25" s="40">
        <f t="shared" si="0"/>
        <v>0.12000000000000011</v>
      </c>
      <c r="AE25" s="162">
        <f t="shared" si="1"/>
        <v>1.3725490196078383E-2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42572</v>
      </c>
      <c r="X26" s="9">
        <v>5.05</v>
      </c>
      <c r="Y26" s="9">
        <v>5.15</v>
      </c>
      <c r="Z26" s="9">
        <v>5.04</v>
      </c>
      <c r="AA26" s="9">
        <v>5.0999999999999996</v>
      </c>
      <c r="AB26" s="104">
        <v>15305500</v>
      </c>
      <c r="AC26" s="9">
        <v>5.0999999999999996</v>
      </c>
      <c r="AD26" s="40">
        <f t="shared" si="0"/>
        <v>0.11000000000000032</v>
      </c>
      <c r="AE26" s="162">
        <f t="shared" si="1"/>
        <v>1.1904761904761862E-2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42571</v>
      </c>
      <c r="X27" s="9">
        <v>5.05</v>
      </c>
      <c r="Y27" s="9">
        <v>5.0599999999999996</v>
      </c>
      <c r="Z27" s="9">
        <v>4.9800000000000004</v>
      </c>
      <c r="AA27" s="9">
        <v>5.04</v>
      </c>
      <c r="AB27" s="104">
        <v>10299200</v>
      </c>
      <c r="AC27" s="9">
        <v>5.04</v>
      </c>
      <c r="AD27" s="40">
        <f t="shared" si="0"/>
        <v>7.9999999999999183E-2</v>
      </c>
      <c r="AE27" s="162">
        <f t="shared" si="1"/>
        <v>3.9840637450199168E-3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42570</v>
      </c>
      <c r="X28" s="9">
        <v>5.17</v>
      </c>
      <c r="Y28" s="9">
        <v>5.18</v>
      </c>
      <c r="Z28" s="9">
        <v>5.0199999999999996</v>
      </c>
      <c r="AA28" s="9">
        <v>5.0199999999999996</v>
      </c>
      <c r="AB28" s="104">
        <v>16074400</v>
      </c>
      <c r="AC28" s="9">
        <v>5.0199999999999996</v>
      </c>
      <c r="AD28" s="40">
        <f t="shared" si="0"/>
        <v>0.16000000000000014</v>
      </c>
      <c r="AE28" s="162">
        <f t="shared" si="1"/>
        <v>-3.4615384615384714E-2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42569</v>
      </c>
      <c r="X29" s="9">
        <v>5.0999999999999996</v>
      </c>
      <c r="Y29" s="9">
        <v>5.21</v>
      </c>
      <c r="Z29" s="9">
        <v>5.01</v>
      </c>
      <c r="AA29" s="9">
        <v>5.2</v>
      </c>
      <c r="AB29" s="104">
        <v>18997000</v>
      </c>
      <c r="AC29" s="9">
        <v>5.2</v>
      </c>
      <c r="AD29" s="40">
        <f t="shared" si="0"/>
        <v>0.20000000000000018</v>
      </c>
      <c r="AE29" s="162">
        <f t="shared" si="1"/>
        <v>5.8027079303675233E-3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42566</v>
      </c>
      <c r="X30" s="9">
        <v>5.13</v>
      </c>
      <c r="Y30" s="9">
        <v>5.17</v>
      </c>
      <c r="Z30" s="9">
        <v>5.1100000000000003</v>
      </c>
      <c r="AA30" s="9">
        <v>5.17</v>
      </c>
      <c r="AB30" s="104">
        <v>11643500</v>
      </c>
      <c r="AC30" s="9">
        <v>5.17</v>
      </c>
      <c r="AD30" s="40">
        <f t="shared" si="0"/>
        <v>5.9999999999999609E-2</v>
      </c>
      <c r="AE30" s="162">
        <f t="shared" si="1"/>
        <v>1.1741682974559575E-2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42565</v>
      </c>
      <c r="X31" s="9">
        <v>5.09</v>
      </c>
      <c r="Y31" s="9">
        <v>5.13</v>
      </c>
      <c r="Z31" s="9">
        <v>5.0599999999999996</v>
      </c>
      <c r="AA31" s="9">
        <v>5.1100000000000003</v>
      </c>
      <c r="AB31" s="104">
        <v>12098800</v>
      </c>
      <c r="AC31" s="9">
        <v>5.1100000000000003</v>
      </c>
      <c r="AD31" s="40">
        <f t="shared" si="0"/>
        <v>7.0000000000000284E-2</v>
      </c>
      <c r="AE31" s="162">
        <f t="shared" si="1"/>
        <v>9.8814229249013508E-3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42564</v>
      </c>
      <c r="X32" s="9">
        <v>5.07</v>
      </c>
      <c r="Y32" s="9">
        <v>5.13</v>
      </c>
      <c r="Z32" s="9">
        <v>5</v>
      </c>
      <c r="AA32" s="9">
        <v>5.0599999999999996</v>
      </c>
      <c r="AB32" s="104">
        <v>11936000</v>
      </c>
      <c r="AC32" s="9">
        <v>5.0599999999999996</v>
      </c>
      <c r="AD32" s="40">
        <f t="shared" si="0"/>
        <v>0.12999999999999989</v>
      </c>
      <c r="AE32" s="162">
        <f t="shared" si="1"/>
        <v>3.9682539682539542E-3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42563</v>
      </c>
      <c r="X33" s="9">
        <v>4.96</v>
      </c>
      <c r="Y33" s="9">
        <v>5.14</v>
      </c>
      <c r="Z33" s="9">
        <v>4.9400000000000004</v>
      </c>
      <c r="AA33" s="9">
        <v>5.04</v>
      </c>
      <c r="AB33" s="104">
        <v>17159800</v>
      </c>
      <c r="AC33" s="9">
        <v>5.04</v>
      </c>
      <c r="AD33" s="40">
        <f t="shared" si="0"/>
        <v>0.19999999999999929</v>
      </c>
      <c r="AE33" s="162">
        <f t="shared" si="1"/>
        <v>2.4390243902439046E-2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42562</v>
      </c>
      <c r="X34" s="9">
        <v>4.97</v>
      </c>
      <c r="Y34" s="9">
        <v>5.0199999999999996</v>
      </c>
      <c r="Z34" s="9">
        <v>4.9000000000000004</v>
      </c>
      <c r="AA34" s="9">
        <v>4.92</v>
      </c>
      <c r="AB34" s="104">
        <v>14997900</v>
      </c>
      <c r="AC34" s="9">
        <v>4.92</v>
      </c>
      <c r="AD34" s="40">
        <f t="shared" si="0"/>
        <v>0.11999999999999922</v>
      </c>
      <c r="AE34" s="162">
        <f t="shared" si="1"/>
        <v>-1.0060362173038184E-2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42559</v>
      </c>
      <c r="X35" s="9">
        <v>4.95</v>
      </c>
      <c r="Y35" s="9">
        <v>5.04</v>
      </c>
      <c r="Z35" s="9">
        <v>4.91</v>
      </c>
      <c r="AA35" s="9">
        <v>4.97</v>
      </c>
      <c r="AB35" s="104">
        <v>13103600</v>
      </c>
      <c r="AC35" s="9">
        <v>4.97</v>
      </c>
      <c r="AD35" s="40">
        <f t="shared" si="0"/>
        <v>0.12999999999999989</v>
      </c>
      <c r="AE35" s="162">
        <f t="shared" si="1"/>
        <v>1.2219959266802416E-2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42558</v>
      </c>
      <c r="X36" s="9">
        <v>4.8899999999999997</v>
      </c>
      <c r="Y36" s="9">
        <v>4.9400000000000004</v>
      </c>
      <c r="Z36" s="9">
        <v>4.8499999999999996</v>
      </c>
      <c r="AA36" s="9">
        <v>4.91</v>
      </c>
      <c r="AB36" s="104">
        <v>9954000</v>
      </c>
      <c r="AC36" s="9">
        <v>4.91</v>
      </c>
      <c r="AD36" s="40">
        <f t="shared" si="0"/>
        <v>9.0000000000000746E-2</v>
      </c>
      <c r="AE36" s="162">
        <f t="shared" si="1"/>
        <v>6.147540983606703E-3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42557</v>
      </c>
      <c r="X37" s="9">
        <v>4.9400000000000004</v>
      </c>
      <c r="Y37" s="9">
        <v>4.96</v>
      </c>
      <c r="Z37" s="9">
        <v>4.78</v>
      </c>
      <c r="AA37" s="9">
        <v>4.88</v>
      </c>
      <c r="AB37" s="104">
        <v>23933100</v>
      </c>
      <c r="AC37" s="9">
        <v>4.88</v>
      </c>
      <c r="AD37" s="40">
        <f t="shared" si="0"/>
        <v>0.17999999999999972</v>
      </c>
      <c r="AE37" s="162">
        <f t="shared" si="1"/>
        <v>-2.0080321285140701E-2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42556</v>
      </c>
      <c r="X38" s="9">
        <v>4.9400000000000004</v>
      </c>
      <c r="Y38" s="9">
        <v>5</v>
      </c>
      <c r="Z38" s="9">
        <v>4.8600000000000003</v>
      </c>
      <c r="AA38" s="9">
        <v>4.9800000000000004</v>
      </c>
      <c r="AB38" s="104">
        <v>12801900</v>
      </c>
      <c r="AC38" s="9">
        <v>4.9800000000000004</v>
      </c>
      <c r="AD38" s="40">
        <f t="shared" si="0"/>
        <v>0.13999999999999968</v>
      </c>
      <c r="AE38" s="162">
        <f t="shared" si="1"/>
        <v>4.0322580645162365E-3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42552</v>
      </c>
      <c r="X39" s="9">
        <v>4.9400000000000004</v>
      </c>
      <c r="Y39" s="9">
        <v>4.96</v>
      </c>
      <c r="Z39" s="9">
        <v>4.8899999999999997</v>
      </c>
      <c r="AA39" s="9">
        <v>4.96</v>
      </c>
      <c r="AB39" s="104">
        <v>8855100</v>
      </c>
      <c r="AC39" s="9">
        <v>4.96</v>
      </c>
      <c r="AD39" s="40">
        <f t="shared" si="0"/>
        <v>7.0000000000000284E-2</v>
      </c>
      <c r="AE39" s="162">
        <f t="shared" si="1"/>
        <v>4.0485829959513442E-3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5" t="s">
        <v>78</v>
      </c>
      <c r="P40" s="535"/>
      <c r="W40" s="110">
        <v>42551</v>
      </c>
      <c r="X40" s="9">
        <v>4.9400000000000004</v>
      </c>
      <c r="Y40" s="9">
        <v>4.9400000000000004</v>
      </c>
      <c r="Z40" s="9">
        <v>4.8</v>
      </c>
      <c r="AA40" s="9">
        <v>4.9400000000000004</v>
      </c>
      <c r="AB40" s="104">
        <v>14303400</v>
      </c>
      <c r="AC40" s="9">
        <v>4.9400000000000004</v>
      </c>
      <c r="AD40" s="40">
        <f t="shared" si="0"/>
        <v>0.14000000000000057</v>
      </c>
      <c r="AE40" s="162">
        <f t="shared" si="1"/>
        <v>1.8556701030927991E-2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5.1260000000000003</v>
      </c>
      <c r="Q41" s="2"/>
      <c r="W41" s="110">
        <v>42550</v>
      </c>
      <c r="X41" s="9">
        <v>4.8899999999999997</v>
      </c>
      <c r="Y41" s="9">
        <v>4.8899999999999997</v>
      </c>
      <c r="Z41" s="9">
        <v>4.78</v>
      </c>
      <c r="AA41" s="9">
        <v>4.8499999999999996</v>
      </c>
      <c r="AB41" s="104">
        <v>17053000</v>
      </c>
      <c r="AC41" s="9">
        <v>4.8499999999999996</v>
      </c>
      <c r="AD41" s="40">
        <f t="shared" si="0"/>
        <v>0.10999999999999943</v>
      </c>
      <c r="AE41" s="162">
        <f t="shared" si="1"/>
        <v>2.3206751054852148E-2</v>
      </c>
    </row>
    <row r="42" spans="1:31" ht="20.25" thickBot="1" x14ac:dyDescent="0.35">
      <c r="O42" s="83">
        <v>1.0900000000000001</v>
      </c>
      <c r="P42" s="83">
        <f t="shared" ref="P42:P61" si="5">O42*$Q$4</f>
        <v>5.0794000000000006</v>
      </c>
      <c r="Q42" s="2"/>
      <c r="T42" s="91" t="s">
        <v>113</v>
      </c>
      <c r="W42" s="110">
        <v>42549</v>
      </c>
      <c r="X42" s="9">
        <v>4.7</v>
      </c>
      <c r="Y42" s="9">
        <v>4.76</v>
      </c>
      <c r="Z42" s="9">
        <v>4.67</v>
      </c>
      <c r="AA42" s="9">
        <v>4.74</v>
      </c>
      <c r="AB42" s="104">
        <v>16223000</v>
      </c>
      <c r="AC42" s="9">
        <v>4.74</v>
      </c>
      <c r="AD42" s="40">
        <f t="shared" si="0"/>
        <v>8.9999999999999858E-2</v>
      </c>
      <c r="AE42" s="162">
        <f t="shared" si="1"/>
        <v>3.0434782608695699E-2</v>
      </c>
    </row>
    <row r="43" spans="1:31" ht="15.75" thickTop="1" x14ac:dyDescent="0.25">
      <c r="L43" t="s">
        <v>224</v>
      </c>
      <c r="M43" s="2">
        <f>K61+M61-F61</f>
        <v>434.93000000000029</v>
      </c>
      <c r="O43" s="83">
        <v>1.08</v>
      </c>
      <c r="P43" s="83">
        <f t="shared" si="5"/>
        <v>5.0328000000000008</v>
      </c>
      <c r="Q43" s="2"/>
      <c r="T43" s="128" t="s">
        <v>98</v>
      </c>
      <c r="U43" s="98">
        <v>4.6500000000000004</v>
      </c>
      <c r="W43" s="110">
        <v>42548</v>
      </c>
      <c r="X43" s="9">
        <v>4.88</v>
      </c>
      <c r="Y43" s="9">
        <v>4.91</v>
      </c>
      <c r="Z43" s="9">
        <v>4.57</v>
      </c>
      <c r="AA43" s="9">
        <v>4.5999999999999996</v>
      </c>
      <c r="AB43" s="104">
        <v>24747500</v>
      </c>
      <c r="AC43" s="9">
        <v>4.5999999999999996</v>
      </c>
      <c r="AD43" s="40">
        <f t="shared" si="0"/>
        <v>0.33999999999999986</v>
      </c>
      <c r="AE43" s="162">
        <f t="shared" si="1"/>
        <v>-5.5441478439425151E-2</v>
      </c>
    </row>
    <row r="44" spans="1:31" x14ac:dyDescent="0.25">
      <c r="A44" s="391" t="s">
        <v>1</v>
      </c>
      <c r="B44" s="391" t="s">
        <v>2</v>
      </c>
      <c r="C44" s="391" t="s">
        <v>4</v>
      </c>
      <c r="D44" s="393" t="s">
        <v>5</v>
      </c>
      <c r="E44" s="393" t="s">
        <v>94</v>
      </c>
      <c r="F44" s="393" t="s">
        <v>60</v>
      </c>
      <c r="G44" s="391" t="s">
        <v>3</v>
      </c>
      <c r="H44" s="391" t="s">
        <v>6</v>
      </c>
      <c r="I44" s="393" t="s">
        <v>7</v>
      </c>
      <c r="J44" s="393" t="s">
        <v>95</v>
      </c>
      <c r="K44" s="393" t="s">
        <v>61</v>
      </c>
      <c r="L44" s="391" t="s">
        <v>37</v>
      </c>
      <c r="M44" s="391" t="s">
        <v>38</v>
      </c>
      <c r="O44" s="83">
        <v>1.07</v>
      </c>
      <c r="P44" s="83">
        <f t="shared" si="5"/>
        <v>4.9862000000000002</v>
      </c>
      <c r="Q44" s="2"/>
      <c r="T44" s="93" t="s">
        <v>99</v>
      </c>
      <c r="U44" s="88">
        <v>4.6500000000000004</v>
      </c>
      <c r="W44" s="110">
        <v>42545</v>
      </c>
      <c r="X44" s="9">
        <v>4.92</v>
      </c>
      <c r="Y44" s="9">
        <v>5.05</v>
      </c>
      <c r="Z44" s="9">
        <v>4.83</v>
      </c>
      <c r="AA44" s="9">
        <v>4.87</v>
      </c>
      <c r="AB44" s="104">
        <v>26870900</v>
      </c>
      <c r="AC44" s="9">
        <v>4.87</v>
      </c>
      <c r="AD44" s="40">
        <f t="shared" si="0"/>
        <v>0.21999999999999975</v>
      </c>
      <c r="AE44" s="162">
        <f t="shared" si="1"/>
        <v>-4.5098039215686225E-2</v>
      </c>
    </row>
    <row r="45" spans="1:31" x14ac:dyDescent="0.25">
      <c r="A45" s="394" t="s">
        <v>9</v>
      </c>
      <c r="B45" s="384">
        <v>42356</v>
      </c>
      <c r="C45" s="385">
        <v>250</v>
      </c>
      <c r="D45" s="386">
        <v>4.45</v>
      </c>
      <c r="E45" s="386">
        <v>0</v>
      </c>
      <c r="F45" s="386">
        <f>C45*D45+E45</f>
        <v>1112.5</v>
      </c>
      <c r="G45" s="384">
        <v>42398</v>
      </c>
      <c r="H45" s="389">
        <v>250</v>
      </c>
      <c r="I45" s="386">
        <v>4.5199999999999996</v>
      </c>
      <c r="J45" s="386">
        <v>0.02</v>
      </c>
      <c r="K45" s="386">
        <f>H45*I45-J45</f>
        <v>1129.98</v>
      </c>
      <c r="L45" s="385"/>
      <c r="M45" s="385"/>
      <c r="O45" s="83">
        <v>1.06</v>
      </c>
      <c r="P45" s="83">
        <f t="shared" si="5"/>
        <v>4.9396000000000004</v>
      </c>
      <c r="Q45" s="2"/>
      <c r="T45" s="93" t="s">
        <v>100</v>
      </c>
      <c r="U45" s="88" t="s">
        <v>491</v>
      </c>
      <c r="W45" s="110">
        <v>42544</v>
      </c>
      <c r="X45" s="9">
        <v>5.17</v>
      </c>
      <c r="Y45" s="9">
        <v>5.18</v>
      </c>
      <c r="Z45" s="9">
        <v>5.04</v>
      </c>
      <c r="AA45" s="9">
        <v>5.0999999999999996</v>
      </c>
      <c r="AB45" s="104">
        <v>13295600</v>
      </c>
      <c r="AC45" s="9">
        <v>5.0999999999999996</v>
      </c>
      <c r="AD45" s="40">
        <f t="shared" si="0"/>
        <v>0.13999999999999968</v>
      </c>
      <c r="AE45" s="162">
        <f t="shared" si="1"/>
        <v>1.9646365422396617E-3</v>
      </c>
    </row>
    <row r="46" spans="1:31" x14ac:dyDescent="0.25">
      <c r="A46" s="395"/>
      <c r="B46" s="384">
        <v>42382</v>
      </c>
      <c r="C46" s="385">
        <v>250</v>
      </c>
      <c r="D46" s="386">
        <v>4.25</v>
      </c>
      <c r="E46" s="386">
        <v>0</v>
      </c>
      <c r="F46" s="386">
        <f>C46*D46+E46</f>
        <v>1062.5</v>
      </c>
      <c r="G46" s="384">
        <v>42418</v>
      </c>
      <c r="H46" s="389">
        <v>250</v>
      </c>
      <c r="I46" s="386">
        <v>4.45</v>
      </c>
      <c r="J46" s="386">
        <v>0.02</v>
      </c>
      <c r="K46" s="386">
        <f>H46*I46-J46</f>
        <v>1112.48</v>
      </c>
      <c r="L46" s="385"/>
      <c r="M46" s="385"/>
      <c r="O46" s="83">
        <v>1.05</v>
      </c>
      <c r="P46" s="83">
        <f t="shared" si="5"/>
        <v>4.8930000000000007</v>
      </c>
      <c r="Q46" s="2"/>
      <c r="T46" s="93" t="s">
        <v>101</v>
      </c>
      <c r="U46" s="88" t="s">
        <v>492</v>
      </c>
      <c r="W46" s="110">
        <v>42543</v>
      </c>
      <c r="X46" s="9">
        <v>5.19</v>
      </c>
      <c r="Y46" s="9">
        <v>5.22</v>
      </c>
      <c r="Z46" s="9">
        <v>5.07</v>
      </c>
      <c r="AA46" s="9">
        <v>5.09</v>
      </c>
      <c r="AB46" s="104">
        <v>22433700</v>
      </c>
      <c r="AC46" s="9">
        <v>5.09</v>
      </c>
      <c r="AD46" s="40">
        <f t="shared" si="0"/>
        <v>0.14999999999999947</v>
      </c>
      <c r="AE46" s="162">
        <f t="shared" si="1"/>
        <v>-2.303262955854124E-2</v>
      </c>
    </row>
    <row r="47" spans="1:31" x14ac:dyDescent="0.25">
      <c r="A47" s="385"/>
      <c r="B47" s="384">
        <v>42402</v>
      </c>
      <c r="C47" s="385">
        <v>250</v>
      </c>
      <c r="D47" s="386">
        <v>4.3600000000000003</v>
      </c>
      <c r="E47" s="386">
        <v>0</v>
      </c>
      <c r="F47" s="386">
        <f>C47*D47+E47</f>
        <v>1090</v>
      </c>
      <c r="G47" s="384">
        <v>42436</v>
      </c>
      <c r="H47" s="389">
        <v>250</v>
      </c>
      <c r="I47" s="386">
        <v>5.83</v>
      </c>
      <c r="J47" s="386">
        <v>0.03</v>
      </c>
      <c r="K47" s="386">
        <f>H47*I47-J47</f>
        <v>1457.47</v>
      </c>
      <c r="L47" s="385"/>
      <c r="M47" s="385"/>
      <c r="O47" s="83">
        <v>1.04</v>
      </c>
      <c r="P47" s="83">
        <f t="shared" si="5"/>
        <v>4.8464</v>
      </c>
      <c r="Q47" s="2"/>
      <c r="T47" s="93" t="s">
        <v>102</v>
      </c>
      <c r="U47" s="88">
        <v>5.85</v>
      </c>
      <c r="W47" s="110">
        <v>42542</v>
      </c>
      <c r="X47" s="9">
        <v>5.17</v>
      </c>
      <c r="Y47" s="9">
        <v>5.21</v>
      </c>
      <c r="Z47" s="9">
        <v>5.09</v>
      </c>
      <c r="AA47" s="9">
        <v>5.21</v>
      </c>
      <c r="AB47" s="104">
        <v>10720000</v>
      </c>
      <c r="AC47" s="9">
        <v>5.21</v>
      </c>
      <c r="AD47" s="40">
        <f t="shared" si="0"/>
        <v>0.12000000000000011</v>
      </c>
      <c r="AE47" s="162">
        <f t="shared" si="1"/>
        <v>7.7369439071566237E-3</v>
      </c>
    </row>
    <row r="48" spans="1:31" x14ac:dyDescent="0.25">
      <c r="A48" s="385"/>
      <c r="B48" s="384"/>
      <c r="C48" s="385"/>
      <c r="D48" s="386"/>
      <c r="E48" s="386"/>
      <c r="F48" s="386"/>
      <c r="G48" s="385"/>
      <c r="H48" s="389"/>
      <c r="I48" s="386"/>
      <c r="J48" s="386"/>
      <c r="K48" s="386"/>
      <c r="L48" s="385"/>
      <c r="M48" s="385"/>
      <c r="O48" s="83">
        <v>1.03</v>
      </c>
      <c r="P48" s="83">
        <f t="shared" si="5"/>
        <v>4.7998000000000003</v>
      </c>
      <c r="Q48" s="2"/>
      <c r="T48" s="93" t="s">
        <v>103</v>
      </c>
      <c r="U48" s="88">
        <v>0.658107</v>
      </c>
      <c r="W48" s="110">
        <v>42541</v>
      </c>
      <c r="X48" s="9">
        <v>5.16</v>
      </c>
      <c r="Y48" s="9">
        <v>5.2</v>
      </c>
      <c r="Z48" s="9">
        <v>5.14</v>
      </c>
      <c r="AA48" s="9">
        <v>5.17</v>
      </c>
      <c r="AB48" s="104">
        <v>14614300</v>
      </c>
      <c r="AC48" s="9">
        <v>5.17</v>
      </c>
      <c r="AD48" s="40">
        <f t="shared" si="0"/>
        <v>6.0000000000000497E-2</v>
      </c>
      <c r="AE48" s="162">
        <f t="shared" si="1"/>
        <v>1.1741682974559575E-2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9"/>
      <c r="I49" s="386"/>
      <c r="J49" s="386"/>
      <c r="K49" s="386"/>
      <c r="L49" s="385"/>
      <c r="M49" s="385"/>
      <c r="O49" s="83">
        <v>1.02</v>
      </c>
      <c r="P49" s="83">
        <f t="shared" si="5"/>
        <v>4.7532000000000005</v>
      </c>
      <c r="Q49" s="2"/>
      <c r="T49" s="93" t="s">
        <v>123</v>
      </c>
      <c r="U49" s="88" t="s">
        <v>334</v>
      </c>
      <c r="W49" s="110">
        <v>42538</v>
      </c>
      <c r="X49" s="9">
        <v>5.04</v>
      </c>
      <c r="Y49" s="9">
        <v>5.15</v>
      </c>
      <c r="Z49" s="9">
        <v>5.0199999999999996</v>
      </c>
      <c r="AA49" s="9">
        <v>5.1100000000000003</v>
      </c>
      <c r="AB49" s="104">
        <v>18634800</v>
      </c>
      <c r="AC49" s="9">
        <v>5.1100000000000003</v>
      </c>
      <c r="AD49" s="40">
        <f t="shared" si="0"/>
        <v>0.13000000000000078</v>
      </c>
      <c r="AE49" s="162">
        <f t="shared" si="1"/>
        <v>1.388888888888884E-2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9"/>
      <c r="I50" s="386"/>
      <c r="J50" s="386"/>
      <c r="K50" s="386"/>
      <c r="L50" s="385"/>
      <c r="M50" s="385"/>
      <c r="O50" s="83">
        <v>1.01</v>
      </c>
      <c r="P50" s="83">
        <f t="shared" si="5"/>
        <v>4.7065999999999999</v>
      </c>
      <c r="Q50" s="2"/>
      <c r="T50" s="93"/>
      <c r="U50" s="88"/>
      <c r="W50" s="110">
        <v>42537</v>
      </c>
      <c r="X50" s="9">
        <v>4.84</v>
      </c>
      <c r="Y50" s="9">
        <v>5.07</v>
      </c>
      <c r="Z50" s="9">
        <v>4.84</v>
      </c>
      <c r="AA50" s="9">
        <v>5.04</v>
      </c>
      <c r="AB50" s="104">
        <v>17525000</v>
      </c>
      <c r="AC50" s="9">
        <v>5.04</v>
      </c>
      <c r="AD50" s="40">
        <f t="shared" si="0"/>
        <v>0.23000000000000043</v>
      </c>
      <c r="AE50" s="162">
        <f t="shared" si="1"/>
        <v>3.7037037037036979E-2</v>
      </c>
    </row>
    <row r="51" spans="1:31" x14ac:dyDescent="0.25">
      <c r="A51" s="385"/>
      <c r="B51" s="385"/>
      <c r="C51" s="385"/>
      <c r="D51" s="386"/>
      <c r="E51" s="386"/>
      <c r="F51" s="386"/>
      <c r="G51" s="385"/>
      <c r="H51" s="389"/>
      <c r="I51" s="386"/>
      <c r="J51" s="386"/>
      <c r="K51" s="386"/>
      <c r="L51" s="385"/>
      <c r="M51" s="385"/>
      <c r="O51" s="83">
        <v>1</v>
      </c>
      <c r="P51" s="83">
        <f t="shared" si="5"/>
        <v>4.66</v>
      </c>
      <c r="Q51" s="2"/>
      <c r="T51" s="93" t="s">
        <v>105</v>
      </c>
      <c r="U51" s="88" t="s">
        <v>493</v>
      </c>
      <c r="W51" s="110">
        <v>42536</v>
      </c>
      <c r="X51" s="9">
        <v>4.91</v>
      </c>
      <c r="Y51" s="9">
        <v>4.9800000000000004</v>
      </c>
      <c r="Z51" s="9">
        <v>4.82</v>
      </c>
      <c r="AA51" s="9">
        <v>4.8600000000000003</v>
      </c>
      <c r="AB51" s="104">
        <v>19216100</v>
      </c>
      <c r="AC51" s="9">
        <v>4.8600000000000003</v>
      </c>
      <c r="AD51" s="40">
        <f t="shared" si="0"/>
        <v>0.16000000000000014</v>
      </c>
      <c r="AE51" s="162">
        <f t="shared" si="1"/>
        <v>6.2111801242237252E-3</v>
      </c>
    </row>
    <row r="52" spans="1:31" x14ac:dyDescent="0.25">
      <c r="A52" s="385"/>
      <c r="B52" s="385"/>
      <c r="C52" s="385"/>
      <c r="D52" s="386"/>
      <c r="E52" s="386"/>
      <c r="F52" s="386"/>
      <c r="G52" s="385"/>
      <c r="H52" s="389"/>
      <c r="I52" s="386"/>
      <c r="J52" s="386"/>
      <c r="K52" s="386"/>
      <c r="L52" s="385"/>
      <c r="M52" s="385"/>
      <c r="O52" s="83">
        <v>0.99</v>
      </c>
      <c r="P52" s="83">
        <f t="shared" si="5"/>
        <v>4.6134000000000004</v>
      </c>
      <c r="Q52" s="2"/>
      <c r="T52" s="93" t="s">
        <v>106</v>
      </c>
      <c r="U52" s="88" t="s">
        <v>217</v>
      </c>
      <c r="W52" s="110">
        <v>42535</v>
      </c>
      <c r="X52" s="9">
        <v>4.87</v>
      </c>
      <c r="Y52" s="9">
        <v>4.9000000000000004</v>
      </c>
      <c r="Z52" s="9">
        <v>4.75</v>
      </c>
      <c r="AA52" s="9">
        <v>4.83</v>
      </c>
      <c r="AB52" s="104">
        <v>17161100</v>
      </c>
      <c r="AC52" s="9">
        <v>4.83</v>
      </c>
      <c r="AD52" s="40">
        <f t="shared" si="0"/>
        <v>0.15000000000000036</v>
      </c>
      <c r="AE52" s="162">
        <f t="shared" si="1"/>
        <v>-8.2135523613963146E-3</v>
      </c>
    </row>
    <row r="53" spans="1:31" x14ac:dyDescent="0.25">
      <c r="A53" s="385"/>
      <c r="B53" s="385"/>
      <c r="C53" s="385"/>
      <c r="D53" s="386"/>
      <c r="E53" s="386"/>
      <c r="F53" s="386"/>
      <c r="G53" s="385"/>
      <c r="H53" s="385"/>
      <c r="I53" s="386"/>
      <c r="J53" s="386"/>
      <c r="K53" s="386"/>
      <c r="L53" s="385"/>
      <c r="M53" s="385"/>
      <c r="O53" s="83">
        <v>0.98</v>
      </c>
      <c r="P53" s="83">
        <f t="shared" si="5"/>
        <v>4.5667999999999997</v>
      </c>
      <c r="Q53" s="2"/>
      <c r="T53" s="93" t="s">
        <v>107</v>
      </c>
      <c r="U53" s="90">
        <v>11191564</v>
      </c>
      <c r="W53" s="110">
        <v>42534</v>
      </c>
      <c r="X53" s="9">
        <v>4.97</v>
      </c>
      <c r="Y53" s="9">
        <v>5.05</v>
      </c>
      <c r="Z53" s="9">
        <v>4.87</v>
      </c>
      <c r="AA53" s="9">
        <v>4.87</v>
      </c>
      <c r="AB53" s="104">
        <v>18954900</v>
      </c>
      <c r="AC53" s="9">
        <v>4.87</v>
      </c>
      <c r="AD53" s="40">
        <f t="shared" si="0"/>
        <v>0.17999999999999972</v>
      </c>
      <c r="AE53" s="162" t="e">
        <f t="shared" si="1"/>
        <v>#DIV/0!</v>
      </c>
    </row>
    <row r="54" spans="1:31" x14ac:dyDescent="0.25">
      <c r="A54" s="385"/>
      <c r="B54" s="385"/>
      <c r="C54" s="385"/>
      <c r="D54" s="386"/>
      <c r="E54" s="386"/>
      <c r="F54" s="386"/>
      <c r="G54" s="385"/>
      <c r="H54" s="385"/>
      <c r="I54" s="386"/>
      <c r="J54" s="386"/>
      <c r="K54" s="386"/>
      <c r="L54" s="385"/>
      <c r="M54" s="385"/>
      <c r="O54" s="83">
        <v>0.97</v>
      </c>
      <c r="P54" s="83">
        <f t="shared" si="5"/>
        <v>4.5202</v>
      </c>
      <c r="T54" s="93" t="s">
        <v>110</v>
      </c>
      <c r="U54" s="90">
        <v>16075600</v>
      </c>
      <c r="W54" s="110">
        <v>42534</v>
      </c>
      <c r="X54" s="9" t="s">
        <v>177</v>
      </c>
      <c r="Y54" s="9"/>
      <c r="Z54" s="9"/>
      <c r="AA54" s="9"/>
      <c r="AB54" s="104"/>
      <c r="AC54" s="9"/>
      <c r="AD54" s="40">
        <f t="shared" si="0"/>
        <v>0</v>
      </c>
      <c r="AE54" s="162">
        <f t="shared" si="1"/>
        <v>-1</v>
      </c>
    </row>
    <row r="55" spans="1:31" x14ac:dyDescent="0.25">
      <c r="A55" s="385"/>
      <c r="B55" s="385"/>
      <c r="C55" s="385"/>
      <c r="D55" s="386"/>
      <c r="E55" s="386"/>
      <c r="F55" s="386"/>
      <c r="G55" s="385"/>
      <c r="H55" s="385"/>
      <c r="I55" s="386"/>
      <c r="J55" s="386"/>
      <c r="K55" s="386"/>
      <c r="L55" s="385"/>
      <c r="M55" s="385"/>
      <c r="O55" s="83">
        <v>0.96</v>
      </c>
      <c r="P55" s="83">
        <f t="shared" si="5"/>
        <v>4.4736000000000002</v>
      </c>
      <c r="T55" s="93" t="s">
        <v>108</v>
      </c>
      <c r="U55" s="88" t="s">
        <v>494</v>
      </c>
      <c r="W55" s="110">
        <v>42531</v>
      </c>
      <c r="X55" s="9">
        <v>5.1100000000000003</v>
      </c>
      <c r="Y55" s="9">
        <v>5.13</v>
      </c>
      <c r="Z55" s="9">
        <v>5.04</v>
      </c>
      <c r="AA55" s="9">
        <v>5.1100000000000003</v>
      </c>
      <c r="AB55" s="104">
        <v>13416900</v>
      </c>
      <c r="AC55" s="9">
        <v>5.01</v>
      </c>
      <c r="AD55" s="40">
        <f t="shared" si="0"/>
        <v>8.9999999999999858E-2</v>
      </c>
      <c r="AE55" s="162">
        <f t="shared" si="1"/>
        <v>0</v>
      </c>
    </row>
    <row r="56" spans="1:31" x14ac:dyDescent="0.25">
      <c r="A56" s="385"/>
      <c r="B56" s="385"/>
      <c r="C56" s="385"/>
      <c r="D56" s="386"/>
      <c r="E56" s="386"/>
      <c r="F56" s="386"/>
      <c r="G56" s="385"/>
      <c r="H56" s="385"/>
      <c r="I56" s="386"/>
      <c r="J56" s="386"/>
      <c r="K56" s="386"/>
      <c r="L56" s="385"/>
      <c r="M56" s="385"/>
      <c r="O56" s="83">
        <v>0.95</v>
      </c>
      <c r="P56" s="83">
        <f t="shared" si="5"/>
        <v>4.4269999999999996</v>
      </c>
      <c r="T56" s="93" t="s">
        <v>111</v>
      </c>
      <c r="U56" s="88" t="s">
        <v>130</v>
      </c>
      <c r="W56" s="110">
        <v>42530</v>
      </c>
      <c r="X56" s="9">
        <v>5.21</v>
      </c>
      <c r="Y56" s="9">
        <v>5.24</v>
      </c>
      <c r="Z56" s="9">
        <v>5.1100000000000003</v>
      </c>
      <c r="AA56" s="9">
        <v>5.12</v>
      </c>
      <c r="AB56" s="104">
        <v>10560900</v>
      </c>
      <c r="AC56" s="9">
        <v>5.01</v>
      </c>
      <c r="AD56" s="40">
        <f t="shared" si="0"/>
        <v>0.12999999999999989</v>
      </c>
      <c r="AE56" s="162">
        <f t="shared" si="1"/>
        <v>-1.5717092337917515E-2</v>
      </c>
    </row>
    <row r="57" spans="1:31" x14ac:dyDescent="0.25">
      <c r="A57" s="385"/>
      <c r="B57" s="385"/>
      <c r="C57" s="385"/>
      <c r="D57" s="386"/>
      <c r="E57" s="386"/>
      <c r="F57" s="386"/>
      <c r="G57" s="385"/>
      <c r="H57" s="385"/>
      <c r="I57" s="386"/>
      <c r="J57" s="386"/>
      <c r="K57" s="386"/>
      <c r="L57" s="385"/>
      <c r="M57" s="385"/>
      <c r="O57" s="83">
        <v>0.94</v>
      </c>
      <c r="P57" s="83">
        <f t="shared" si="5"/>
        <v>4.3803999999999998</v>
      </c>
      <c r="T57" s="93" t="s">
        <v>112</v>
      </c>
      <c r="U57" s="88">
        <v>-0.49</v>
      </c>
      <c r="W57" s="110">
        <v>42529</v>
      </c>
      <c r="X57" s="9">
        <v>5.23</v>
      </c>
      <c r="Y57" s="9">
        <v>5.27</v>
      </c>
      <c r="Z57" s="9">
        <v>5.19</v>
      </c>
      <c r="AA57" s="9">
        <v>5.2</v>
      </c>
      <c r="AB57" s="104">
        <v>8946700</v>
      </c>
      <c r="AC57" s="9">
        <v>5.09</v>
      </c>
      <c r="AD57" s="40">
        <f t="shared" si="0"/>
        <v>7.9999999999999183E-2</v>
      </c>
      <c r="AE57" s="162">
        <f t="shared" si="1"/>
        <v>-1.9607843137254832E-3</v>
      </c>
    </row>
    <row r="58" spans="1:31" x14ac:dyDescent="0.25">
      <c r="A58" s="385"/>
      <c r="B58" s="385"/>
      <c r="C58" s="385"/>
      <c r="D58" s="386"/>
      <c r="E58" s="386"/>
      <c r="F58" s="386"/>
      <c r="G58" s="385"/>
      <c r="H58" s="385"/>
      <c r="I58" s="386"/>
      <c r="J58" s="386"/>
      <c r="K58" s="386"/>
      <c r="L58" s="385"/>
      <c r="M58" s="385"/>
      <c r="O58" s="83">
        <v>0.93</v>
      </c>
      <c r="P58" s="83">
        <f t="shared" si="5"/>
        <v>4.3338000000000001</v>
      </c>
      <c r="T58" s="93" t="s">
        <v>109</v>
      </c>
      <c r="U58" s="88" t="s">
        <v>396</v>
      </c>
      <c r="W58" s="110">
        <v>42528</v>
      </c>
      <c r="X58" s="9">
        <v>5.22</v>
      </c>
      <c r="Y58" s="9">
        <v>5.27</v>
      </c>
      <c r="Z58" s="9">
        <v>5.16</v>
      </c>
      <c r="AA58" s="9">
        <v>5.21</v>
      </c>
      <c r="AB58" s="104">
        <v>16625100</v>
      </c>
      <c r="AC58" s="9">
        <v>5.0999999999999996</v>
      </c>
      <c r="AD58" s="40">
        <f t="shared" si="0"/>
        <v>0.10999999999999943</v>
      </c>
      <c r="AE58" s="162">
        <f t="shared" si="1"/>
        <v>3.937007874015741E-3</v>
      </c>
    </row>
    <row r="59" spans="1:31" x14ac:dyDescent="0.25">
      <c r="A59" s="385"/>
      <c r="B59" s="385"/>
      <c r="C59" s="385"/>
      <c r="D59" s="386"/>
      <c r="E59" s="386"/>
      <c r="F59" s="386"/>
      <c r="G59" s="385"/>
      <c r="H59" s="385"/>
      <c r="I59" s="386"/>
      <c r="J59" s="386"/>
      <c r="K59" s="386"/>
      <c r="L59" s="385"/>
      <c r="M59" s="385"/>
      <c r="O59" s="83">
        <v>0.92</v>
      </c>
      <c r="P59" s="83">
        <f t="shared" si="5"/>
        <v>4.2872000000000003</v>
      </c>
      <c r="W59" s="110">
        <v>42527</v>
      </c>
      <c r="X59" s="9">
        <v>5.24</v>
      </c>
      <c r="Y59" s="9">
        <v>5.3</v>
      </c>
      <c r="Z59" s="9">
        <v>5.17</v>
      </c>
      <c r="AA59" s="9">
        <v>5.19</v>
      </c>
      <c r="AB59" s="104">
        <v>15016200</v>
      </c>
      <c r="AC59" s="9">
        <v>5.08</v>
      </c>
      <c r="AD59" s="40">
        <f t="shared" si="0"/>
        <v>0.12999999999999989</v>
      </c>
      <c r="AE59" s="162">
        <f t="shared" si="1"/>
        <v>-7.8125E-3</v>
      </c>
    </row>
    <row r="60" spans="1:31" x14ac:dyDescent="0.25">
      <c r="A60" s="385"/>
      <c r="B60" s="385"/>
      <c r="C60" s="385"/>
      <c r="D60" s="386"/>
      <c r="E60" s="386"/>
      <c r="F60" s="386"/>
      <c r="G60" s="385"/>
      <c r="H60" s="389"/>
      <c r="I60" s="386"/>
      <c r="J60" s="386"/>
      <c r="K60" s="386"/>
      <c r="L60" s="385"/>
      <c r="M60" s="385"/>
      <c r="O60" s="83">
        <v>0.91</v>
      </c>
      <c r="P60" s="83">
        <f t="shared" si="5"/>
        <v>4.2406000000000006</v>
      </c>
      <c r="W60" s="110">
        <v>42524</v>
      </c>
      <c r="X60" s="9">
        <v>5.07</v>
      </c>
      <c r="Y60" s="9">
        <v>5.24</v>
      </c>
      <c r="Z60" s="9">
        <v>5.07</v>
      </c>
      <c r="AA60" s="9">
        <v>5.23</v>
      </c>
      <c r="AB60" s="104">
        <v>9578000</v>
      </c>
      <c r="AC60" s="9">
        <v>5.12</v>
      </c>
      <c r="AD60" s="40">
        <f t="shared" si="0"/>
        <v>0.16999999999999993</v>
      </c>
      <c r="AE60" s="162">
        <f t="shared" si="1"/>
        <v>1.3861386138613874E-2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4.194</v>
      </c>
      <c r="W61" s="110">
        <v>42523</v>
      </c>
      <c r="X61" s="9">
        <v>5.08</v>
      </c>
      <c r="Y61" s="9">
        <v>5.17</v>
      </c>
      <c r="Z61" s="9">
        <v>5.0199999999999996</v>
      </c>
      <c r="AA61" s="9">
        <v>5.16</v>
      </c>
      <c r="AB61" s="104">
        <v>9541300</v>
      </c>
      <c r="AC61" s="9">
        <v>5.05</v>
      </c>
      <c r="AD61" s="40">
        <f t="shared" si="0"/>
        <v>0.15000000000000036</v>
      </c>
      <c r="AE61" s="162">
        <f t="shared" si="1"/>
        <v>1.6096579476861272E-2</v>
      </c>
    </row>
    <row r="62" spans="1:31" x14ac:dyDescent="0.25">
      <c r="W62" s="110">
        <v>42522</v>
      </c>
      <c r="X62" s="9">
        <v>5.14</v>
      </c>
      <c r="Y62" s="9">
        <v>5.2</v>
      </c>
      <c r="Z62" s="9">
        <v>5.0599999999999996</v>
      </c>
      <c r="AA62" s="9">
        <v>5.07</v>
      </c>
      <c r="AB62" s="104">
        <v>13850200</v>
      </c>
      <c r="AC62" s="9">
        <v>4.97</v>
      </c>
      <c r="AD62" s="40">
        <f t="shared" si="0"/>
        <v>0.14000000000000057</v>
      </c>
      <c r="AE62" s="162">
        <f t="shared" si="1"/>
        <v>-1.7786561264822143E-2</v>
      </c>
    </row>
    <row r="63" spans="1:31" x14ac:dyDescent="0.25">
      <c r="W63" s="110">
        <v>42521</v>
      </c>
      <c r="X63" s="9">
        <v>5.18</v>
      </c>
      <c r="Y63" s="9">
        <v>5.2</v>
      </c>
      <c r="Z63" s="9">
        <v>5.14</v>
      </c>
      <c r="AA63" s="9">
        <v>5.17</v>
      </c>
      <c r="AB63" s="104">
        <v>9974500</v>
      </c>
      <c r="AC63" s="9">
        <v>5.0599999999999996</v>
      </c>
      <c r="AD63" s="40">
        <f t="shared" si="0"/>
        <v>6.0000000000000497E-2</v>
      </c>
      <c r="AE63" s="162">
        <f t="shared" si="1"/>
        <v>3.9682539682539542E-3</v>
      </c>
    </row>
    <row r="64" spans="1:31" x14ac:dyDescent="0.25">
      <c r="W64" s="110">
        <v>42517</v>
      </c>
      <c r="X64" s="9">
        <v>5.16</v>
      </c>
      <c r="Y64" s="9">
        <v>5.2</v>
      </c>
      <c r="Z64" s="9">
        <v>5.0999999999999996</v>
      </c>
      <c r="AA64" s="9">
        <v>5.15</v>
      </c>
      <c r="AB64" s="104">
        <v>6227100</v>
      </c>
      <c r="AC64" s="9">
        <v>5.04</v>
      </c>
      <c r="AD64" s="40">
        <f t="shared" si="0"/>
        <v>0.10000000000000053</v>
      </c>
      <c r="AE64" s="162">
        <f t="shared" si="1"/>
        <v>-1.980198019801982E-3</v>
      </c>
    </row>
    <row r="65" spans="23:31" x14ac:dyDescent="0.25">
      <c r="W65" s="110">
        <v>42516</v>
      </c>
      <c r="X65" s="9">
        <v>5.22</v>
      </c>
      <c r="Y65" s="9">
        <v>5.28</v>
      </c>
      <c r="Z65" s="9">
        <v>5.15</v>
      </c>
      <c r="AA65" s="9">
        <v>5.16</v>
      </c>
      <c r="AB65" s="104">
        <v>8489100</v>
      </c>
      <c r="AC65" s="9">
        <v>5.05</v>
      </c>
      <c r="AD65" s="40">
        <f t="shared" si="0"/>
        <v>0.12999999999999989</v>
      </c>
      <c r="AE65" s="162">
        <f t="shared" si="1"/>
        <v>-1.1741682974559797E-2</v>
      </c>
    </row>
    <row r="66" spans="23:31" x14ac:dyDescent="0.25">
      <c r="W66" s="110">
        <v>42515</v>
      </c>
      <c r="X66" s="9">
        <v>5.12</v>
      </c>
      <c r="Y66" s="9">
        <v>5.24</v>
      </c>
      <c r="Z66" s="9">
        <v>5.0999999999999996</v>
      </c>
      <c r="AA66" s="9">
        <v>5.22</v>
      </c>
      <c r="AB66" s="104">
        <v>10657200</v>
      </c>
      <c r="AC66" s="9">
        <v>5.1100000000000003</v>
      </c>
      <c r="AD66" s="40">
        <f t="shared" si="0"/>
        <v>0.14000000000000057</v>
      </c>
      <c r="AE66" s="162">
        <f t="shared" si="1"/>
        <v>2.4048096192384794E-2</v>
      </c>
    </row>
    <row r="67" spans="23:31" x14ac:dyDescent="0.25">
      <c r="W67" s="110">
        <v>42514</v>
      </c>
      <c r="X67" s="9">
        <v>4.9400000000000004</v>
      </c>
      <c r="Y67" s="9">
        <v>5.12</v>
      </c>
      <c r="Z67" s="9">
        <v>4.91</v>
      </c>
      <c r="AA67" s="9">
        <v>5.09</v>
      </c>
      <c r="AB67" s="104">
        <v>14852500</v>
      </c>
      <c r="AC67" s="9">
        <v>4.99</v>
      </c>
      <c r="AD67" s="40">
        <f>Y67-Z67</f>
        <v>0.20999999999999996</v>
      </c>
      <c r="AE67" s="162">
        <f>AC67/AC68-1</f>
        <v>4.175365344467652E-2</v>
      </c>
    </row>
    <row r="68" spans="23:31" x14ac:dyDescent="0.25">
      <c r="W68" s="110">
        <v>42513</v>
      </c>
      <c r="X68" s="9">
        <v>4.99</v>
      </c>
      <c r="Y68" s="9">
        <v>5.04</v>
      </c>
      <c r="Z68" s="9">
        <v>4.8899999999999997</v>
      </c>
      <c r="AA68" s="9">
        <v>4.8899999999999997</v>
      </c>
      <c r="AB68" s="104">
        <v>16998900</v>
      </c>
      <c r="AC68" s="9">
        <v>4.79</v>
      </c>
      <c r="AD68" s="40">
        <f>Y68-Z68</f>
        <v>0.15000000000000036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7"/>
  <sheetViews>
    <sheetView workbookViewId="0">
      <pane ySplit="1" topLeftCell="A2" activePane="bottomLeft" state="frozen"/>
      <selection activeCell="A2" sqref="A2"/>
      <selection pane="bottomLeft" activeCell="L63" sqref="L6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7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7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42606</v>
      </c>
      <c r="X2" s="10">
        <v>81.47</v>
      </c>
      <c r="Y2" s="10">
        <v>82.1</v>
      </c>
      <c r="Z2" s="10">
        <v>80.180000000000007</v>
      </c>
      <c r="AA2" s="10">
        <v>80.5</v>
      </c>
      <c r="AB2" s="95">
        <v>9679900</v>
      </c>
      <c r="AC2" s="10">
        <v>80.5</v>
      </c>
      <c r="AD2" s="40">
        <f>Y2-Z2</f>
        <v>1.9199999999999875</v>
      </c>
      <c r="AE2" s="162">
        <f>AC2/AC3-1</f>
        <v>-1.1906223149625639E-2</v>
      </c>
    </row>
    <row r="3" spans="1:40" x14ac:dyDescent="0.25">
      <c r="A3" s="23" t="s">
        <v>71</v>
      </c>
      <c r="B3" s="47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(F18-K18-M18)/Q2</f>
        <v>86.017866666666649</v>
      </c>
      <c r="W3" s="133">
        <v>42605</v>
      </c>
      <c r="X3" s="10">
        <v>81.459999999999994</v>
      </c>
      <c r="Y3" s="10">
        <v>81.64</v>
      </c>
      <c r="Z3" s="10">
        <v>81.02</v>
      </c>
      <c r="AA3" s="10">
        <v>81.47</v>
      </c>
      <c r="AB3" s="95">
        <v>8279400</v>
      </c>
      <c r="AC3" s="10">
        <v>81.47</v>
      </c>
      <c r="AD3" s="40">
        <f t="shared" ref="AD3:AD66" si="1">Y3-Z3</f>
        <v>0.62000000000000455</v>
      </c>
      <c r="AE3" s="162">
        <f t="shared" ref="AE3:AE66" si="2">AC3/AC4-1</f>
        <v>6.7968363816113264E-3</v>
      </c>
      <c r="AN3" s="234"/>
    </row>
    <row r="4" spans="1:40" x14ac:dyDescent="0.25">
      <c r="B4" s="47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9">
        <v>80.5</v>
      </c>
      <c r="W4" s="133">
        <v>42604</v>
      </c>
      <c r="X4" s="10">
        <v>80.89</v>
      </c>
      <c r="Y4" s="10">
        <v>81.53</v>
      </c>
      <c r="Z4" s="10">
        <v>80.599999999999994</v>
      </c>
      <c r="AA4" s="10">
        <v>80.92</v>
      </c>
      <c r="AB4" s="95">
        <v>7522000</v>
      </c>
      <c r="AC4" s="10">
        <v>80.92</v>
      </c>
      <c r="AD4" s="40">
        <f t="shared" si="1"/>
        <v>0.93000000000000682</v>
      </c>
      <c r="AE4" s="162">
        <f t="shared" si="2"/>
        <v>-9.8765432098768535E-4</v>
      </c>
    </row>
    <row r="5" spans="1:40" x14ac:dyDescent="0.25">
      <c r="B5" s="47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12075</v>
      </c>
      <c r="T5" s="1"/>
      <c r="W5" s="133">
        <v>42601</v>
      </c>
      <c r="X5" s="10">
        <v>80.56</v>
      </c>
      <c r="Y5" s="10">
        <v>81.180000000000007</v>
      </c>
      <c r="Z5" s="10">
        <v>80.23</v>
      </c>
      <c r="AA5" s="10">
        <v>81</v>
      </c>
      <c r="AB5" s="95">
        <v>8227900</v>
      </c>
      <c r="AC5" s="10">
        <v>81</v>
      </c>
      <c r="AD5" s="40">
        <f t="shared" si="1"/>
        <v>0.95000000000000284</v>
      </c>
      <c r="AE5" s="162">
        <f t="shared" si="2"/>
        <v>5.0874798362079421E-3</v>
      </c>
      <c r="AK5" s="234"/>
      <c r="AN5" s="234"/>
    </row>
    <row r="6" spans="1:40" x14ac:dyDescent="0.25">
      <c r="B6" s="478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352</v>
      </c>
      <c r="O6" s="11" t="s">
        <v>64</v>
      </c>
      <c r="Q6" s="2">
        <f>Q3*Q2</f>
        <v>12902.679999999997</v>
      </c>
      <c r="W6" s="133">
        <v>42600</v>
      </c>
      <c r="X6" s="10">
        <v>80.87</v>
      </c>
      <c r="Y6" s="10">
        <v>81.27</v>
      </c>
      <c r="Z6" s="10">
        <v>80.180000000000007</v>
      </c>
      <c r="AA6" s="10">
        <v>80.59</v>
      </c>
      <c r="AB6" s="95">
        <v>8994400</v>
      </c>
      <c r="AC6" s="10">
        <v>80.59</v>
      </c>
      <c r="AD6" s="40">
        <f t="shared" si="1"/>
        <v>1.0899999999999892</v>
      </c>
      <c r="AE6" s="162">
        <f t="shared" si="2"/>
        <v>-1.3630731102850513E-3</v>
      </c>
    </row>
    <row r="7" spans="1:40" x14ac:dyDescent="0.25">
      <c r="B7" s="47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6"/>
      <c r="H7" s="7"/>
      <c r="I7" s="7"/>
      <c r="J7" s="7"/>
      <c r="K7" s="7"/>
      <c r="O7" s="11" t="s">
        <v>187</v>
      </c>
      <c r="Q7" s="2">
        <f>Q10+Q8</f>
        <v>-827.67999999999665</v>
      </c>
      <c r="R7">
        <v>100</v>
      </c>
      <c r="W7" s="133">
        <v>42599</v>
      </c>
      <c r="X7" s="10">
        <v>79.459999999999994</v>
      </c>
      <c r="Y7" s="10">
        <v>80.87</v>
      </c>
      <c r="Z7" s="10">
        <v>79.3</v>
      </c>
      <c r="AA7" s="10">
        <v>80.7</v>
      </c>
      <c r="AB7" s="95">
        <v>10583800</v>
      </c>
      <c r="AC7" s="10">
        <v>80.7</v>
      </c>
      <c r="AD7" s="40">
        <f t="shared" si="1"/>
        <v>1.5700000000000074</v>
      </c>
      <c r="AE7" s="162">
        <f t="shared" si="2"/>
        <v>1.8296529968454323E-2</v>
      </c>
    </row>
    <row r="8" spans="1:40" x14ac:dyDescent="0.25">
      <c r="B8" s="47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6"/>
      <c r="H8" s="82"/>
      <c r="I8" s="7"/>
      <c r="J8" s="7"/>
      <c r="K8" s="7"/>
      <c r="O8" s="11" t="s">
        <v>190</v>
      </c>
      <c r="P8" s="34"/>
      <c r="Q8" s="2">
        <f>K18+M18-F18+Q2*Q4</f>
        <v>-827.67999999999665</v>
      </c>
      <c r="T8" s="1"/>
      <c r="W8" s="133">
        <v>42598</v>
      </c>
      <c r="X8" s="10">
        <v>79.569999999999993</v>
      </c>
      <c r="Y8" s="10">
        <v>79.8</v>
      </c>
      <c r="Z8" s="10">
        <v>79.239999999999995</v>
      </c>
      <c r="AA8" s="10">
        <v>79.25</v>
      </c>
      <c r="AB8" s="95">
        <v>7969900</v>
      </c>
      <c r="AC8" s="10">
        <v>79.25</v>
      </c>
      <c r="AD8" s="40">
        <f t="shared" si="1"/>
        <v>0.56000000000000227</v>
      </c>
      <c r="AE8" s="162">
        <f t="shared" si="2"/>
        <v>-5.0219711236660913E-3</v>
      </c>
    </row>
    <row r="9" spans="1:40" x14ac:dyDescent="0.25">
      <c r="A9" s="427"/>
      <c r="B9" s="47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6"/>
      <c r="H9" s="7"/>
      <c r="I9" s="7"/>
      <c r="J9" s="7"/>
      <c r="K9" s="7"/>
      <c r="O9" s="11" t="s">
        <v>225</v>
      </c>
      <c r="Q9" s="138">
        <f>IF(Q2=0, 0, Q8/Q6)</f>
        <v>-6.4147913456738981E-2</v>
      </c>
      <c r="W9" s="133">
        <v>42597</v>
      </c>
      <c r="X9" s="10">
        <v>79.88</v>
      </c>
      <c r="Y9" s="10">
        <v>80.09</v>
      </c>
      <c r="Z9" s="10">
        <v>79.430000000000007</v>
      </c>
      <c r="AA9" s="10">
        <v>79.650000000000006</v>
      </c>
      <c r="AB9" s="95">
        <v>7464800</v>
      </c>
      <c r="AC9" s="10">
        <v>79.650000000000006</v>
      </c>
      <c r="AD9" s="40">
        <f t="shared" si="1"/>
        <v>0.65999999999999659</v>
      </c>
      <c r="AE9" s="162">
        <f t="shared" si="2"/>
        <v>-1.2553351744903907E-4</v>
      </c>
    </row>
    <row r="10" spans="1:40" x14ac:dyDescent="0.25">
      <c r="A10" s="427" t="s">
        <v>228</v>
      </c>
      <c r="B10" s="47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6"/>
      <c r="H10" s="7"/>
      <c r="I10" s="7"/>
      <c r="J10" s="7"/>
      <c r="K10" s="7"/>
      <c r="O10" s="11" t="s">
        <v>224</v>
      </c>
      <c r="P10" s="34"/>
      <c r="Q10" s="2">
        <f>M49</f>
        <v>0</v>
      </c>
      <c r="W10" s="133">
        <v>42594</v>
      </c>
      <c r="X10" s="10">
        <v>79.34</v>
      </c>
      <c r="Y10" s="10">
        <v>79.77</v>
      </c>
      <c r="Z10" s="10">
        <v>78.87</v>
      </c>
      <c r="AA10" s="10">
        <v>79.66</v>
      </c>
      <c r="AB10" s="95">
        <v>8434000</v>
      </c>
      <c r="AC10" s="10">
        <v>79.66</v>
      </c>
      <c r="AD10" s="40">
        <f t="shared" si="1"/>
        <v>0.89999999999999147</v>
      </c>
      <c r="AE10" s="162">
        <f t="shared" si="2"/>
        <v>1.1310795525951711E-3</v>
      </c>
    </row>
    <row r="11" spans="1:40" x14ac:dyDescent="0.25">
      <c r="A11" s="427">
        <v>92.64</v>
      </c>
      <c r="B11" s="47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7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2.3199999999999998E-2</v>
      </c>
      <c r="W11" s="133">
        <v>42593</v>
      </c>
      <c r="X11" s="10">
        <v>79.150000000000006</v>
      </c>
      <c r="Y11" s="10">
        <v>79.98</v>
      </c>
      <c r="Z11" s="10">
        <v>78.8</v>
      </c>
      <c r="AA11" s="10">
        <v>79.569999999999993</v>
      </c>
      <c r="AB11" s="95">
        <v>8454700</v>
      </c>
      <c r="AC11" s="10">
        <v>79.569999999999993</v>
      </c>
      <c r="AD11" s="40">
        <f t="shared" si="1"/>
        <v>1.1800000000000068</v>
      </c>
      <c r="AE11" s="162">
        <f t="shared" si="2"/>
        <v>8.4917617237008081E-3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42592</v>
      </c>
      <c r="X12" s="10">
        <v>79.430000000000007</v>
      </c>
      <c r="Y12" s="10">
        <v>79.59</v>
      </c>
      <c r="Z12" s="10">
        <v>78.45</v>
      </c>
      <c r="AA12" s="10">
        <v>78.900000000000006</v>
      </c>
      <c r="AB12" s="95">
        <v>12022200</v>
      </c>
      <c r="AC12" s="10">
        <v>78.900000000000006</v>
      </c>
      <c r="AD12" s="40">
        <f t="shared" si="1"/>
        <v>1.1400000000000006</v>
      </c>
      <c r="AE12" s="162">
        <f t="shared" si="2"/>
        <v>-5.4203958149501297E-3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42591</v>
      </c>
      <c r="X13" s="10">
        <v>79.86</v>
      </c>
      <c r="Y13" s="10">
        <v>79.900000000000006</v>
      </c>
      <c r="Z13" s="10">
        <v>79.010000000000005</v>
      </c>
      <c r="AA13" s="10">
        <v>79.33</v>
      </c>
      <c r="AB13" s="95">
        <v>9578200</v>
      </c>
      <c r="AC13" s="10">
        <v>79.33</v>
      </c>
      <c r="AD13" s="40">
        <f t="shared" si="1"/>
        <v>0.89000000000000057</v>
      </c>
      <c r="AE13" s="162">
        <f t="shared" si="2"/>
        <v>-5.1417105593177803E-3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42590</v>
      </c>
      <c r="X14" s="10">
        <v>80.459999999999994</v>
      </c>
      <c r="Y14" s="10">
        <v>80.790000000000006</v>
      </c>
      <c r="Z14" s="10">
        <v>79.010000000000005</v>
      </c>
      <c r="AA14" s="10">
        <v>79.739999999999995</v>
      </c>
      <c r="AB14" s="95">
        <v>9511600</v>
      </c>
      <c r="AC14" s="10">
        <v>79.739999999999995</v>
      </c>
      <c r="AD14" s="40">
        <f t="shared" si="1"/>
        <v>1.7800000000000011</v>
      </c>
      <c r="AE14" s="162">
        <f t="shared" si="2"/>
        <v>-8.3322969779878742E-3</v>
      </c>
    </row>
    <row r="15" spans="1:40" x14ac:dyDescent="0.25">
      <c r="C15" s="4"/>
      <c r="H15" s="72"/>
      <c r="W15" s="133">
        <v>42587</v>
      </c>
      <c r="X15" s="10">
        <v>80.2</v>
      </c>
      <c r="Y15" s="10">
        <v>80.66</v>
      </c>
      <c r="Z15" s="10">
        <v>79.86</v>
      </c>
      <c r="AA15" s="10">
        <v>80.41</v>
      </c>
      <c r="AB15" s="95">
        <v>10692300</v>
      </c>
      <c r="AC15" s="10">
        <v>80.41</v>
      </c>
      <c r="AD15" s="40">
        <f t="shared" si="1"/>
        <v>0.79999999999999716</v>
      </c>
      <c r="AE15" s="162">
        <f t="shared" si="2"/>
        <v>8.0230663156575233E-3</v>
      </c>
    </row>
    <row r="16" spans="1:40" x14ac:dyDescent="0.25">
      <c r="H16" s="72"/>
      <c r="W16" s="133">
        <v>42586</v>
      </c>
      <c r="X16" s="10">
        <v>80.209999999999994</v>
      </c>
      <c r="Y16" s="10">
        <v>80.63</v>
      </c>
      <c r="Z16" s="10">
        <v>79.55</v>
      </c>
      <c r="AA16" s="10">
        <v>79.77</v>
      </c>
      <c r="AB16" s="95">
        <v>9738300</v>
      </c>
      <c r="AC16" s="10">
        <v>79.77</v>
      </c>
      <c r="AD16" s="40">
        <f t="shared" si="1"/>
        <v>1.0799999999999983</v>
      </c>
      <c r="AE16" s="162">
        <f t="shared" si="2"/>
        <v>-3.9955050568112327E-3</v>
      </c>
    </row>
    <row r="17" spans="1:31" x14ac:dyDescent="0.25">
      <c r="C17" s="4"/>
      <c r="D17" s="3"/>
      <c r="E17" s="3"/>
      <c r="F17" s="3"/>
      <c r="H17" s="72"/>
      <c r="W17" s="133">
        <v>42585</v>
      </c>
      <c r="X17" s="10">
        <v>79.72</v>
      </c>
      <c r="Y17" s="10">
        <v>80.17</v>
      </c>
      <c r="Z17" s="10">
        <v>79.11</v>
      </c>
      <c r="AA17" s="10">
        <v>80.09</v>
      </c>
      <c r="AB17" s="95">
        <v>10868100</v>
      </c>
      <c r="AC17" s="10">
        <v>80.09</v>
      </c>
      <c r="AD17" s="40">
        <f t="shared" si="1"/>
        <v>1.0600000000000023</v>
      </c>
      <c r="AE17" s="162">
        <f t="shared" si="2"/>
        <v>6.5351263038835317E-3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42584</v>
      </c>
      <c r="X18" s="10">
        <v>80.98</v>
      </c>
      <c r="Y18" s="10">
        <v>81.19</v>
      </c>
      <c r="Z18" s="10">
        <v>79.45</v>
      </c>
      <c r="AA18" s="10">
        <v>79.569999999999993</v>
      </c>
      <c r="AB18" s="95">
        <v>13408200</v>
      </c>
      <c r="AC18" s="10">
        <v>79.569999999999993</v>
      </c>
      <c r="AD18" s="40">
        <f t="shared" si="1"/>
        <v>1.7399999999999949</v>
      </c>
      <c r="AE18" s="162">
        <f t="shared" si="2"/>
        <v>-1.1061396967437243E-2</v>
      </c>
    </row>
    <row r="19" spans="1:31" ht="15.75" thickBot="1" x14ac:dyDescent="0.3">
      <c r="A19" s="360" t="s">
        <v>204</v>
      </c>
      <c r="B19" s="361"/>
      <c r="C19" s="362">
        <f>SumByColor($A$19,C2:C17)</f>
        <v>175</v>
      </c>
      <c r="D19" s="362"/>
      <c r="E19" s="362"/>
      <c r="F19" s="363">
        <f>SumByColor($A$19,F2:F17)</f>
        <v>15264</v>
      </c>
      <c r="G19" s="362"/>
      <c r="H19" s="362">
        <f>SumByColor($A$19,H2:H17)</f>
        <v>175</v>
      </c>
      <c r="I19" s="362"/>
      <c r="J19" s="362"/>
      <c r="K19" s="363">
        <f>SumByColor($A$19,K2:K17)</f>
        <v>15620</v>
      </c>
      <c r="L19" s="362"/>
      <c r="M19" s="363">
        <f t="shared" ref="M19" si="3">SumByColor($A$19,M2:M17)</f>
        <v>0</v>
      </c>
      <c r="W19" s="133">
        <v>42583</v>
      </c>
      <c r="X19" s="10">
        <v>79.81</v>
      </c>
      <c r="Y19" s="10">
        <v>81.209999999999994</v>
      </c>
      <c r="Z19" s="10">
        <v>79.510000000000005</v>
      </c>
      <c r="AA19" s="10">
        <v>80.459999999999994</v>
      </c>
      <c r="AB19" s="95">
        <v>14758000</v>
      </c>
      <c r="AC19" s="10">
        <v>80.459999999999994</v>
      </c>
      <c r="AD19" s="40">
        <f t="shared" si="1"/>
        <v>1.6999999999999886</v>
      </c>
      <c r="AE19" s="162">
        <f t="shared" si="2"/>
        <v>1.2457531143827749E-2</v>
      </c>
    </row>
    <row r="20" spans="1:31" x14ac:dyDescent="0.25">
      <c r="W20" s="133">
        <v>42580</v>
      </c>
      <c r="X20" s="10">
        <v>80.599999999999994</v>
      </c>
      <c r="Y20" s="10">
        <v>80.84</v>
      </c>
      <c r="Z20" s="10">
        <v>79.37</v>
      </c>
      <c r="AA20" s="10">
        <v>79.47</v>
      </c>
      <c r="AB20" s="95">
        <v>19465700</v>
      </c>
      <c r="AC20" s="10">
        <v>79.47</v>
      </c>
      <c r="AD20" s="40">
        <f t="shared" si="1"/>
        <v>1.4699999999999989</v>
      </c>
      <c r="AE20" s="162">
        <f t="shared" si="2"/>
        <v>-2.1787296898079678E-2</v>
      </c>
    </row>
    <row r="21" spans="1:31" x14ac:dyDescent="0.25">
      <c r="W21" s="133">
        <v>42579</v>
      </c>
      <c r="X21" s="10">
        <v>81.95</v>
      </c>
      <c r="Y21" s="10">
        <v>81.98</v>
      </c>
      <c r="Z21" s="10">
        <v>80.62</v>
      </c>
      <c r="AA21" s="10">
        <v>81.239999999999995</v>
      </c>
      <c r="AB21" s="95">
        <v>13011000</v>
      </c>
      <c r="AC21" s="10">
        <v>81.239999999999995</v>
      </c>
      <c r="AD21" s="40">
        <f t="shared" si="1"/>
        <v>1.3599999999999994</v>
      </c>
      <c r="AE21" s="162">
        <f t="shared" si="2"/>
        <v>-6.7245384521336105E-3</v>
      </c>
    </row>
    <row r="22" spans="1:31" x14ac:dyDescent="0.25">
      <c r="W22" s="133">
        <v>42578</v>
      </c>
      <c r="X22" s="10">
        <v>81.34</v>
      </c>
      <c r="Y22" s="10">
        <v>81.98</v>
      </c>
      <c r="Z22" s="10">
        <v>81.06</v>
      </c>
      <c r="AA22" s="10">
        <v>81.790000000000006</v>
      </c>
      <c r="AB22" s="95">
        <v>14103800</v>
      </c>
      <c r="AC22" s="10">
        <v>81.790000000000006</v>
      </c>
      <c r="AD22" s="40">
        <f t="shared" si="1"/>
        <v>0.92000000000000171</v>
      </c>
      <c r="AE22" s="162">
        <f t="shared" si="2"/>
        <v>9.1301665638496843E-3</v>
      </c>
    </row>
    <row r="23" spans="1:31" x14ac:dyDescent="0.25">
      <c r="W23" s="133">
        <v>42577</v>
      </c>
      <c r="X23" s="10">
        <v>84.05</v>
      </c>
      <c r="Y23" s="10">
        <v>84.15</v>
      </c>
      <c r="Z23" s="10">
        <v>80.510000000000005</v>
      </c>
      <c r="AA23" s="10">
        <v>81.05</v>
      </c>
      <c r="AB23" s="95">
        <v>47371900</v>
      </c>
      <c r="AC23" s="10">
        <v>81.05</v>
      </c>
      <c r="AD23" s="40">
        <f t="shared" si="1"/>
        <v>3.6400000000000006</v>
      </c>
      <c r="AE23" s="162">
        <f t="shared" si="2"/>
        <v>-8.4697910784867325E-2</v>
      </c>
    </row>
    <row r="24" spans="1:31" x14ac:dyDescent="0.25">
      <c r="W24" s="133">
        <v>42576</v>
      </c>
      <c r="X24" s="10">
        <v>86.57</v>
      </c>
      <c r="Y24" s="10">
        <v>88.85</v>
      </c>
      <c r="Z24" s="10">
        <v>86.28</v>
      </c>
      <c r="AA24" s="10">
        <v>88.55</v>
      </c>
      <c r="AB24" s="95">
        <v>15718500</v>
      </c>
      <c r="AC24" s="10">
        <v>88.55</v>
      </c>
      <c r="AD24" s="40">
        <f t="shared" si="1"/>
        <v>2.5699999999999932</v>
      </c>
      <c r="AE24" s="162">
        <f t="shared" si="2"/>
        <v>2.3108030040439154E-2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42573</v>
      </c>
      <c r="X25" s="10">
        <v>87.32</v>
      </c>
      <c r="Y25" s="10">
        <v>87.44</v>
      </c>
      <c r="Z25" s="10">
        <v>86.32</v>
      </c>
      <c r="AA25" s="10">
        <v>86.55</v>
      </c>
      <c r="AB25" s="95">
        <v>7374700</v>
      </c>
      <c r="AC25" s="10">
        <v>86.55</v>
      </c>
      <c r="AD25" s="40">
        <f t="shared" si="1"/>
        <v>1.1200000000000045</v>
      </c>
      <c r="AE25" s="162">
        <f t="shared" si="2"/>
        <v>-7.909215955983484E-3</v>
      </c>
    </row>
    <row r="26" spans="1:31" x14ac:dyDescent="0.25">
      <c r="A26" s="8"/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195" t="s">
        <v>88</v>
      </c>
      <c r="I26" s="195" t="s">
        <v>161</v>
      </c>
      <c r="J26" s="8"/>
      <c r="K26" s="8"/>
      <c r="L26" s="8"/>
      <c r="M26" s="8"/>
      <c r="W26" s="133">
        <v>42572</v>
      </c>
      <c r="X26" s="10">
        <v>87.16</v>
      </c>
      <c r="Y26" s="10">
        <v>87.83</v>
      </c>
      <c r="Z26" s="10">
        <v>86.3</v>
      </c>
      <c r="AA26" s="10">
        <v>87.24</v>
      </c>
      <c r="AB26" s="95">
        <v>9453400</v>
      </c>
      <c r="AC26" s="10">
        <v>87.24</v>
      </c>
      <c r="AD26" s="40">
        <f t="shared" si="1"/>
        <v>1.5300000000000011</v>
      </c>
      <c r="AE26" s="162">
        <f t="shared" si="2"/>
        <v>6.6928225248095163E-3</v>
      </c>
    </row>
    <row r="27" spans="1:31" x14ac:dyDescent="0.25">
      <c r="B27" s="193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1">
        <f>(E27-D27)/D27</f>
        <v>8.5714285714285618E-2</v>
      </c>
      <c r="I27" s="355"/>
      <c r="W27" s="133">
        <v>42571</v>
      </c>
      <c r="X27" s="10">
        <v>85.46</v>
      </c>
      <c r="Y27" s="10">
        <v>87.12</v>
      </c>
      <c r="Z27" s="10">
        <v>85.1</v>
      </c>
      <c r="AA27" s="10">
        <v>86.66</v>
      </c>
      <c r="AB27" s="95">
        <v>9055900</v>
      </c>
      <c r="AC27" s="10">
        <v>86.66</v>
      </c>
      <c r="AD27" s="40">
        <f t="shared" si="1"/>
        <v>2.0200000000000102</v>
      </c>
      <c r="AE27" s="162">
        <f t="shared" si="2"/>
        <v>1.4279026217228541E-2</v>
      </c>
    </row>
    <row r="28" spans="1:31" x14ac:dyDescent="0.25">
      <c r="B28" s="193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1">
        <f t="shared" ref="H28:H36" si="6">(E28-D28)/D28</f>
        <v>4.070450097847355E-2</v>
      </c>
      <c r="I28" s="355"/>
      <c r="W28" s="133">
        <v>42570</v>
      </c>
      <c r="X28" s="10">
        <v>86.5</v>
      </c>
      <c r="Y28" s="10">
        <v>86.96</v>
      </c>
      <c r="Z28" s="10">
        <v>85.28</v>
      </c>
      <c r="AA28" s="10">
        <v>85.44</v>
      </c>
      <c r="AB28" s="95">
        <v>9832800</v>
      </c>
      <c r="AC28" s="10">
        <v>85.44</v>
      </c>
      <c r="AD28" s="40">
        <f t="shared" si="1"/>
        <v>1.6799999999999926</v>
      </c>
      <c r="AE28" s="162">
        <f t="shared" si="2"/>
        <v>-1.7140227769469774E-2</v>
      </c>
    </row>
    <row r="29" spans="1:31" x14ac:dyDescent="0.25">
      <c r="B29" s="193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1">
        <f t="shared" si="6"/>
        <v>-2.1232876712328784E-2</v>
      </c>
      <c r="I29" s="355"/>
      <c r="W29" s="133">
        <v>42569</v>
      </c>
      <c r="X29" s="10">
        <v>86.94</v>
      </c>
      <c r="Y29" s="10">
        <v>87.34</v>
      </c>
      <c r="Z29" s="10">
        <v>86.47</v>
      </c>
      <c r="AA29" s="10">
        <v>86.93</v>
      </c>
      <c r="AB29" s="95">
        <v>6788300</v>
      </c>
      <c r="AC29" s="10">
        <v>86.93</v>
      </c>
      <c r="AD29" s="40">
        <f t="shared" si="1"/>
        <v>0.87000000000000455</v>
      </c>
      <c r="AE29" s="162">
        <f t="shared" si="2"/>
        <v>2.9998846198224793E-3</v>
      </c>
    </row>
    <row r="30" spans="1:31" x14ac:dyDescent="0.25">
      <c r="B30" s="193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1">
        <f t="shared" si="6"/>
        <v>6.4579256360077939E-3</v>
      </c>
      <c r="I30" s="355"/>
      <c r="W30" s="133">
        <v>42566</v>
      </c>
      <c r="X30" s="10">
        <v>85.67</v>
      </c>
      <c r="Y30" s="10">
        <v>87.96</v>
      </c>
      <c r="Z30" s="10">
        <v>85.54</v>
      </c>
      <c r="AA30" s="10">
        <v>86.67</v>
      </c>
      <c r="AB30" s="95">
        <v>11483300</v>
      </c>
      <c r="AC30" s="10">
        <v>86.67</v>
      </c>
      <c r="AD30" s="40">
        <f t="shared" si="1"/>
        <v>2.4199999999999875</v>
      </c>
      <c r="AE30" s="162">
        <f t="shared" si="2"/>
        <v>1.3210194061257896E-2</v>
      </c>
    </row>
    <row r="31" spans="1:31" x14ac:dyDescent="0.25">
      <c r="B31" s="193">
        <v>42376</v>
      </c>
      <c r="C31" s="454">
        <v>50</v>
      </c>
      <c r="D31" s="460">
        <v>99.13</v>
      </c>
      <c r="E31" s="340">
        <v>96.25</v>
      </c>
      <c r="F31" s="40">
        <f t="shared" si="4"/>
        <v>-143.99999999999977</v>
      </c>
      <c r="G31" s="40">
        <f t="shared" si="5"/>
        <v>4956.5</v>
      </c>
      <c r="H31" s="231">
        <f t="shared" si="6"/>
        <v>-2.9052759003328918E-2</v>
      </c>
      <c r="I31" s="355"/>
      <c r="W31" s="133">
        <v>42565</v>
      </c>
      <c r="X31" s="10">
        <v>86.43</v>
      </c>
      <c r="Y31" s="10">
        <v>86.51</v>
      </c>
      <c r="Z31" s="10">
        <v>85.27</v>
      </c>
      <c r="AA31" s="10">
        <v>85.54</v>
      </c>
      <c r="AB31" s="95">
        <v>8104400</v>
      </c>
      <c r="AC31" s="10">
        <v>85.54</v>
      </c>
      <c r="AD31" s="40">
        <f t="shared" si="1"/>
        <v>1.2400000000000091</v>
      </c>
      <c r="AE31" s="162">
        <f t="shared" si="2"/>
        <v>-2.448979591836653E-3</v>
      </c>
    </row>
    <row r="32" spans="1:31" x14ac:dyDescent="0.25">
      <c r="B32" s="193">
        <v>42402</v>
      </c>
      <c r="C32" s="283">
        <v>60</v>
      </c>
      <c r="D32" s="340">
        <v>96.37</v>
      </c>
      <c r="E32" s="340">
        <v>82.71</v>
      </c>
      <c r="F32" s="40">
        <f t="shared" si="4"/>
        <v>-819.60000000000059</v>
      </c>
      <c r="G32" s="40">
        <f t="shared" si="5"/>
        <v>5782.2000000000007</v>
      </c>
      <c r="H32" s="231">
        <f t="shared" si="6"/>
        <v>-0.14174535643872585</v>
      </c>
      <c r="I32" s="355"/>
      <c r="W32" s="133">
        <v>42564</v>
      </c>
      <c r="X32" s="10">
        <v>86.71</v>
      </c>
      <c r="Y32" s="10">
        <v>87.08</v>
      </c>
      <c r="Z32" s="10">
        <v>85.72</v>
      </c>
      <c r="AA32" s="10">
        <v>85.75</v>
      </c>
      <c r="AB32" s="95">
        <v>8334400</v>
      </c>
      <c r="AC32" s="10">
        <v>85.75</v>
      </c>
      <c r="AD32" s="40">
        <f t="shared" si="1"/>
        <v>1.3599999999999994</v>
      </c>
      <c r="AE32" s="162">
        <f t="shared" si="2"/>
        <v>-1.0158143830081956E-2</v>
      </c>
    </row>
    <row r="33" spans="2:31" x14ac:dyDescent="0.25">
      <c r="B33" s="193">
        <v>42409</v>
      </c>
      <c r="C33" s="283">
        <v>50</v>
      </c>
      <c r="D33" s="340">
        <v>98.03</v>
      </c>
      <c r="E33" s="340">
        <v>87.25</v>
      </c>
      <c r="F33" s="40">
        <f t="shared" si="4"/>
        <v>-539</v>
      </c>
      <c r="G33" s="40">
        <f t="shared" si="5"/>
        <v>4901.5</v>
      </c>
      <c r="H33" s="231">
        <f t="shared" si="6"/>
        <v>-0.10996633683566256</v>
      </c>
      <c r="I33" s="355"/>
      <c r="W33" s="133">
        <v>42563</v>
      </c>
      <c r="X33" s="10">
        <v>86.82</v>
      </c>
      <c r="Y33" s="10">
        <v>87.31</v>
      </c>
      <c r="Z33" s="10">
        <v>86.48</v>
      </c>
      <c r="AA33" s="10">
        <v>86.63</v>
      </c>
      <c r="AB33" s="95">
        <v>7857700</v>
      </c>
      <c r="AC33" s="10">
        <v>86.63</v>
      </c>
      <c r="AD33" s="40">
        <f t="shared" si="1"/>
        <v>0.82999999999999829</v>
      </c>
      <c r="AE33" s="162">
        <f t="shared" si="2"/>
        <v>4.4057971014492825E-3</v>
      </c>
    </row>
    <row r="34" spans="2:31" x14ac:dyDescent="0.25">
      <c r="B34" s="193">
        <v>42426</v>
      </c>
      <c r="C34" s="283">
        <v>70</v>
      </c>
      <c r="D34" s="340">
        <v>95.18</v>
      </c>
      <c r="E34" s="340">
        <v>88.03</v>
      </c>
      <c r="F34" s="40">
        <f t="shared" si="4"/>
        <v>-500.5000000000004</v>
      </c>
      <c r="G34" s="40">
        <f t="shared" si="5"/>
        <v>6662.6</v>
      </c>
      <c r="H34" s="232">
        <f t="shared" si="6"/>
        <v>-7.5120823702458553E-2</v>
      </c>
      <c r="I34" s="356"/>
      <c r="W34" s="133">
        <v>42562</v>
      </c>
      <c r="X34" s="10">
        <v>86.56</v>
      </c>
      <c r="Y34" s="10">
        <v>87.23</v>
      </c>
      <c r="Z34" s="10">
        <v>86.09</v>
      </c>
      <c r="AA34" s="10">
        <v>86.25</v>
      </c>
      <c r="AB34" s="95">
        <v>7453900</v>
      </c>
      <c r="AC34" s="10">
        <v>86.25</v>
      </c>
      <c r="AD34" s="40">
        <f t="shared" si="1"/>
        <v>1.1400000000000006</v>
      </c>
      <c r="AE34" s="162">
        <f t="shared" si="2"/>
        <v>-3.4662045060658286E-3</v>
      </c>
    </row>
    <row r="35" spans="2:31" x14ac:dyDescent="0.25">
      <c r="B35" s="193">
        <v>42430</v>
      </c>
      <c r="C35" s="283">
        <v>70</v>
      </c>
      <c r="D35" s="340">
        <v>95.18</v>
      </c>
      <c r="E35" s="340">
        <v>89.69</v>
      </c>
      <c r="F35" s="40">
        <f t="shared" si="4"/>
        <v>-384.30000000000064</v>
      </c>
      <c r="G35" s="40">
        <f t="shared" si="5"/>
        <v>6662.6</v>
      </c>
      <c r="H35" s="232">
        <f t="shared" si="6"/>
        <v>-5.7680184912796896E-2</v>
      </c>
      <c r="I35" s="356"/>
      <c r="W35" s="133">
        <v>42559</v>
      </c>
      <c r="X35" s="10">
        <v>85.96</v>
      </c>
      <c r="Y35" s="10">
        <v>86.94</v>
      </c>
      <c r="Z35" s="10">
        <v>85.73</v>
      </c>
      <c r="AA35" s="10">
        <v>86.55</v>
      </c>
      <c r="AB35" s="95">
        <v>7628800</v>
      </c>
      <c r="AC35" s="10">
        <v>86.55</v>
      </c>
      <c r="AD35" s="40">
        <f t="shared" si="1"/>
        <v>1.2099999999999937</v>
      </c>
      <c r="AE35" s="162">
        <f t="shared" si="2"/>
        <v>1.263601263601255E-2</v>
      </c>
    </row>
    <row r="36" spans="2:31" x14ac:dyDescent="0.25">
      <c r="B36" s="193">
        <v>42431</v>
      </c>
      <c r="C36" s="283">
        <v>70</v>
      </c>
      <c r="D36" s="340">
        <v>95.18</v>
      </c>
      <c r="E36" s="340">
        <v>88.8</v>
      </c>
      <c r="F36" s="40">
        <f t="shared" si="4"/>
        <v>-446.6000000000007</v>
      </c>
      <c r="G36" s="40">
        <f t="shared" si="5"/>
        <v>6662.6</v>
      </c>
      <c r="H36" s="232">
        <f t="shared" si="6"/>
        <v>-6.7030888842193839E-2</v>
      </c>
      <c r="I36" s="356"/>
      <c r="W36" s="133">
        <v>42558</v>
      </c>
      <c r="X36" s="10">
        <v>85.9</v>
      </c>
      <c r="Y36" s="10">
        <v>86.26</v>
      </c>
      <c r="Z36" s="10">
        <v>84.77</v>
      </c>
      <c r="AA36" s="10">
        <v>85.47</v>
      </c>
      <c r="AB36" s="95">
        <v>6764500</v>
      </c>
      <c r="AC36" s="10">
        <v>85.47</v>
      </c>
      <c r="AD36" s="40">
        <f t="shared" si="1"/>
        <v>1.4900000000000091</v>
      </c>
      <c r="AE36" s="162">
        <f t="shared" si="2"/>
        <v>-3.0327773241572986E-3</v>
      </c>
    </row>
    <row r="37" spans="2:31" x14ac:dyDescent="0.25">
      <c r="B37" s="193">
        <v>42445</v>
      </c>
      <c r="C37" s="283">
        <v>70</v>
      </c>
      <c r="D37" s="340">
        <v>95.176000000000002</v>
      </c>
      <c r="E37" s="340">
        <v>90.28</v>
      </c>
      <c r="F37" s="40">
        <f>C37*(E37-D37)</f>
        <v>-342.72</v>
      </c>
      <c r="G37" s="40">
        <f t="shared" ref="G37:G54" si="7">D37*C37</f>
        <v>6662.32</v>
      </c>
      <c r="H37" s="232">
        <f t="shared" ref="H37:H54" si="8">(E37-D37)/D37</f>
        <v>-5.1441539884004378E-2</v>
      </c>
      <c r="I37" s="356"/>
      <c r="W37" s="133">
        <v>42557</v>
      </c>
      <c r="X37" s="10">
        <v>83.64</v>
      </c>
      <c r="Y37" s="10">
        <v>85.91</v>
      </c>
      <c r="Z37" s="10">
        <v>83.33</v>
      </c>
      <c r="AA37" s="10">
        <v>85.73</v>
      </c>
      <c r="AB37" s="95">
        <v>9683800</v>
      </c>
      <c r="AC37" s="10">
        <v>85.73</v>
      </c>
      <c r="AD37" s="40">
        <f t="shared" si="1"/>
        <v>2.5799999999999983</v>
      </c>
      <c r="AE37" s="162">
        <f t="shared" si="2"/>
        <v>2.1933484324710983E-2</v>
      </c>
    </row>
    <row r="38" spans="2:31" x14ac:dyDescent="0.25">
      <c r="B38" s="193">
        <v>42447</v>
      </c>
      <c r="C38" s="283">
        <v>50</v>
      </c>
      <c r="D38" s="340">
        <v>97.010999999999996</v>
      </c>
      <c r="E38" s="340">
        <v>90.59</v>
      </c>
      <c r="F38" s="40">
        <f>C38*(E38-D38)</f>
        <v>-321.04999999999961</v>
      </c>
      <c r="G38" s="40">
        <f t="shared" si="7"/>
        <v>4850.55</v>
      </c>
      <c r="H38" s="232">
        <f t="shared" si="8"/>
        <v>-6.6188370390986517E-2</v>
      </c>
      <c r="I38" s="356"/>
      <c r="W38" s="133">
        <v>42556</v>
      </c>
      <c r="X38" s="10">
        <v>84.68</v>
      </c>
      <c r="Y38" s="10">
        <v>85.16</v>
      </c>
      <c r="Z38" s="10">
        <v>83.51</v>
      </c>
      <c r="AA38" s="10">
        <v>83.89</v>
      </c>
      <c r="AB38" s="95">
        <v>7621700</v>
      </c>
      <c r="AC38" s="10">
        <v>83.89</v>
      </c>
      <c r="AD38" s="40">
        <f t="shared" si="1"/>
        <v>1.6499999999999915</v>
      </c>
      <c r="AE38" s="162">
        <f t="shared" si="2"/>
        <v>-1.1430591562573644E-2</v>
      </c>
    </row>
    <row r="39" spans="2:31" x14ac:dyDescent="0.25">
      <c r="B39" s="193">
        <v>42452</v>
      </c>
      <c r="C39" s="283">
        <v>50</v>
      </c>
      <c r="D39" s="340">
        <v>97.010999999999996</v>
      </c>
      <c r="E39" s="340">
        <v>93.72</v>
      </c>
      <c r="F39" s="40">
        <f>C39*(E39-D39)</f>
        <v>-164.54999999999984</v>
      </c>
      <c r="G39" s="40">
        <f t="shared" si="7"/>
        <v>4850.55</v>
      </c>
      <c r="H39" s="232">
        <f t="shared" si="8"/>
        <v>-3.3923988001360636E-2</v>
      </c>
      <c r="I39" s="356"/>
      <c r="W39" s="133">
        <v>42552</v>
      </c>
      <c r="X39" s="10">
        <v>83.15</v>
      </c>
      <c r="Y39" s="10">
        <v>85.3</v>
      </c>
      <c r="Z39" s="10">
        <v>82.75</v>
      </c>
      <c r="AA39" s="10">
        <v>84.86</v>
      </c>
      <c r="AB39" s="95">
        <v>8336300</v>
      </c>
      <c r="AC39" s="10">
        <v>84.86</v>
      </c>
      <c r="AD39" s="40">
        <f t="shared" si="1"/>
        <v>2.5499999999999972</v>
      </c>
      <c r="AE39" s="162">
        <f t="shared" si="2"/>
        <v>1.7262047470630426E-2</v>
      </c>
    </row>
    <row r="40" spans="2:31" x14ac:dyDescent="0.25">
      <c r="B40" s="193">
        <v>42459</v>
      </c>
      <c r="C40" s="283">
        <v>50</v>
      </c>
      <c r="D40" s="340">
        <v>96.409000000000006</v>
      </c>
      <c r="E40" s="340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2">
        <f t="shared" si="8"/>
        <v>-4.604341918285644E-2</v>
      </c>
      <c r="I40" s="356" t="s">
        <v>195</v>
      </c>
      <c r="W40" s="133">
        <v>42551</v>
      </c>
      <c r="X40" s="10">
        <v>82.27</v>
      </c>
      <c r="Y40" s="10">
        <v>83.42</v>
      </c>
      <c r="Z40" s="10">
        <v>81.53</v>
      </c>
      <c r="AA40" s="10">
        <v>83.42</v>
      </c>
      <c r="AB40" s="95">
        <v>9706500</v>
      </c>
      <c r="AC40" s="10">
        <v>83.42</v>
      </c>
      <c r="AD40" s="40">
        <f t="shared" si="1"/>
        <v>1.8900000000000006</v>
      </c>
      <c r="AE40" s="162">
        <f t="shared" si="2"/>
        <v>1.3978363923666137E-2</v>
      </c>
    </row>
    <row r="41" spans="2:31" x14ac:dyDescent="0.25">
      <c r="B41" s="193">
        <v>42469</v>
      </c>
      <c r="C41" s="283">
        <v>50</v>
      </c>
      <c r="D41" s="340">
        <v>96.409000000000006</v>
      </c>
      <c r="E41" s="340">
        <v>96.09</v>
      </c>
      <c r="F41" s="40">
        <f t="shared" si="9"/>
        <v>-15.950000000000131</v>
      </c>
      <c r="G41" s="40">
        <f t="shared" si="7"/>
        <v>4820.4500000000007</v>
      </c>
      <c r="H41" s="232">
        <f t="shared" si="8"/>
        <v>-3.3088197160016449E-3</v>
      </c>
      <c r="I41" s="356"/>
      <c r="W41" s="133">
        <v>42550</v>
      </c>
      <c r="X41" s="10">
        <v>83.39</v>
      </c>
      <c r="Y41" s="10">
        <v>83.46</v>
      </c>
      <c r="Z41" s="10">
        <v>81.75</v>
      </c>
      <c r="AA41" s="10">
        <v>82.27</v>
      </c>
      <c r="AB41" s="95">
        <v>10452600</v>
      </c>
      <c r="AC41" s="10">
        <v>82.27</v>
      </c>
      <c r="AD41" s="40">
        <f t="shared" si="1"/>
        <v>1.7099999999999937</v>
      </c>
      <c r="AE41" s="162">
        <f t="shared" si="2"/>
        <v>-4.8596768314912442E-4</v>
      </c>
    </row>
    <row r="42" spans="2:31" ht="20.25" thickBot="1" x14ac:dyDescent="0.35">
      <c r="B42" s="193">
        <v>42475</v>
      </c>
      <c r="C42" s="283">
        <v>50</v>
      </c>
      <c r="D42" s="340">
        <v>96.409000000000006</v>
      </c>
      <c r="E42" s="340">
        <v>98.29</v>
      </c>
      <c r="F42" s="40">
        <f t="shared" si="9"/>
        <v>94.050000000000011</v>
      </c>
      <c r="G42" s="40">
        <f t="shared" si="7"/>
        <v>4820.4500000000007</v>
      </c>
      <c r="H42" s="232">
        <f t="shared" si="8"/>
        <v>1.951062660125092E-2</v>
      </c>
      <c r="I42" s="356"/>
      <c r="O42" s="535" t="s">
        <v>78</v>
      </c>
      <c r="P42" s="535"/>
      <c r="T42" s="91" t="s">
        <v>113</v>
      </c>
      <c r="W42" s="133">
        <v>42549</v>
      </c>
      <c r="X42" s="10">
        <v>79.67</v>
      </c>
      <c r="Y42" s="10">
        <v>82.42</v>
      </c>
      <c r="Z42" s="10">
        <v>79.45</v>
      </c>
      <c r="AA42" s="10">
        <v>82.31</v>
      </c>
      <c r="AB42" s="95">
        <v>14751000</v>
      </c>
      <c r="AC42" s="10">
        <v>82.31</v>
      </c>
      <c r="AD42" s="40">
        <f t="shared" si="1"/>
        <v>2.9699999999999989</v>
      </c>
      <c r="AE42" s="162">
        <f t="shared" si="2"/>
        <v>5.1884984025559078E-2</v>
      </c>
    </row>
    <row r="43" spans="2:31" ht="15.75" thickTop="1" x14ac:dyDescent="0.25">
      <c r="B43" s="193">
        <v>42478</v>
      </c>
      <c r="C43" s="283">
        <v>25</v>
      </c>
      <c r="D43" s="340">
        <v>93.37</v>
      </c>
      <c r="E43" s="340">
        <v>99.2</v>
      </c>
      <c r="F43" s="40">
        <f t="shared" si="9"/>
        <v>145.74999999999994</v>
      </c>
      <c r="G43" s="40">
        <f t="shared" si="7"/>
        <v>2334.25</v>
      </c>
      <c r="H43" s="232">
        <f t="shared" si="8"/>
        <v>6.2439755810217393E-2</v>
      </c>
      <c r="I43" s="356"/>
      <c r="O43" s="83">
        <v>1.1000000000000001</v>
      </c>
      <c r="P43" s="83">
        <f>O43*$Q$4</f>
        <v>88.550000000000011</v>
      </c>
      <c r="Q43" s="2"/>
      <c r="T43" s="128" t="s">
        <v>98</v>
      </c>
      <c r="U43" s="98">
        <v>81.47</v>
      </c>
      <c r="W43" s="133">
        <v>42548</v>
      </c>
      <c r="X43" s="10">
        <v>79.900000000000006</v>
      </c>
      <c r="Y43" s="10">
        <v>80.47</v>
      </c>
      <c r="Z43" s="10">
        <v>77.92</v>
      </c>
      <c r="AA43" s="10">
        <v>78.25</v>
      </c>
      <c r="AB43" s="95">
        <v>11724000</v>
      </c>
      <c r="AC43" s="10">
        <v>78.25</v>
      </c>
      <c r="AD43" s="40">
        <f t="shared" si="1"/>
        <v>2.5499999999999972</v>
      </c>
      <c r="AE43" s="162">
        <f t="shared" si="2"/>
        <v>-2.7587920964334489E-2</v>
      </c>
    </row>
    <row r="44" spans="2:31" x14ac:dyDescent="0.25">
      <c r="B44" s="193">
        <v>42488</v>
      </c>
      <c r="C44" s="454">
        <v>50</v>
      </c>
      <c r="D44" s="460">
        <v>95.81</v>
      </c>
      <c r="E44" s="340">
        <v>97</v>
      </c>
      <c r="F44" s="40">
        <f t="shared" si="9"/>
        <v>59.499999999999886</v>
      </c>
      <c r="G44" s="40">
        <f t="shared" si="7"/>
        <v>4790.5</v>
      </c>
      <c r="H44" s="232">
        <f t="shared" si="8"/>
        <v>1.2420415405490009E-2</v>
      </c>
      <c r="I44" s="356"/>
      <c r="O44" s="83">
        <v>1.0900000000000001</v>
      </c>
      <c r="P44" s="83">
        <f t="shared" ref="P44:P63" si="10">O44*$Q$4</f>
        <v>87.745000000000005</v>
      </c>
      <c r="Q44" s="2"/>
      <c r="T44" s="93" t="s">
        <v>99</v>
      </c>
      <c r="U44" s="88">
        <v>81.47</v>
      </c>
      <c r="W44" s="133">
        <v>42545</v>
      </c>
      <c r="X44" s="10">
        <v>81.17</v>
      </c>
      <c r="Y44" s="10">
        <v>82.25</v>
      </c>
      <c r="Z44" s="10">
        <v>80.22</v>
      </c>
      <c r="AA44" s="10">
        <v>80.47</v>
      </c>
      <c r="AB44" s="95">
        <v>12438000</v>
      </c>
      <c r="AC44" s="10">
        <v>80.47</v>
      </c>
      <c r="AD44" s="40">
        <f t="shared" si="1"/>
        <v>2.0300000000000011</v>
      </c>
      <c r="AE44" s="162">
        <f t="shared" si="2"/>
        <v>-3.4784694734317001E-2</v>
      </c>
    </row>
    <row r="45" spans="2:31" x14ac:dyDescent="0.25">
      <c r="B45" s="193">
        <v>42489</v>
      </c>
      <c r="C45" s="283">
        <v>70</v>
      </c>
      <c r="D45" s="340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2">
        <f t="shared" si="8"/>
        <v>-6.4055089286661704E-2</v>
      </c>
      <c r="I45" s="356"/>
      <c r="O45" s="83">
        <v>1.08</v>
      </c>
      <c r="P45" s="83">
        <f t="shared" si="10"/>
        <v>86.940000000000012</v>
      </c>
      <c r="Q45" s="2"/>
      <c r="T45" s="93" t="s">
        <v>100</v>
      </c>
      <c r="U45" s="88" t="s">
        <v>495</v>
      </c>
      <c r="W45" s="133">
        <v>42544</v>
      </c>
      <c r="X45" s="10">
        <v>83.29</v>
      </c>
      <c r="Y45" s="10">
        <v>83.58</v>
      </c>
      <c r="Z45" s="10">
        <v>82.54</v>
      </c>
      <c r="AA45" s="10">
        <v>83.37</v>
      </c>
      <c r="AB45" s="95">
        <v>5844000</v>
      </c>
      <c r="AC45" s="10">
        <v>83.37</v>
      </c>
      <c r="AD45" s="40">
        <f t="shared" si="1"/>
        <v>1.039999999999992</v>
      </c>
      <c r="AE45" s="162">
        <f t="shared" si="2"/>
        <v>1.1158277744087286E-2</v>
      </c>
    </row>
    <row r="46" spans="2:31" x14ac:dyDescent="0.25">
      <c r="B46" s="193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2">
        <f t="shared" si="8"/>
        <v>-4.9696734645508119E-2</v>
      </c>
      <c r="I46" s="356"/>
      <c r="O46" s="83">
        <v>1.07</v>
      </c>
      <c r="P46" s="83">
        <f t="shared" si="10"/>
        <v>86.135000000000005</v>
      </c>
      <c r="Q46" s="2"/>
      <c r="T46" s="93" t="s">
        <v>101</v>
      </c>
      <c r="U46" s="88" t="s">
        <v>496</v>
      </c>
      <c r="W46" s="133">
        <v>42543</v>
      </c>
      <c r="X46" s="10">
        <v>81.56</v>
      </c>
      <c r="Y46" s="10">
        <v>83.79</v>
      </c>
      <c r="Z46" s="10">
        <v>81.56</v>
      </c>
      <c r="AA46" s="10">
        <v>82.45</v>
      </c>
      <c r="AB46" s="95">
        <v>10069600</v>
      </c>
      <c r="AC46" s="10">
        <v>82.45</v>
      </c>
      <c r="AD46" s="40">
        <f t="shared" si="1"/>
        <v>2.230000000000004</v>
      </c>
      <c r="AE46" s="162">
        <f t="shared" si="2"/>
        <v>8.0694461425601105E-3</v>
      </c>
    </row>
    <row r="47" spans="2:31" x14ac:dyDescent="0.25">
      <c r="B47" s="193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2">
        <f t="shared" si="8"/>
        <v>-8.7726102366870146E-2</v>
      </c>
      <c r="I47" s="356"/>
      <c r="O47" s="83">
        <v>1.06</v>
      </c>
      <c r="P47" s="83">
        <f t="shared" si="10"/>
        <v>85.33</v>
      </c>
      <c r="Q47" s="2"/>
      <c r="T47" s="93" t="s">
        <v>102</v>
      </c>
      <c r="U47" s="88">
        <v>105.76</v>
      </c>
      <c r="W47" s="133">
        <v>42542</v>
      </c>
      <c r="X47" s="10">
        <v>83.35</v>
      </c>
      <c r="Y47" s="10">
        <v>83.44</v>
      </c>
      <c r="Z47" s="10">
        <v>81.430000000000007</v>
      </c>
      <c r="AA47" s="10">
        <v>81.790000000000006</v>
      </c>
      <c r="AB47" s="95">
        <v>8412000</v>
      </c>
      <c r="AC47" s="10">
        <v>81.790000000000006</v>
      </c>
      <c r="AD47" s="40">
        <f t="shared" si="1"/>
        <v>2.0099999999999909</v>
      </c>
      <c r="AE47" s="162">
        <f t="shared" si="2"/>
        <v>-1.4459573442583307E-2</v>
      </c>
    </row>
    <row r="48" spans="2:31" x14ac:dyDescent="0.25">
      <c r="B48" s="193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2">
        <f t="shared" si="8"/>
        <v>-0.10830289906596423</v>
      </c>
      <c r="I48" s="356"/>
      <c r="O48" s="83">
        <v>1.05</v>
      </c>
      <c r="P48" s="83">
        <f t="shared" si="10"/>
        <v>84.525000000000006</v>
      </c>
      <c r="Q48" s="2"/>
      <c r="T48" s="93" t="s">
        <v>103</v>
      </c>
      <c r="U48" s="88">
        <v>0.98564300000000005</v>
      </c>
      <c r="W48" s="133">
        <v>42541</v>
      </c>
      <c r="X48" s="10">
        <v>83.26</v>
      </c>
      <c r="Y48" s="10">
        <v>84.12</v>
      </c>
      <c r="Z48" s="10">
        <v>82.9</v>
      </c>
      <c r="AA48" s="10">
        <v>82.99</v>
      </c>
      <c r="AB48" s="95">
        <v>6951800</v>
      </c>
      <c r="AC48" s="10">
        <v>82.99</v>
      </c>
      <c r="AD48" s="40">
        <f t="shared" si="1"/>
        <v>1.2199999999999989</v>
      </c>
      <c r="AE48" s="162">
        <f t="shared" si="2"/>
        <v>4.1137326073803493E-3</v>
      </c>
    </row>
    <row r="49" spans="2:31" x14ac:dyDescent="0.25">
      <c r="B49" s="193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2">
        <f t="shared" si="8"/>
        <v>-7.1105365223012224E-2</v>
      </c>
      <c r="I49" s="356"/>
      <c r="O49" s="83">
        <v>1.04</v>
      </c>
      <c r="P49" s="83">
        <f t="shared" si="10"/>
        <v>83.72</v>
      </c>
      <c r="Q49" s="2"/>
      <c r="T49" s="93" t="s">
        <v>123</v>
      </c>
      <c r="U49" s="88" t="s">
        <v>322</v>
      </c>
      <c r="W49" s="133">
        <v>42538</v>
      </c>
      <c r="X49" s="10">
        <v>83.68</v>
      </c>
      <c r="Y49" s="10">
        <v>84.17</v>
      </c>
      <c r="Z49" s="10">
        <v>82.53</v>
      </c>
      <c r="AA49" s="10">
        <v>82.65</v>
      </c>
      <c r="AB49" s="95">
        <v>15951300</v>
      </c>
      <c r="AC49" s="10">
        <v>82.65</v>
      </c>
      <c r="AD49" s="40">
        <f t="shared" si="1"/>
        <v>1.6400000000000006</v>
      </c>
      <c r="AE49" s="162">
        <f t="shared" si="2"/>
        <v>-1.0298167884085774E-2</v>
      </c>
    </row>
    <row r="50" spans="2:31" x14ac:dyDescent="0.25">
      <c r="B50" s="193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2">
        <f t="shared" si="8"/>
        <v>-5.6268381758831316E-2</v>
      </c>
      <c r="I50" s="356"/>
      <c r="O50" s="83">
        <v>1.03</v>
      </c>
      <c r="P50" s="83">
        <f t="shared" si="10"/>
        <v>82.915000000000006</v>
      </c>
      <c r="Q50" s="2"/>
      <c r="T50" s="93"/>
      <c r="U50" s="88"/>
      <c r="W50" s="133">
        <v>42537</v>
      </c>
      <c r="X50" s="10">
        <v>82.78</v>
      </c>
      <c r="Y50" s="10">
        <v>83.7</v>
      </c>
      <c r="Z50" s="10">
        <v>82.23</v>
      </c>
      <c r="AA50" s="10">
        <v>83.51</v>
      </c>
      <c r="AB50" s="95">
        <v>6172200</v>
      </c>
      <c r="AC50" s="10">
        <v>83.51</v>
      </c>
      <c r="AD50" s="40">
        <f t="shared" si="1"/>
        <v>1.4699999999999989</v>
      </c>
      <c r="AE50" s="162">
        <f t="shared" si="2"/>
        <v>5.6599229287090935E-3</v>
      </c>
    </row>
    <row r="51" spans="2:31" x14ac:dyDescent="0.25">
      <c r="B51" s="193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2">
        <f t="shared" si="8"/>
        <v>-9.965524671407025E-2</v>
      </c>
      <c r="I51" s="236">
        <v>88.5</v>
      </c>
      <c r="O51" s="83">
        <v>1.02</v>
      </c>
      <c r="P51" s="83">
        <f t="shared" si="10"/>
        <v>82.11</v>
      </c>
      <c r="Q51" s="2"/>
      <c r="T51" s="93" t="s">
        <v>105</v>
      </c>
      <c r="U51" s="88" t="s">
        <v>497</v>
      </c>
      <c r="W51" s="133">
        <v>42536</v>
      </c>
      <c r="X51" s="10">
        <v>84.05</v>
      </c>
      <c r="Y51" s="10">
        <v>84.44</v>
      </c>
      <c r="Z51" s="10">
        <v>82.97</v>
      </c>
      <c r="AA51" s="10">
        <v>83.04</v>
      </c>
      <c r="AB51" s="95">
        <v>7416100</v>
      </c>
      <c r="AC51" s="10">
        <v>83.04</v>
      </c>
      <c r="AD51" s="40">
        <f t="shared" si="1"/>
        <v>1.4699999999999989</v>
      </c>
      <c r="AE51" s="162">
        <f t="shared" si="2"/>
        <v>-6.3419887519443607E-3</v>
      </c>
    </row>
    <row r="52" spans="2:31" x14ac:dyDescent="0.25">
      <c r="B52" s="193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2">
        <f t="shared" si="8"/>
        <v>-0.11883214824391282</v>
      </c>
      <c r="I52" s="356"/>
      <c r="O52" s="83">
        <v>1.01</v>
      </c>
      <c r="P52" s="83">
        <f t="shared" si="10"/>
        <v>81.305000000000007</v>
      </c>
      <c r="Q52" s="2"/>
      <c r="T52" s="93" t="s">
        <v>106</v>
      </c>
      <c r="U52" s="88" t="s">
        <v>368</v>
      </c>
      <c r="W52" s="133">
        <v>42535</v>
      </c>
      <c r="X52" s="10">
        <v>83.5</v>
      </c>
      <c r="Y52" s="10">
        <v>84.56</v>
      </c>
      <c r="Z52" s="10">
        <v>82.77</v>
      </c>
      <c r="AA52" s="10">
        <v>83.57</v>
      </c>
      <c r="AB52" s="95">
        <v>7488700</v>
      </c>
      <c r="AC52" s="10">
        <v>83.57</v>
      </c>
      <c r="AD52" s="40">
        <f t="shared" si="1"/>
        <v>1.7900000000000063</v>
      </c>
      <c r="AE52" s="162" t="e">
        <f t="shared" si="2"/>
        <v>#DIV/0!</v>
      </c>
    </row>
    <row r="53" spans="2:31" x14ac:dyDescent="0.25">
      <c r="B53" s="193">
        <v>42545</v>
      </c>
      <c r="C53" s="461">
        <v>200</v>
      </c>
      <c r="D53" s="462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2">
        <f t="shared" si="8"/>
        <v>-7.1289254099968918E-2</v>
      </c>
      <c r="I53" s="356"/>
      <c r="O53" s="83">
        <v>1</v>
      </c>
      <c r="P53" s="83">
        <f t="shared" si="10"/>
        <v>80.5</v>
      </c>
      <c r="Q53" s="2"/>
      <c r="T53" s="93" t="s">
        <v>107</v>
      </c>
      <c r="U53" s="90">
        <v>9699633</v>
      </c>
      <c r="W53" s="133">
        <v>42535</v>
      </c>
      <c r="X53" s="10" t="s">
        <v>252</v>
      </c>
      <c r="Y53" s="10"/>
      <c r="Z53" s="10"/>
      <c r="AA53" s="10"/>
      <c r="AB53" s="95"/>
      <c r="AC53" s="10"/>
      <c r="AD53" s="40">
        <f t="shared" si="1"/>
        <v>0</v>
      </c>
      <c r="AE53" s="162">
        <f t="shared" si="2"/>
        <v>-1</v>
      </c>
    </row>
    <row r="54" spans="2:31" x14ac:dyDescent="0.25">
      <c r="B54" s="193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2">
        <f t="shared" si="8"/>
        <v>-9.6910452756587134E-2</v>
      </c>
      <c r="I54" s="356"/>
      <c r="O54" s="83">
        <v>0.99</v>
      </c>
      <c r="P54" s="83">
        <f t="shared" si="10"/>
        <v>79.694999999999993</v>
      </c>
      <c r="Q54" s="2"/>
      <c r="T54" s="93" t="s">
        <v>110</v>
      </c>
      <c r="U54" s="90">
        <v>10121600</v>
      </c>
      <c r="W54" s="133">
        <v>42534</v>
      </c>
      <c r="X54" s="10">
        <v>84.03</v>
      </c>
      <c r="Y54" s="10">
        <v>84.81</v>
      </c>
      <c r="Z54" s="10">
        <v>83.9</v>
      </c>
      <c r="AA54" s="10">
        <v>83.98</v>
      </c>
      <c r="AB54" s="95">
        <v>8194100</v>
      </c>
      <c r="AC54" s="10">
        <v>83.51</v>
      </c>
      <c r="AD54" s="40">
        <f t="shared" si="1"/>
        <v>0.90999999999999659</v>
      </c>
      <c r="AE54" s="162">
        <f t="shared" si="2"/>
        <v>-5.5965706120504333E-3</v>
      </c>
    </row>
    <row r="55" spans="2:31" x14ac:dyDescent="0.25">
      <c r="B55" s="193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2">
        <f t="shared" ref="H55" si="13">(E55-D55)/D55</f>
        <v>-5.0053666024213218E-2</v>
      </c>
      <c r="I55" s="356"/>
      <c r="O55" s="83">
        <v>0.98</v>
      </c>
      <c r="P55" s="83">
        <f t="shared" si="10"/>
        <v>78.89</v>
      </c>
      <c r="Q55" s="2"/>
      <c r="T55" s="93" t="s">
        <v>108</v>
      </c>
      <c r="U55" s="88" t="s">
        <v>498</v>
      </c>
      <c r="W55" s="133">
        <v>42531</v>
      </c>
      <c r="X55" s="10">
        <v>84.98</v>
      </c>
      <c r="Y55" s="10">
        <v>85.17</v>
      </c>
      <c r="Z55" s="10">
        <v>84.08</v>
      </c>
      <c r="AA55" s="10">
        <v>84.45</v>
      </c>
      <c r="AB55" s="95">
        <v>8075200</v>
      </c>
      <c r="AC55" s="10">
        <v>83.98</v>
      </c>
      <c r="AD55" s="40">
        <f t="shared" si="1"/>
        <v>1.0900000000000034</v>
      </c>
      <c r="AE55" s="162">
        <f t="shared" si="2"/>
        <v>-1.5359362176105118E-2</v>
      </c>
    </row>
    <row r="56" spans="2:31" x14ac:dyDescent="0.25">
      <c r="B56" s="193">
        <v>42550</v>
      </c>
      <c r="C56" s="461">
        <v>200</v>
      </c>
      <c r="D56" s="462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2">
        <f t="shared" ref="H56:H57" si="16">(E56-D56)/D56</f>
        <v>-4.7927648519005078E-2</v>
      </c>
      <c r="I56" s="356" t="s">
        <v>195</v>
      </c>
      <c r="O56" s="83">
        <v>0.97</v>
      </c>
      <c r="P56" s="83">
        <f t="shared" si="10"/>
        <v>78.084999999999994</v>
      </c>
      <c r="T56" s="93" t="s">
        <v>111</v>
      </c>
      <c r="U56" s="88">
        <v>7.07</v>
      </c>
      <c r="W56" s="133">
        <v>42530</v>
      </c>
      <c r="X56" s="10">
        <v>86.92</v>
      </c>
      <c r="Y56" s="10">
        <v>87.25</v>
      </c>
      <c r="Z56" s="10">
        <v>85.65</v>
      </c>
      <c r="AA56" s="10">
        <v>85.77</v>
      </c>
      <c r="AB56" s="95">
        <v>8083700</v>
      </c>
      <c r="AC56" s="10">
        <v>85.29</v>
      </c>
      <c r="AD56" s="40">
        <f t="shared" si="1"/>
        <v>1.5999999999999943</v>
      </c>
      <c r="AE56" s="162">
        <f t="shared" si="2"/>
        <v>-1.8865754054986805E-2</v>
      </c>
    </row>
    <row r="57" spans="2:31" x14ac:dyDescent="0.25">
      <c r="B57" s="193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2">
        <f t="shared" si="16"/>
        <v>-4.7424476453895636E-2</v>
      </c>
      <c r="I57" s="356"/>
      <c r="O57" s="83">
        <v>0.96</v>
      </c>
      <c r="P57" s="83">
        <f t="shared" si="10"/>
        <v>77.28</v>
      </c>
      <c r="T57" s="93" t="s">
        <v>112</v>
      </c>
      <c r="U57" s="88">
        <v>11.39</v>
      </c>
      <c r="W57" s="133">
        <v>42529</v>
      </c>
      <c r="X57" s="10">
        <v>87.52</v>
      </c>
      <c r="Y57" s="10">
        <v>88.09</v>
      </c>
      <c r="Z57" s="10">
        <v>86.82</v>
      </c>
      <c r="AA57" s="10">
        <v>87.42</v>
      </c>
      <c r="AB57" s="95">
        <v>7331600</v>
      </c>
      <c r="AC57" s="10">
        <v>86.93</v>
      </c>
      <c r="AD57" s="40">
        <f t="shared" si="1"/>
        <v>1.2700000000000102</v>
      </c>
      <c r="AE57" s="162">
        <f t="shared" si="2"/>
        <v>-9.1943454775311739E-4</v>
      </c>
    </row>
    <row r="58" spans="2:31" x14ac:dyDescent="0.25">
      <c r="B58" s="193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2">
        <f t="shared" ref="H58" si="19">(E58-D58)/D58</f>
        <v>-5.8312978196055902E-2</v>
      </c>
      <c r="I58" s="356"/>
      <c r="O58" s="83">
        <v>0.95</v>
      </c>
      <c r="P58" s="83">
        <f t="shared" si="10"/>
        <v>76.474999999999994</v>
      </c>
      <c r="T58" s="93" t="s">
        <v>109</v>
      </c>
      <c r="U58" s="88" t="s">
        <v>397</v>
      </c>
      <c r="W58" s="133">
        <v>42528</v>
      </c>
      <c r="X58" s="10">
        <v>87.54</v>
      </c>
      <c r="Y58" s="10">
        <v>88.24</v>
      </c>
      <c r="Z58" s="10">
        <v>86.9</v>
      </c>
      <c r="AA58" s="10">
        <v>87.5</v>
      </c>
      <c r="AB58" s="95">
        <v>7923800</v>
      </c>
      <c r="AC58" s="10">
        <v>87.01</v>
      </c>
      <c r="AD58" s="40">
        <f t="shared" si="1"/>
        <v>1.3399999999999892</v>
      </c>
      <c r="AE58" s="162">
        <f t="shared" si="2"/>
        <v>-1.147973826196691E-3</v>
      </c>
    </row>
    <row r="59" spans="2:31" x14ac:dyDescent="0.25">
      <c r="B59" s="193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2">
        <f t="shared" ref="H59" si="22">(E59-D59)/D59</f>
        <v>-2.8453787851575176E-2</v>
      </c>
      <c r="I59" s="356"/>
      <c r="O59" s="83">
        <v>0.94</v>
      </c>
      <c r="P59" s="83">
        <f t="shared" si="10"/>
        <v>75.67</v>
      </c>
      <c r="W59" s="133">
        <v>42527</v>
      </c>
      <c r="X59" s="10">
        <v>86.17</v>
      </c>
      <c r="Y59" s="10">
        <v>87.87</v>
      </c>
      <c r="Z59" s="10">
        <v>86.1</v>
      </c>
      <c r="AA59" s="10">
        <v>87.6</v>
      </c>
      <c r="AB59" s="95">
        <v>8596700</v>
      </c>
      <c r="AC59" s="10">
        <v>87.11</v>
      </c>
      <c r="AD59" s="40">
        <f t="shared" si="1"/>
        <v>1.7700000000000102</v>
      </c>
      <c r="AE59" s="162">
        <f t="shared" si="2"/>
        <v>1.6808684486985026E-2</v>
      </c>
    </row>
    <row r="60" spans="2:31" x14ac:dyDescent="0.25">
      <c r="B60" s="193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2">
        <f t="shared" ref="H60" si="25">(E60-D60)/D60</f>
        <v>-2.4188189230934957E-2</v>
      </c>
      <c r="I60" s="356"/>
      <c r="O60" s="83">
        <v>0.93</v>
      </c>
      <c r="P60" s="83">
        <f t="shared" si="10"/>
        <v>74.865000000000009</v>
      </c>
      <c r="W60" s="133">
        <v>42524</v>
      </c>
      <c r="X60" s="10">
        <v>86.85</v>
      </c>
      <c r="Y60" s="10">
        <v>86.98</v>
      </c>
      <c r="Z60" s="10">
        <v>85.55</v>
      </c>
      <c r="AA60" s="10">
        <v>86.15</v>
      </c>
      <c r="AB60" s="95">
        <v>7443800</v>
      </c>
      <c r="AC60" s="10">
        <v>85.67</v>
      </c>
      <c r="AD60" s="40">
        <f t="shared" si="1"/>
        <v>1.4300000000000068</v>
      </c>
      <c r="AE60" s="162">
        <f t="shared" si="2"/>
        <v>-6.4942595384437363E-3</v>
      </c>
    </row>
    <row r="61" spans="2:31" x14ac:dyDescent="0.25">
      <c r="B61" s="193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2">
        <f t="shared" ref="H61" si="28">(E61-D61)/D61</f>
        <v>-4.0913825927655488E-2</v>
      </c>
      <c r="I61" s="356"/>
      <c r="O61" s="83">
        <v>0.92</v>
      </c>
      <c r="P61" s="83">
        <f t="shared" si="10"/>
        <v>74.06</v>
      </c>
      <c r="W61" s="133">
        <v>42523</v>
      </c>
      <c r="X61" s="10">
        <v>86.69</v>
      </c>
      <c r="Y61" s="10">
        <v>87.07</v>
      </c>
      <c r="Z61" s="10">
        <v>85.86</v>
      </c>
      <c r="AA61" s="10">
        <v>86.72</v>
      </c>
      <c r="AB61" s="95">
        <v>7281100</v>
      </c>
      <c r="AC61" s="10">
        <v>86.23</v>
      </c>
      <c r="AD61" s="40">
        <f t="shared" si="1"/>
        <v>1.2099999999999937</v>
      </c>
      <c r="AE61" s="162">
        <f t="shared" si="2"/>
        <v>1.5098722415796129E-3</v>
      </c>
    </row>
    <row r="62" spans="2:31" x14ac:dyDescent="0.25">
      <c r="B62" s="193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2">
        <f t="shared" ref="H62" si="31">(E62-D62)/D62</f>
        <v>-2.7219009303495148E-2</v>
      </c>
      <c r="I62" s="356"/>
      <c r="O62" s="83">
        <v>0.91</v>
      </c>
      <c r="P62" s="83">
        <f t="shared" si="10"/>
        <v>73.254999999999995</v>
      </c>
      <c r="W62" s="133">
        <v>42522</v>
      </c>
      <c r="X62" s="10">
        <v>87.23</v>
      </c>
      <c r="Y62" s="10">
        <v>87.3</v>
      </c>
      <c r="Z62" s="10">
        <v>86.31</v>
      </c>
      <c r="AA62" s="10">
        <v>86.58</v>
      </c>
      <c r="AB62" s="95">
        <v>7451800</v>
      </c>
      <c r="AC62" s="10">
        <v>86.1</v>
      </c>
      <c r="AD62" s="40">
        <f t="shared" si="1"/>
        <v>0.98999999999999488</v>
      </c>
      <c r="AE62" s="162">
        <f t="shared" si="2"/>
        <v>-5.4291324939355068E-3</v>
      </c>
    </row>
    <row r="63" spans="2:31" x14ac:dyDescent="0.25">
      <c r="B63" s="193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2">
        <f t="shared" ref="H63" si="34">(E63-D63)/D63</f>
        <v>-2.0708358777255003E-2</v>
      </c>
      <c r="I63" s="356"/>
      <c r="O63" s="83">
        <v>0.9</v>
      </c>
      <c r="P63" s="83">
        <f t="shared" si="10"/>
        <v>72.45</v>
      </c>
      <c r="W63" s="133">
        <v>42521</v>
      </c>
      <c r="X63" s="10">
        <v>86.4</v>
      </c>
      <c r="Y63" s="10">
        <v>87.23</v>
      </c>
      <c r="Z63" s="10">
        <v>86.05</v>
      </c>
      <c r="AA63" s="10">
        <v>87.06</v>
      </c>
      <c r="AB63" s="95">
        <v>12517800</v>
      </c>
      <c r="AC63" s="10">
        <v>86.57</v>
      </c>
      <c r="AD63" s="40">
        <f t="shared" si="1"/>
        <v>1.1800000000000068</v>
      </c>
      <c r="AE63" s="162">
        <f t="shared" si="2"/>
        <v>1.4412936489336614E-2</v>
      </c>
    </row>
    <row r="64" spans="2:31" x14ac:dyDescent="0.25">
      <c r="B64" s="193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2">
        <f t="shared" ref="H64" si="37">(E64-D64)/D64</f>
        <v>-2.8453787851575176E-2</v>
      </c>
      <c r="I64" s="488"/>
      <c r="W64" s="133">
        <v>42517</v>
      </c>
      <c r="X64" s="10">
        <v>85.82</v>
      </c>
      <c r="Y64" s="10">
        <v>86.02</v>
      </c>
      <c r="Z64" s="10">
        <v>85.2</v>
      </c>
      <c r="AA64" s="10">
        <v>85.82</v>
      </c>
      <c r="AB64" s="95">
        <v>6125900</v>
      </c>
      <c r="AC64" s="10">
        <v>85.34</v>
      </c>
      <c r="AD64" s="40">
        <f t="shared" si="1"/>
        <v>0.81999999999999318</v>
      </c>
      <c r="AE64" s="162">
        <f t="shared" si="2"/>
        <v>6.2492630586015174E-3</v>
      </c>
    </row>
    <row r="65" spans="2:31" x14ac:dyDescent="0.25">
      <c r="B65" s="193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2">
        <f t="shared" ref="H65" si="40">(E65-D65)/D65</f>
        <v>-6.0032687955746001E-3</v>
      </c>
      <c r="I65" s="356" t="s">
        <v>317</v>
      </c>
      <c r="W65" s="133">
        <v>42516</v>
      </c>
      <c r="X65" s="10">
        <v>86.44</v>
      </c>
      <c r="Y65" s="10">
        <v>86.5</v>
      </c>
      <c r="Z65" s="10">
        <v>85.05</v>
      </c>
      <c r="AA65" s="10">
        <v>85.29</v>
      </c>
      <c r="AB65" s="95">
        <v>8126000</v>
      </c>
      <c r="AC65" s="10">
        <v>84.81</v>
      </c>
      <c r="AD65" s="40">
        <f t="shared" si="1"/>
        <v>1.4500000000000028</v>
      </c>
      <c r="AE65" s="162">
        <f t="shared" si="2"/>
        <v>-1.4181099616412896E-2</v>
      </c>
    </row>
    <row r="66" spans="2:31" x14ac:dyDescent="0.25">
      <c r="B66" s="193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2">
        <f t="shared" ref="H66:H67" si="43">(E66-D66)/D66</f>
        <v>-7.5587409740035388E-2</v>
      </c>
      <c r="I66" s="356"/>
      <c r="W66" s="133">
        <v>42515</v>
      </c>
      <c r="X66" s="10">
        <v>86.8</v>
      </c>
      <c r="Y66" s="10">
        <v>87</v>
      </c>
      <c r="Z66" s="10">
        <v>85.7</v>
      </c>
      <c r="AA66" s="10">
        <v>86.51</v>
      </c>
      <c r="AB66" s="95">
        <v>11621400</v>
      </c>
      <c r="AC66" s="10">
        <v>86.03</v>
      </c>
      <c r="AD66" s="40">
        <f t="shared" si="1"/>
        <v>1.2999999999999972</v>
      </c>
      <c r="AE66" s="162">
        <f t="shared" si="2"/>
        <v>3.3823186377421877E-3</v>
      </c>
    </row>
    <row r="67" spans="2:31" x14ac:dyDescent="0.25">
      <c r="B67" s="193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2">
        <f t="shared" si="43"/>
        <v>-7.6122527985454172E-2</v>
      </c>
      <c r="I67" s="356"/>
      <c r="W67" s="133">
        <v>42514</v>
      </c>
      <c r="X67" s="10">
        <v>83.78</v>
      </c>
      <c r="Y67" s="10">
        <v>86.44</v>
      </c>
      <c r="Z67" s="10">
        <v>83.71</v>
      </c>
      <c r="AA67" s="10">
        <v>86.22</v>
      </c>
      <c r="AB67" s="95">
        <v>13171300</v>
      </c>
      <c r="AC67" s="10">
        <v>85.74</v>
      </c>
      <c r="AD67" s="40">
        <f>Y67-Z67</f>
        <v>2.730000000000004</v>
      </c>
      <c r="AE67" s="162">
        <f>AC67/AC68-1</f>
        <v>3.4757422157856599E-2</v>
      </c>
    </row>
    <row r="68" spans="2:31" x14ac:dyDescent="0.25">
      <c r="B68" s="193">
        <v>42593</v>
      </c>
      <c r="C68" s="10">
        <v>150</v>
      </c>
      <c r="D68" s="40">
        <v>86.017899999999997</v>
      </c>
      <c r="E68" s="40">
        <v>78.900000000000006</v>
      </c>
      <c r="F68" s="40">
        <f t="shared" ref="F68" si="44">C68*(E68-D68)</f>
        <v>-1067.6849999999988</v>
      </c>
      <c r="G68" s="40">
        <f t="shared" ref="G68" si="45">D68*C68</f>
        <v>12902.684999999999</v>
      </c>
      <c r="H68" s="232">
        <f t="shared" ref="H68" si="46">(E68-D68)/D68</f>
        <v>-8.2749055719797765E-2</v>
      </c>
      <c r="I68" s="356"/>
      <c r="W68" s="133">
        <v>42513</v>
      </c>
      <c r="X68" s="10">
        <v>83.02</v>
      </c>
      <c r="Y68" s="10">
        <v>84.03</v>
      </c>
      <c r="Z68" s="10">
        <v>82.25</v>
      </c>
      <c r="AA68" s="10">
        <v>83.33</v>
      </c>
      <c r="AB68" s="95">
        <v>7782700</v>
      </c>
      <c r="AC68" s="10">
        <v>82.86</v>
      </c>
      <c r="AD68" s="40">
        <f>Y68-Z68</f>
        <v>1.7800000000000011</v>
      </c>
      <c r="AE68" s="162" t="e">
        <f>AC68/AC69-1</f>
        <v>#DIV/0!</v>
      </c>
    </row>
    <row r="69" spans="2:31" x14ac:dyDescent="0.25">
      <c r="B69" s="193">
        <v>42597</v>
      </c>
      <c r="C69" s="10">
        <v>150</v>
      </c>
      <c r="D69" s="40">
        <v>86.017899999999997</v>
      </c>
      <c r="E69" s="40">
        <v>79.650000000000006</v>
      </c>
      <c r="F69" s="40">
        <f t="shared" ref="F69" si="47">C69*(E69-D69)</f>
        <v>-955.18499999999881</v>
      </c>
      <c r="G69" s="40">
        <f t="shared" ref="G69" si="48">D69*C69</f>
        <v>12902.684999999999</v>
      </c>
      <c r="H69" s="232">
        <f t="shared" ref="H69" si="49">(E69-D69)/D69</f>
        <v>-7.4029940279871892E-2</v>
      </c>
      <c r="I69" s="356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42599</v>
      </c>
      <c r="C70" s="10">
        <v>150</v>
      </c>
      <c r="D70" s="40">
        <v>86.017899999999997</v>
      </c>
      <c r="E70" s="40">
        <v>80.7</v>
      </c>
      <c r="F70" s="40">
        <f t="shared" ref="F70" si="50">C70*(E70-D70)</f>
        <v>-797.68499999999915</v>
      </c>
      <c r="G70" s="40">
        <f t="shared" ref="G70" si="51">D70*C70</f>
        <v>12902.684999999999</v>
      </c>
      <c r="H70" s="232">
        <f t="shared" ref="H70" si="52">(E70-D70)/D70</f>
        <v>-6.1823178663975693E-2</v>
      </c>
      <c r="I70" s="356"/>
    </row>
    <row r="71" spans="2:31" x14ac:dyDescent="0.25">
      <c r="B71" s="193">
        <v>42600</v>
      </c>
      <c r="C71" s="10">
        <v>150</v>
      </c>
      <c r="D71" s="40">
        <v>86.017899999999997</v>
      </c>
      <c r="E71" s="40">
        <v>80.59</v>
      </c>
      <c r="F71" s="40">
        <f t="shared" ref="F71" si="53">C71*(E71-D71)</f>
        <v>-814.18499999999904</v>
      </c>
      <c r="G71" s="40">
        <f t="shared" ref="G71" si="54">D71*C71</f>
        <v>12902.684999999999</v>
      </c>
      <c r="H71" s="232">
        <f t="shared" ref="H71" si="55">(E71-D71)/D71</f>
        <v>-6.3101982261831474E-2</v>
      </c>
      <c r="I71" s="356"/>
    </row>
    <row r="72" spans="2:31" x14ac:dyDescent="0.25">
      <c r="B72" s="193">
        <v>42601</v>
      </c>
      <c r="C72" s="10">
        <v>150</v>
      </c>
      <c r="D72" s="40">
        <v>86.017899999999997</v>
      </c>
      <c r="E72" s="40">
        <v>81</v>
      </c>
      <c r="F72" s="40">
        <f t="shared" ref="F72" si="56">C72*(E72-D72)</f>
        <v>-752.6849999999996</v>
      </c>
      <c r="G72" s="40">
        <f t="shared" ref="G72" si="57">D72*C72</f>
        <v>12902.684999999999</v>
      </c>
      <c r="H72" s="232">
        <f t="shared" ref="H72" si="58">(E72-D72)/D72</f>
        <v>-5.8335532488005375E-2</v>
      </c>
      <c r="I72" s="356"/>
    </row>
    <row r="73" spans="2:31" x14ac:dyDescent="0.25">
      <c r="B73" s="193">
        <v>42605</v>
      </c>
      <c r="C73" s="10">
        <v>150</v>
      </c>
      <c r="D73" s="40">
        <v>86.017899999999997</v>
      </c>
      <c r="E73" s="40">
        <v>81.47</v>
      </c>
      <c r="F73" s="40">
        <f t="shared" ref="F73" si="59">C73*(E73-D73)</f>
        <v>-682.18499999999972</v>
      </c>
      <c r="G73" s="40">
        <f t="shared" ref="G73" si="60">D73*C73</f>
        <v>12902.684999999999</v>
      </c>
      <c r="H73" s="232">
        <f t="shared" ref="H73" si="61">(E73-D73)/D73</f>
        <v>-5.2871553478985173E-2</v>
      </c>
      <c r="I73" s="356"/>
    </row>
    <row r="74" spans="2:31" x14ac:dyDescent="0.25">
      <c r="B74" s="193">
        <v>42606</v>
      </c>
      <c r="C74" s="10">
        <v>150</v>
      </c>
      <c r="D74" s="40">
        <v>86.017899999999997</v>
      </c>
      <c r="E74" s="40">
        <v>80.5</v>
      </c>
      <c r="F74" s="40">
        <f t="shared" ref="F74" si="62">C74*(E74-D74)</f>
        <v>-827.6849999999996</v>
      </c>
      <c r="G74" s="40">
        <f t="shared" ref="G74" si="63">D74*C74</f>
        <v>12902.684999999999</v>
      </c>
      <c r="H74" s="232">
        <f t="shared" ref="H74" si="64">(E74-D74)/D74</f>
        <v>-6.4148276114622621E-2</v>
      </c>
      <c r="I74" s="356"/>
    </row>
    <row r="75" spans="2:31" x14ac:dyDescent="0.25">
      <c r="B75" s="10"/>
      <c r="C75" s="10"/>
      <c r="D75" s="40"/>
      <c r="E75" s="40"/>
      <c r="F75" s="40"/>
      <c r="G75" s="40"/>
      <c r="H75" s="232"/>
      <c r="I75" s="356"/>
    </row>
    <row r="76" spans="2:31" x14ac:dyDescent="0.25">
      <c r="B76" s="10"/>
      <c r="C76" s="10"/>
      <c r="D76" s="40"/>
      <c r="E76" s="40"/>
      <c r="F76" s="40"/>
      <c r="G76" s="40"/>
      <c r="H76" s="232"/>
      <c r="I76" s="356"/>
    </row>
    <row r="77" spans="2:31" x14ac:dyDescent="0.25">
      <c r="B77" s="10"/>
      <c r="C77" s="10"/>
      <c r="D77" s="40"/>
      <c r="E77" s="40"/>
      <c r="F77" s="40"/>
      <c r="G77" s="40"/>
      <c r="H77" s="232"/>
      <c r="I77" s="356"/>
    </row>
  </sheetData>
  <mergeCells count="1">
    <mergeCell ref="O42:P42"/>
  </mergeCells>
  <conditionalFormatting sqref="F37:F38 H37:I38 H39 H40:I50 H51 F42:F77 H52:I77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42606</v>
      </c>
      <c r="X2" s="10">
        <v>62.11</v>
      </c>
      <c r="Y2" s="10">
        <v>62.3</v>
      </c>
      <c r="Z2" s="10">
        <v>61.34</v>
      </c>
      <c r="AA2" s="10">
        <v>61.53</v>
      </c>
      <c r="AB2" s="95">
        <v>157100</v>
      </c>
      <c r="AC2" s="10">
        <v>61.53</v>
      </c>
      <c r="AD2" s="2">
        <f>Y2-Z2</f>
        <v>0.95999999999999375</v>
      </c>
      <c r="AE2" s="138">
        <f>AC2/AC3-1</f>
        <v>-9.1787439613526534E-3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61.53</v>
      </c>
      <c r="W3" s="133">
        <v>42605</v>
      </c>
      <c r="X3" s="10">
        <v>62.51</v>
      </c>
      <c r="Y3" s="10">
        <v>62.59</v>
      </c>
      <c r="Z3" s="10">
        <v>61.97</v>
      </c>
      <c r="AA3" s="10">
        <v>62.1</v>
      </c>
      <c r="AB3" s="95">
        <v>254700</v>
      </c>
      <c r="AC3" s="10">
        <v>62.1</v>
      </c>
      <c r="AD3" s="2">
        <f t="shared" ref="AD3:AD66" si="0">Y3-Z3</f>
        <v>0.62000000000000455</v>
      </c>
      <c r="AE3" s="138">
        <f t="shared" ref="AE3:AE66" si="1">AC3/AC4-1</f>
        <v>-1.6100466913537836E-4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61.53</v>
      </c>
      <c r="W4" s="133">
        <v>42604</v>
      </c>
      <c r="X4" s="10">
        <v>61.31</v>
      </c>
      <c r="Y4" s="10">
        <v>62.3</v>
      </c>
      <c r="Z4" s="10">
        <v>61.31</v>
      </c>
      <c r="AA4" s="10">
        <v>62.11</v>
      </c>
      <c r="AB4" s="95">
        <v>239100</v>
      </c>
      <c r="AC4" s="10">
        <v>62.11</v>
      </c>
      <c r="AD4" s="2">
        <f t="shared" si="0"/>
        <v>0.98999999999999488</v>
      </c>
      <c r="AE4" s="138">
        <f t="shared" si="1"/>
        <v>5.3415344771770012E-3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42601</v>
      </c>
      <c r="X5" s="10">
        <v>60.95</v>
      </c>
      <c r="Y5" s="10">
        <v>61.9</v>
      </c>
      <c r="Z5" s="10">
        <v>60.85</v>
      </c>
      <c r="AA5" s="10">
        <v>61.78</v>
      </c>
      <c r="AB5" s="95">
        <v>227100</v>
      </c>
      <c r="AC5" s="10">
        <v>61.78</v>
      </c>
      <c r="AD5" s="2">
        <f t="shared" si="0"/>
        <v>1.0499999999999972</v>
      </c>
      <c r="AE5" s="138">
        <f t="shared" si="1"/>
        <v>8.9825249060917489E-3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42600</v>
      </c>
      <c r="X6" s="10">
        <v>60.22</v>
      </c>
      <c r="Y6" s="10">
        <v>61.29</v>
      </c>
      <c r="Z6" s="10">
        <v>60.22</v>
      </c>
      <c r="AA6" s="10">
        <v>61.23</v>
      </c>
      <c r="AB6" s="95">
        <v>339800</v>
      </c>
      <c r="AC6" s="10">
        <v>61.23</v>
      </c>
      <c r="AD6" s="2">
        <f t="shared" si="0"/>
        <v>1.0700000000000003</v>
      </c>
      <c r="AE6" s="138">
        <f t="shared" si="1"/>
        <v>1.2735693020178518E-2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42599</v>
      </c>
      <c r="X7" s="10">
        <v>59.85</v>
      </c>
      <c r="Y7" s="10">
        <v>60.71</v>
      </c>
      <c r="Z7" s="10">
        <v>59.85</v>
      </c>
      <c r="AA7" s="10">
        <v>60.46</v>
      </c>
      <c r="AB7" s="95">
        <v>291200</v>
      </c>
      <c r="AC7" s="10">
        <v>60.46</v>
      </c>
      <c r="AD7" s="2">
        <f t="shared" si="0"/>
        <v>0.85999999999999943</v>
      </c>
      <c r="AE7" s="138">
        <f t="shared" si="1"/>
        <v>1.1036789297658833E-2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60.33</v>
      </c>
      <c r="Y8" s="10">
        <v>60.57</v>
      </c>
      <c r="Z8" s="10">
        <v>59.77</v>
      </c>
      <c r="AA8" s="10">
        <v>59.8</v>
      </c>
      <c r="AB8" s="95">
        <v>180500</v>
      </c>
      <c r="AC8" s="10">
        <v>59.8</v>
      </c>
      <c r="AD8" s="2">
        <f t="shared" si="0"/>
        <v>0.79999999999999716</v>
      </c>
      <c r="AE8" s="138">
        <f t="shared" si="1"/>
        <v>-9.605829744948724E-3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59.57</v>
      </c>
      <c r="Y9" s="10">
        <v>60.59</v>
      </c>
      <c r="Z9" s="10">
        <v>59.57</v>
      </c>
      <c r="AA9" s="10">
        <v>60.38</v>
      </c>
      <c r="AB9" s="95">
        <v>130600</v>
      </c>
      <c r="AC9" s="10">
        <v>60.38</v>
      </c>
      <c r="AD9" s="2">
        <f t="shared" si="0"/>
        <v>1.0200000000000031</v>
      </c>
      <c r="AE9" s="138">
        <f t="shared" si="1"/>
        <v>1.7354675652906604E-2</v>
      </c>
    </row>
    <row r="10" spans="1:31" x14ac:dyDescent="0.25">
      <c r="O10" s="11" t="s">
        <v>224</v>
      </c>
      <c r="P10" s="34"/>
      <c r="Q10" s="2">
        <f>M33</f>
        <v>33.940000000000055</v>
      </c>
      <c r="W10" s="133">
        <v>42594</v>
      </c>
      <c r="X10" s="10">
        <v>59.64</v>
      </c>
      <c r="Y10" s="10">
        <v>59.64</v>
      </c>
      <c r="Z10" s="10">
        <v>59.19</v>
      </c>
      <c r="AA10" s="10">
        <v>59.35</v>
      </c>
      <c r="AB10" s="95">
        <v>132900</v>
      </c>
      <c r="AC10" s="10">
        <v>59.35</v>
      </c>
      <c r="AD10" s="2">
        <f t="shared" si="0"/>
        <v>0.45000000000000284</v>
      </c>
      <c r="AE10" s="138">
        <f t="shared" si="1"/>
        <v>-5.1961112973515355E-3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42593</v>
      </c>
      <c r="X11" s="10">
        <v>59.25</v>
      </c>
      <c r="Y11" s="10">
        <v>59.86</v>
      </c>
      <c r="Z11" s="10">
        <v>59.25</v>
      </c>
      <c r="AA11" s="10">
        <v>59.66</v>
      </c>
      <c r="AB11" s="95">
        <v>172600</v>
      </c>
      <c r="AC11" s="10">
        <v>59.66</v>
      </c>
      <c r="AD11" s="2">
        <f t="shared" si="0"/>
        <v>0.60999999999999943</v>
      </c>
      <c r="AE11" s="138" t="e">
        <f t="shared" si="1"/>
        <v>#DIV/0!</v>
      </c>
    </row>
    <row r="12" spans="1:31" x14ac:dyDescent="0.25">
      <c r="W12" s="133">
        <v>42593</v>
      </c>
      <c r="X12" s="10" t="s">
        <v>189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42592</v>
      </c>
      <c r="X13" s="10">
        <v>59.58</v>
      </c>
      <c r="Y13" s="10">
        <v>59.78</v>
      </c>
      <c r="Z13" s="10">
        <v>59</v>
      </c>
      <c r="AA13" s="10">
        <v>59.29</v>
      </c>
      <c r="AB13" s="95">
        <v>226700</v>
      </c>
      <c r="AC13" s="10">
        <v>59.18</v>
      </c>
      <c r="AD13" s="2">
        <f t="shared" si="0"/>
        <v>0.78000000000000114</v>
      </c>
      <c r="AE13" s="138">
        <f t="shared" si="1"/>
        <v>-4.8764082730788916E-3</v>
      </c>
    </row>
    <row r="14" spans="1:31" x14ac:dyDescent="0.25">
      <c r="W14" s="133">
        <v>42591</v>
      </c>
      <c r="X14" s="10">
        <v>59.36</v>
      </c>
      <c r="Y14" s="10">
        <v>59.77</v>
      </c>
      <c r="Z14" s="10">
        <v>58.91</v>
      </c>
      <c r="AA14" s="10">
        <v>59.58</v>
      </c>
      <c r="AB14" s="95">
        <v>235100</v>
      </c>
      <c r="AC14" s="10">
        <v>59.47</v>
      </c>
      <c r="AD14" s="2">
        <f t="shared" si="0"/>
        <v>0.86000000000000654</v>
      </c>
      <c r="AE14" s="138">
        <f t="shared" si="1"/>
        <v>6.2605752961082395E-3</v>
      </c>
    </row>
    <row r="15" spans="1:31" x14ac:dyDescent="0.25">
      <c r="W15" s="133">
        <v>42590</v>
      </c>
      <c r="X15" s="10">
        <v>58.99</v>
      </c>
      <c r="Y15" s="10">
        <v>59.45</v>
      </c>
      <c r="Z15" s="10">
        <v>58.01</v>
      </c>
      <c r="AA15" s="10">
        <v>59.21</v>
      </c>
      <c r="AB15" s="95">
        <v>223400</v>
      </c>
      <c r="AC15" s="10">
        <v>59.1</v>
      </c>
      <c r="AD15" s="2">
        <f t="shared" si="0"/>
        <v>1.4400000000000048</v>
      </c>
      <c r="AE15" s="138">
        <f t="shared" si="1"/>
        <v>4.7602856171371499E-3</v>
      </c>
    </row>
    <row r="16" spans="1:31" x14ac:dyDescent="0.25">
      <c r="W16" s="133">
        <v>42587</v>
      </c>
      <c r="X16" s="10">
        <v>58.78</v>
      </c>
      <c r="Y16" s="10">
        <v>59.05</v>
      </c>
      <c r="Z16" s="10">
        <v>58.44</v>
      </c>
      <c r="AA16" s="10">
        <v>58.93</v>
      </c>
      <c r="AB16" s="95">
        <v>224700</v>
      </c>
      <c r="AC16" s="10">
        <v>58.82</v>
      </c>
      <c r="AD16" s="2">
        <f t="shared" si="0"/>
        <v>0.60999999999999943</v>
      </c>
      <c r="AE16" s="138">
        <f t="shared" si="1"/>
        <v>8.4004800274302127E-3</v>
      </c>
    </row>
    <row r="17" spans="1:31" x14ac:dyDescent="0.25">
      <c r="W17" s="133">
        <v>42586</v>
      </c>
      <c r="X17" s="10">
        <v>58.04</v>
      </c>
      <c r="Y17" s="10">
        <v>58.81</v>
      </c>
      <c r="Z17" s="10">
        <v>57.73</v>
      </c>
      <c r="AA17" s="10">
        <v>58.44</v>
      </c>
      <c r="AB17" s="95">
        <v>191200</v>
      </c>
      <c r="AC17" s="10">
        <v>58.33</v>
      </c>
      <c r="AD17" s="2">
        <f t="shared" si="0"/>
        <v>1.0800000000000054</v>
      </c>
      <c r="AE17" s="138">
        <f t="shared" si="1"/>
        <v>5.3429851775248505E-3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42585</v>
      </c>
      <c r="X18" s="10">
        <v>57.38</v>
      </c>
      <c r="Y18" s="10">
        <v>58.21</v>
      </c>
      <c r="Z18" s="10">
        <v>57.02</v>
      </c>
      <c r="AA18" s="10">
        <v>58.13</v>
      </c>
      <c r="AB18" s="95">
        <v>137600</v>
      </c>
      <c r="AC18" s="10">
        <v>58.02</v>
      </c>
      <c r="AD18" s="2">
        <f t="shared" si="0"/>
        <v>1.1899999999999977</v>
      </c>
      <c r="AE18" s="138">
        <f t="shared" si="1"/>
        <v>1.3626834381551323E-2</v>
      </c>
    </row>
    <row r="19" spans="1:31" x14ac:dyDescent="0.25">
      <c r="W19" s="133">
        <v>42584</v>
      </c>
      <c r="X19" s="10">
        <v>58.5</v>
      </c>
      <c r="Y19" s="10">
        <v>58.8</v>
      </c>
      <c r="Z19" s="10">
        <v>57.27</v>
      </c>
      <c r="AA19" s="10">
        <v>57.35</v>
      </c>
      <c r="AB19" s="95">
        <v>162900</v>
      </c>
      <c r="AC19" s="10">
        <v>57.24</v>
      </c>
      <c r="AD19" s="2">
        <f t="shared" si="0"/>
        <v>1.529999999999994</v>
      </c>
      <c r="AE19" s="138">
        <f t="shared" si="1"/>
        <v>-1.9359259893780956E-2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42583</v>
      </c>
      <c r="X20" s="10">
        <v>58.48</v>
      </c>
      <c r="Y20" s="10">
        <v>58.98</v>
      </c>
      <c r="Z20" s="10">
        <v>57.92</v>
      </c>
      <c r="AA20" s="10">
        <v>58.48</v>
      </c>
      <c r="AB20" s="95">
        <v>217900</v>
      </c>
      <c r="AC20" s="10">
        <v>58.37</v>
      </c>
      <c r="AD20" s="2">
        <f t="shared" si="0"/>
        <v>1.0599999999999952</v>
      </c>
      <c r="AE20" s="138">
        <f t="shared" si="1"/>
        <v>-1.0268697586856002E-3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42580</v>
      </c>
      <c r="X21" s="10">
        <v>58.37</v>
      </c>
      <c r="Y21" s="10">
        <v>58.98</v>
      </c>
      <c r="Z21" s="10">
        <v>57.94</v>
      </c>
      <c r="AA21" s="10">
        <v>58.54</v>
      </c>
      <c r="AB21" s="95">
        <v>235400</v>
      </c>
      <c r="AC21" s="10">
        <v>58.43</v>
      </c>
      <c r="AD21" s="2">
        <f t="shared" si="0"/>
        <v>1.0399999999999991</v>
      </c>
      <c r="AE21" s="138">
        <f t="shared" si="1"/>
        <v>3.0901287553648515E-3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42579</v>
      </c>
      <c r="X22" s="10">
        <v>58.53</v>
      </c>
      <c r="Y22" s="10">
        <v>58.87</v>
      </c>
      <c r="Z22" s="10">
        <v>58.18</v>
      </c>
      <c r="AA22" s="10">
        <v>58.36</v>
      </c>
      <c r="AB22" s="95">
        <v>160900</v>
      </c>
      <c r="AC22" s="10">
        <v>58.25</v>
      </c>
      <c r="AD22" s="2">
        <f t="shared" si="0"/>
        <v>0.68999999999999773</v>
      </c>
      <c r="AE22" s="138">
        <f t="shared" si="1"/>
        <v>-2.7392569765450903E-3</v>
      </c>
    </row>
    <row r="23" spans="1:31" x14ac:dyDescent="0.25">
      <c r="B23" s="10"/>
      <c r="C23" s="10"/>
      <c r="D23" s="40"/>
      <c r="E23" s="40"/>
      <c r="F23" s="40"/>
      <c r="W23" s="133">
        <v>42578</v>
      </c>
      <c r="X23" s="10">
        <v>58.46</v>
      </c>
      <c r="Y23" s="10">
        <v>58.84</v>
      </c>
      <c r="Z23" s="10">
        <v>58.21</v>
      </c>
      <c r="AA23" s="10">
        <v>58.52</v>
      </c>
      <c r="AB23" s="95">
        <v>314500</v>
      </c>
      <c r="AC23" s="10">
        <v>58.41</v>
      </c>
      <c r="AD23" s="2">
        <f t="shared" si="0"/>
        <v>0.63000000000000256</v>
      </c>
      <c r="AE23" s="138">
        <f t="shared" si="1"/>
        <v>3.4358357670503104E-3</v>
      </c>
    </row>
    <row r="24" spans="1:31" x14ac:dyDescent="0.25">
      <c r="B24" s="10"/>
      <c r="C24" s="10"/>
      <c r="D24" s="40"/>
      <c r="E24" s="40"/>
      <c r="F24" s="40"/>
      <c r="W24" s="133">
        <v>42577</v>
      </c>
      <c r="X24" s="10">
        <v>57.58</v>
      </c>
      <c r="Y24" s="10">
        <v>58.42</v>
      </c>
      <c r="Z24" s="10">
        <v>57.58</v>
      </c>
      <c r="AA24" s="10">
        <v>58.32</v>
      </c>
      <c r="AB24" s="95">
        <v>251000</v>
      </c>
      <c r="AC24" s="10">
        <v>58.21</v>
      </c>
      <c r="AD24" s="2">
        <f t="shared" si="0"/>
        <v>0.84000000000000341</v>
      </c>
      <c r="AE24" s="138">
        <f t="shared" si="1"/>
        <v>1.0941299062174448E-2</v>
      </c>
    </row>
    <row r="25" spans="1:31" x14ac:dyDescent="0.25">
      <c r="B25" s="10"/>
      <c r="C25" s="10"/>
      <c r="D25" s="40"/>
      <c r="E25" s="40"/>
      <c r="F25" s="40"/>
      <c r="W25" s="133">
        <v>42576</v>
      </c>
      <c r="X25" s="10">
        <v>57.9</v>
      </c>
      <c r="Y25" s="10">
        <v>58.07</v>
      </c>
      <c r="Z25" s="10">
        <v>57.59</v>
      </c>
      <c r="AA25" s="10">
        <v>57.69</v>
      </c>
      <c r="AB25" s="95">
        <v>243300</v>
      </c>
      <c r="AC25" s="10">
        <v>57.58</v>
      </c>
      <c r="AD25" s="2">
        <f t="shared" si="0"/>
        <v>0.47999999999999687</v>
      </c>
      <c r="AE25" s="138">
        <f t="shared" si="1"/>
        <v>-2.9437229437230261E-3</v>
      </c>
    </row>
    <row r="26" spans="1:31" x14ac:dyDescent="0.25">
      <c r="B26" s="10"/>
      <c r="C26" s="10"/>
      <c r="D26" s="40"/>
      <c r="E26" s="40"/>
      <c r="F26" s="40"/>
      <c r="W26" s="133">
        <v>42573</v>
      </c>
      <c r="X26" s="10">
        <v>57.57</v>
      </c>
      <c r="Y26" s="10">
        <v>58</v>
      </c>
      <c r="Z26" s="10">
        <v>57.14</v>
      </c>
      <c r="AA26" s="10">
        <v>57.86</v>
      </c>
      <c r="AB26" s="95">
        <v>331700</v>
      </c>
      <c r="AC26" s="10">
        <v>57.75</v>
      </c>
      <c r="AD26" s="2">
        <f t="shared" si="0"/>
        <v>0.85999999999999943</v>
      </c>
      <c r="AE26" s="138">
        <f t="shared" si="1"/>
        <v>3.6496350364962904E-3</v>
      </c>
    </row>
    <row r="27" spans="1:31" x14ac:dyDescent="0.25">
      <c r="B27" s="10"/>
      <c r="C27" s="10"/>
      <c r="D27" s="40"/>
      <c r="E27" s="40"/>
      <c r="F27" s="40"/>
      <c r="W27" s="133">
        <v>42572</v>
      </c>
      <c r="X27" s="10">
        <v>58.9</v>
      </c>
      <c r="Y27" s="10">
        <v>59.85</v>
      </c>
      <c r="Z27" s="10">
        <v>57.28</v>
      </c>
      <c r="AA27" s="10">
        <v>57.65</v>
      </c>
      <c r="AB27" s="95">
        <v>420500</v>
      </c>
      <c r="AC27" s="10">
        <v>57.54</v>
      </c>
      <c r="AD27" s="2">
        <f t="shared" si="0"/>
        <v>2.5700000000000003</v>
      </c>
      <c r="AE27" s="138">
        <f t="shared" si="1"/>
        <v>-2.9843196762771917E-2</v>
      </c>
    </row>
    <row r="28" spans="1:31" x14ac:dyDescent="0.25">
      <c r="B28" s="10"/>
      <c r="C28" s="10"/>
      <c r="D28" s="40"/>
      <c r="E28" s="40"/>
      <c r="F28" s="40"/>
      <c r="W28" s="133">
        <v>42571</v>
      </c>
      <c r="X28" s="10">
        <v>59.75</v>
      </c>
      <c r="Y28" s="10">
        <v>59.75</v>
      </c>
      <c r="Z28" s="10">
        <v>58.9</v>
      </c>
      <c r="AA28" s="10">
        <v>59.42</v>
      </c>
      <c r="AB28" s="95">
        <v>504400</v>
      </c>
      <c r="AC28" s="10">
        <v>59.31</v>
      </c>
      <c r="AD28" s="2">
        <f t="shared" si="0"/>
        <v>0.85000000000000142</v>
      </c>
      <c r="AE28" s="138">
        <f t="shared" si="1"/>
        <v>2.0273694880892368E-3</v>
      </c>
    </row>
    <row r="29" spans="1:31" x14ac:dyDescent="0.25">
      <c r="B29" s="10"/>
      <c r="C29" s="10"/>
      <c r="D29" s="40"/>
      <c r="E29" s="40"/>
      <c r="F29" s="40"/>
      <c r="W29" s="133">
        <v>42570</v>
      </c>
      <c r="X29" s="10">
        <v>59.44</v>
      </c>
      <c r="Y29" s="10">
        <v>59.96</v>
      </c>
      <c r="Z29" s="10">
        <v>59.15</v>
      </c>
      <c r="AA29" s="10">
        <v>59.3</v>
      </c>
      <c r="AB29" s="95">
        <v>264900</v>
      </c>
      <c r="AC29" s="10">
        <v>59.19</v>
      </c>
      <c r="AD29" s="2">
        <f t="shared" si="0"/>
        <v>0.81000000000000227</v>
      </c>
      <c r="AE29" s="138">
        <f t="shared" si="1"/>
        <v>-1.1812352345595967E-3</v>
      </c>
    </row>
    <row r="30" spans="1:31" x14ac:dyDescent="0.25">
      <c r="B30" s="10"/>
      <c r="C30" s="10"/>
      <c r="D30" s="40"/>
      <c r="E30" s="40"/>
      <c r="F30" s="40"/>
      <c r="W30" s="133">
        <v>42569</v>
      </c>
      <c r="X30" s="10">
        <v>59.77</v>
      </c>
      <c r="Y30" s="10">
        <v>60.25</v>
      </c>
      <c r="Z30" s="10">
        <v>59.36</v>
      </c>
      <c r="AA30" s="10">
        <v>59.37</v>
      </c>
      <c r="AB30" s="95">
        <v>303300</v>
      </c>
      <c r="AC30" s="10">
        <v>59.26</v>
      </c>
      <c r="AD30" s="2">
        <f t="shared" si="0"/>
        <v>0.89000000000000057</v>
      </c>
      <c r="AE30" s="138">
        <f t="shared" si="1"/>
        <v>-7.3701842546064489E-3</v>
      </c>
    </row>
    <row r="31" spans="1:31" x14ac:dyDescent="0.25">
      <c r="W31" s="133">
        <v>42566</v>
      </c>
      <c r="X31" s="10">
        <v>60.33</v>
      </c>
      <c r="Y31" s="10">
        <v>60.5</v>
      </c>
      <c r="Z31" s="10">
        <v>59.7</v>
      </c>
      <c r="AA31" s="10">
        <v>59.81</v>
      </c>
      <c r="AB31" s="95">
        <v>391100</v>
      </c>
      <c r="AC31" s="10">
        <v>59.7</v>
      </c>
      <c r="AD31" s="2">
        <f t="shared" si="0"/>
        <v>0.79999999999999716</v>
      </c>
      <c r="AE31" s="138">
        <f t="shared" si="1"/>
        <v>2.1823065301327382E-3</v>
      </c>
    </row>
    <row r="32" spans="1:31" x14ac:dyDescent="0.25">
      <c r="W32" s="133">
        <v>42565</v>
      </c>
      <c r="X32" s="10">
        <v>60.26</v>
      </c>
      <c r="Y32" s="10">
        <v>60.71</v>
      </c>
      <c r="Z32" s="10">
        <v>59.58</v>
      </c>
      <c r="AA32" s="10">
        <v>59.68</v>
      </c>
      <c r="AB32" s="95">
        <v>198500</v>
      </c>
      <c r="AC32" s="10">
        <v>59.57</v>
      </c>
      <c r="AD32" s="2">
        <f t="shared" si="0"/>
        <v>1.1300000000000026</v>
      </c>
      <c r="AE32" s="138">
        <f t="shared" si="1"/>
        <v>-3.1793842034805175E-3</v>
      </c>
    </row>
    <row r="33" spans="1:31" x14ac:dyDescent="0.25">
      <c r="L33" t="s">
        <v>224</v>
      </c>
      <c r="M33" s="2">
        <f>M51+K51-F51</f>
        <v>33.940000000000055</v>
      </c>
      <c r="W33" s="133">
        <v>42564</v>
      </c>
      <c r="X33" s="10">
        <v>60.26</v>
      </c>
      <c r="Y33" s="10">
        <v>60.43</v>
      </c>
      <c r="Z33" s="10">
        <v>59.68</v>
      </c>
      <c r="AA33" s="10">
        <v>59.87</v>
      </c>
      <c r="AB33" s="95">
        <v>171400</v>
      </c>
      <c r="AC33" s="10">
        <v>59.76</v>
      </c>
      <c r="AD33" s="2">
        <f t="shared" si="0"/>
        <v>0.75</v>
      </c>
      <c r="AE33" s="138">
        <f t="shared" si="1"/>
        <v>0</v>
      </c>
    </row>
    <row r="34" spans="1:31" x14ac:dyDescent="0.25">
      <c r="A34" s="391" t="s">
        <v>1</v>
      </c>
      <c r="B34" s="391" t="s">
        <v>2</v>
      </c>
      <c r="C34" s="391" t="s">
        <v>4</v>
      </c>
      <c r="D34" s="393" t="s">
        <v>5</v>
      </c>
      <c r="E34" s="393" t="s">
        <v>94</v>
      </c>
      <c r="F34" s="393" t="s">
        <v>60</v>
      </c>
      <c r="G34" s="391" t="s">
        <v>3</v>
      </c>
      <c r="H34" s="391" t="s">
        <v>6</v>
      </c>
      <c r="I34" s="391" t="s">
        <v>7</v>
      </c>
      <c r="J34" s="391" t="s">
        <v>95</v>
      </c>
      <c r="K34" s="391" t="s">
        <v>61</v>
      </c>
      <c r="L34" s="391" t="s">
        <v>77</v>
      </c>
      <c r="M34" s="391" t="s">
        <v>38</v>
      </c>
      <c r="W34" s="133">
        <v>42563</v>
      </c>
      <c r="X34" s="10">
        <v>59.75</v>
      </c>
      <c r="Y34" s="10">
        <v>60.34</v>
      </c>
      <c r="Z34" s="10">
        <v>58.01</v>
      </c>
      <c r="AA34" s="10">
        <v>59.87</v>
      </c>
      <c r="AB34" s="95">
        <v>388600</v>
      </c>
      <c r="AC34" s="10">
        <v>59.76</v>
      </c>
      <c r="AD34" s="2">
        <f t="shared" si="0"/>
        <v>2.3300000000000054</v>
      </c>
      <c r="AE34" s="138">
        <f t="shared" si="1"/>
        <v>9.1185410334346795E-3</v>
      </c>
    </row>
    <row r="35" spans="1:31" x14ac:dyDescent="0.25">
      <c r="A35" s="394" t="s">
        <v>53</v>
      </c>
      <c r="B35" s="384">
        <v>42214</v>
      </c>
      <c r="C35" s="385">
        <v>15</v>
      </c>
      <c r="D35" s="386">
        <v>47.8</v>
      </c>
      <c r="E35" s="386">
        <v>0</v>
      </c>
      <c r="F35" s="386">
        <f>C35*D35</f>
        <v>717</v>
      </c>
      <c r="G35" s="384">
        <v>42313</v>
      </c>
      <c r="H35" s="386">
        <v>70</v>
      </c>
      <c r="I35" s="386">
        <v>46.15</v>
      </c>
      <c r="J35" s="386">
        <v>0.06</v>
      </c>
      <c r="K35" s="385">
        <f>I35*H35-J35</f>
        <v>3230.44</v>
      </c>
      <c r="L35" s="384">
        <v>42247</v>
      </c>
      <c r="M35" s="386">
        <v>3.5</v>
      </c>
      <c r="W35" s="133">
        <v>42562</v>
      </c>
      <c r="X35" s="10">
        <v>59.02</v>
      </c>
      <c r="Y35" s="10">
        <v>59.75</v>
      </c>
      <c r="Z35" s="10">
        <v>58.53</v>
      </c>
      <c r="AA35" s="10">
        <v>59.33</v>
      </c>
      <c r="AB35" s="95">
        <v>194700</v>
      </c>
      <c r="AC35" s="10">
        <v>59.22</v>
      </c>
      <c r="AD35" s="2">
        <f t="shared" si="0"/>
        <v>1.2199999999999989</v>
      </c>
      <c r="AE35" s="138">
        <f t="shared" si="1"/>
        <v>9.7186700767264433E-3</v>
      </c>
    </row>
    <row r="36" spans="1:31" x14ac:dyDescent="0.25">
      <c r="A36" s="395" t="s">
        <v>71</v>
      </c>
      <c r="B36" s="384">
        <v>42233</v>
      </c>
      <c r="C36" s="385">
        <v>20</v>
      </c>
      <c r="D36" s="386">
        <v>47.5</v>
      </c>
      <c r="E36" s="386">
        <v>0</v>
      </c>
      <c r="F36" s="386">
        <f>C36*D36</f>
        <v>950</v>
      </c>
      <c r="G36" s="385"/>
      <c r="H36" s="385"/>
      <c r="I36" s="385"/>
      <c r="J36" s="385"/>
      <c r="K36" s="385"/>
      <c r="L36" s="384">
        <v>42338</v>
      </c>
      <c r="M36" s="385"/>
      <c r="W36" s="133">
        <v>42559</v>
      </c>
      <c r="X36" s="10">
        <v>57.68</v>
      </c>
      <c r="Y36" s="10">
        <v>58.85</v>
      </c>
      <c r="Z36" s="10">
        <v>57.42</v>
      </c>
      <c r="AA36" s="10">
        <v>58.76</v>
      </c>
      <c r="AB36" s="95">
        <v>214500</v>
      </c>
      <c r="AC36" s="10">
        <v>58.65</v>
      </c>
      <c r="AD36" s="2">
        <f t="shared" si="0"/>
        <v>1.4299999999999997</v>
      </c>
      <c r="AE36" s="138">
        <f t="shared" si="1"/>
        <v>2.7685298755913745E-2</v>
      </c>
    </row>
    <row r="37" spans="1:31" x14ac:dyDescent="0.25">
      <c r="A37" s="385"/>
      <c r="B37" s="384">
        <v>42269</v>
      </c>
      <c r="C37" s="385">
        <v>35</v>
      </c>
      <c r="D37" s="386">
        <v>43.8</v>
      </c>
      <c r="E37" s="386">
        <v>0</v>
      </c>
      <c r="F37" s="386">
        <f>C37*D37</f>
        <v>1533</v>
      </c>
      <c r="G37" s="385"/>
      <c r="H37" s="385"/>
      <c r="I37" s="385"/>
      <c r="J37" s="385"/>
      <c r="K37" s="385"/>
      <c r="L37" s="385"/>
      <c r="M37" s="385"/>
      <c r="W37" s="133">
        <v>42558</v>
      </c>
      <c r="X37" s="10">
        <v>57.05</v>
      </c>
      <c r="Y37" s="10">
        <v>57.77</v>
      </c>
      <c r="Z37" s="10">
        <v>56.55</v>
      </c>
      <c r="AA37" s="10">
        <v>57.18</v>
      </c>
      <c r="AB37" s="95">
        <v>144800</v>
      </c>
      <c r="AC37" s="10">
        <v>57.07</v>
      </c>
      <c r="AD37" s="2">
        <f t="shared" si="0"/>
        <v>1.220000000000006</v>
      </c>
      <c r="AE37" s="138">
        <f t="shared" si="1"/>
        <v>6.7031222437821114E-3</v>
      </c>
    </row>
    <row r="38" spans="1:31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W38" s="133">
        <v>42557</v>
      </c>
      <c r="X38" s="10">
        <v>56.09</v>
      </c>
      <c r="Y38" s="10">
        <v>57.36</v>
      </c>
      <c r="Z38" s="10">
        <v>56</v>
      </c>
      <c r="AA38" s="10">
        <v>56.8</v>
      </c>
      <c r="AB38" s="95">
        <v>193800</v>
      </c>
      <c r="AC38" s="10">
        <v>56.69</v>
      </c>
      <c r="AD38" s="2">
        <f t="shared" si="0"/>
        <v>1.3599999999999994</v>
      </c>
      <c r="AE38" s="138">
        <f t="shared" si="1"/>
        <v>4.6074782916887269E-3</v>
      </c>
    </row>
    <row r="39" spans="1:31" x14ac:dyDescent="0.25">
      <c r="A39" s="385"/>
      <c r="B39" s="385"/>
      <c r="C39" s="385"/>
      <c r="D39" s="386"/>
      <c r="E39" s="386"/>
      <c r="F39" s="386"/>
      <c r="G39" s="385"/>
      <c r="H39" s="385"/>
      <c r="I39" s="385"/>
      <c r="J39" s="385"/>
      <c r="K39" s="385"/>
      <c r="L39" s="385"/>
      <c r="M39" s="385"/>
      <c r="W39" s="133">
        <v>42556</v>
      </c>
      <c r="X39" s="10">
        <v>57.33</v>
      </c>
      <c r="Y39" s="10">
        <v>57.76</v>
      </c>
      <c r="Z39" s="10">
        <v>56.13</v>
      </c>
      <c r="AA39" s="10">
        <v>56.53</v>
      </c>
      <c r="AB39" s="95">
        <v>201600</v>
      </c>
      <c r="AC39" s="10">
        <v>56.43</v>
      </c>
      <c r="AD39" s="2">
        <f t="shared" si="0"/>
        <v>1.6299999999999955</v>
      </c>
      <c r="AE39" s="138">
        <f t="shared" si="1"/>
        <v>-2.3702422145328694E-2</v>
      </c>
    </row>
    <row r="40" spans="1:31" x14ac:dyDescent="0.25">
      <c r="A40" s="385"/>
      <c r="B40" s="385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42552</v>
      </c>
      <c r="X40" s="10">
        <v>57.87</v>
      </c>
      <c r="Y40" s="10">
        <v>58.57</v>
      </c>
      <c r="Z40" s="10">
        <v>57.46</v>
      </c>
      <c r="AA40" s="10">
        <v>57.91</v>
      </c>
      <c r="AB40" s="95">
        <v>270000</v>
      </c>
      <c r="AC40" s="10">
        <v>57.8</v>
      </c>
      <c r="AD40" s="2">
        <f t="shared" si="0"/>
        <v>1.1099999999999994</v>
      </c>
      <c r="AE40" s="138">
        <f t="shared" si="1"/>
        <v>4.6932035459759103E-3</v>
      </c>
    </row>
    <row r="41" spans="1:31" x14ac:dyDescent="0.25">
      <c r="A41" s="385"/>
      <c r="B41" s="385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O41" s="34"/>
      <c r="W41" s="133">
        <v>42551</v>
      </c>
      <c r="X41" s="10">
        <v>56.31</v>
      </c>
      <c r="Y41" s="10">
        <v>57.67</v>
      </c>
      <c r="Z41" s="10">
        <v>55.67</v>
      </c>
      <c r="AA41" s="10">
        <v>57.64</v>
      </c>
      <c r="AB41" s="95">
        <v>274900</v>
      </c>
      <c r="AC41" s="10">
        <v>57.53</v>
      </c>
      <c r="AD41" s="2">
        <f t="shared" si="0"/>
        <v>2</v>
      </c>
      <c r="AE41" s="138">
        <f t="shared" si="1"/>
        <v>2.8055754110078546E-2</v>
      </c>
    </row>
    <row r="42" spans="1:31" ht="20.25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535" t="s">
        <v>78</v>
      </c>
      <c r="P42" s="535"/>
      <c r="Q42" s="34"/>
      <c r="T42" s="91" t="s">
        <v>113</v>
      </c>
      <c r="W42" s="133">
        <v>42550</v>
      </c>
      <c r="X42" s="10">
        <v>55.36</v>
      </c>
      <c r="Y42" s="10">
        <v>56.14</v>
      </c>
      <c r="Z42" s="10">
        <v>55.12</v>
      </c>
      <c r="AA42" s="10">
        <v>56.06</v>
      </c>
      <c r="AB42" s="95">
        <v>342500</v>
      </c>
      <c r="AC42" s="10">
        <v>55.96</v>
      </c>
      <c r="AD42" s="2">
        <f t="shared" si="0"/>
        <v>1.0200000000000031</v>
      </c>
      <c r="AE42" s="138">
        <f t="shared" si="1"/>
        <v>2.8487410402499691E-2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>O43*$Q$4</f>
        <v>67.683000000000007</v>
      </c>
      <c r="Q43" s="34"/>
      <c r="T43" s="128" t="s">
        <v>98</v>
      </c>
      <c r="U43" s="98">
        <v>62.1</v>
      </c>
      <c r="W43" s="133">
        <v>42549</v>
      </c>
      <c r="X43" s="10">
        <v>54.19</v>
      </c>
      <c r="Y43" s="10">
        <v>54.6</v>
      </c>
      <c r="Z43" s="10">
        <v>53.71</v>
      </c>
      <c r="AA43" s="10">
        <v>54.51</v>
      </c>
      <c r="AB43" s="95">
        <v>247600</v>
      </c>
      <c r="AC43" s="10">
        <v>54.41</v>
      </c>
      <c r="AD43" s="2">
        <f t="shared" si="0"/>
        <v>0.89000000000000057</v>
      </c>
      <c r="AE43" s="138">
        <f t="shared" si="1"/>
        <v>1.8532384874578645E-2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ref="P44:P63" si="2">O44*$Q$4</f>
        <v>67.067700000000002</v>
      </c>
      <c r="Q44" s="34"/>
      <c r="T44" s="93" t="s">
        <v>99</v>
      </c>
      <c r="U44" s="88">
        <v>62.11</v>
      </c>
      <c r="W44" s="133">
        <v>42548</v>
      </c>
      <c r="X44" s="10">
        <v>54.91</v>
      </c>
      <c r="Y44" s="10">
        <v>54.95</v>
      </c>
      <c r="Z44" s="10">
        <v>53.18</v>
      </c>
      <c r="AA44" s="10">
        <v>53.52</v>
      </c>
      <c r="AB44" s="95">
        <v>400800</v>
      </c>
      <c r="AC44" s="10">
        <v>53.42</v>
      </c>
      <c r="AD44" s="2">
        <f t="shared" si="0"/>
        <v>1.7700000000000031</v>
      </c>
      <c r="AE44" s="138">
        <f t="shared" si="1"/>
        <v>-3.8689940615439955E-2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2"/>
        <v>66.452400000000011</v>
      </c>
      <c r="Q45" s="34"/>
      <c r="T45" s="93" t="s">
        <v>100</v>
      </c>
      <c r="U45" s="88" t="s">
        <v>499</v>
      </c>
      <c r="W45" s="133">
        <v>42545</v>
      </c>
      <c r="X45" s="10">
        <v>56.39</v>
      </c>
      <c r="Y45" s="10">
        <v>57.25</v>
      </c>
      <c r="Z45" s="10">
        <v>55.28</v>
      </c>
      <c r="AA45" s="10">
        <v>55.67</v>
      </c>
      <c r="AB45" s="95">
        <v>1579700</v>
      </c>
      <c r="AC45" s="10">
        <v>55.57</v>
      </c>
      <c r="AD45" s="2">
        <f t="shared" si="0"/>
        <v>1.9699999999999989</v>
      </c>
      <c r="AE45" s="138">
        <f t="shared" si="1"/>
        <v>-5.9570147233034443E-2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2"/>
        <v>65.837100000000007</v>
      </c>
      <c r="Q46" s="83"/>
      <c r="T46" s="93" t="s">
        <v>101</v>
      </c>
      <c r="U46" s="88" t="s">
        <v>500</v>
      </c>
      <c r="W46" s="133">
        <v>42544</v>
      </c>
      <c r="X46" s="10">
        <v>58.88</v>
      </c>
      <c r="Y46" s="10">
        <v>59.25</v>
      </c>
      <c r="Z46" s="10">
        <v>58.09</v>
      </c>
      <c r="AA46" s="10">
        <v>59.2</v>
      </c>
      <c r="AB46" s="95">
        <v>275500</v>
      </c>
      <c r="AC46" s="10">
        <v>59.09</v>
      </c>
      <c r="AD46" s="2">
        <f t="shared" si="0"/>
        <v>1.1599999999999966</v>
      </c>
      <c r="AE46" s="138">
        <f t="shared" si="1"/>
        <v>1.7214666896195663E-2</v>
      </c>
    </row>
    <row r="47" spans="1:31" x14ac:dyDescent="0.25">
      <c r="A47" s="385"/>
      <c r="B47" s="385"/>
      <c r="C47" s="385"/>
      <c r="D47" s="386"/>
      <c r="E47" s="386"/>
      <c r="F47" s="386"/>
      <c r="G47" s="385"/>
      <c r="H47" s="385"/>
      <c r="I47" s="385"/>
      <c r="J47" s="385"/>
      <c r="K47" s="385"/>
      <c r="L47" s="385"/>
      <c r="M47" s="385"/>
      <c r="O47" s="83">
        <v>1.06</v>
      </c>
      <c r="P47" s="83">
        <f t="shared" si="2"/>
        <v>65.221800000000002</v>
      </c>
      <c r="Q47" s="83"/>
      <c r="T47" s="93" t="s">
        <v>102</v>
      </c>
      <c r="U47" s="88">
        <v>61.8</v>
      </c>
      <c r="W47" s="133">
        <v>42543</v>
      </c>
      <c r="X47" s="10">
        <v>58.67</v>
      </c>
      <c r="Y47" s="10">
        <v>58.88</v>
      </c>
      <c r="Z47" s="10">
        <v>58.18</v>
      </c>
      <c r="AA47" s="10">
        <v>58.2</v>
      </c>
      <c r="AB47" s="95">
        <v>242000</v>
      </c>
      <c r="AC47" s="10">
        <v>58.09</v>
      </c>
      <c r="AD47" s="2">
        <f t="shared" si="0"/>
        <v>0.70000000000000284</v>
      </c>
      <c r="AE47" s="138">
        <f t="shared" si="1"/>
        <v>-4.2852245457661864E-3</v>
      </c>
    </row>
    <row r="48" spans="1:31" x14ac:dyDescent="0.25">
      <c r="A48" s="385"/>
      <c r="B48" s="385"/>
      <c r="C48" s="385"/>
      <c r="D48" s="386"/>
      <c r="E48" s="386"/>
      <c r="F48" s="386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2"/>
        <v>64.606499999999997</v>
      </c>
      <c r="Q48" s="83"/>
      <c r="T48" s="93" t="s">
        <v>103</v>
      </c>
      <c r="U48" s="88">
        <v>1.30721</v>
      </c>
      <c r="W48" s="133">
        <v>42542</v>
      </c>
      <c r="X48" s="10">
        <v>58.72</v>
      </c>
      <c r="Y48" s="10">
        <v>58.79</v>
      </c>
      <c r="Z48" s="10">
        <v>58.25</v>
      </c>
      <c r="AA48" s="10">
        <v>58.45</v>
      </c>
      <c r="AB48" s="95">
        <v>237800</v>
      </c>
      <c r="AC48" s="10">
        <v>58.34</v>
      </c>
      <c r="AD48" s="2">
        <f t="shared" si="0"/>
        <v>0.53999999999999915</v>
      </c>
      <c r="AE48" s="138">
        <f t="shared" si="1"/>
        <v>-6.8516615279201609E-4</v>
      </c>
    </row>
    <row r="49" spans="1:31" x14ac:dyDescent="0.25">
      <c r="A49" s="385"/>
      <c r="B49" s="385"/>
      <c r="C49" s="385"/>
      <c r="D49" s="386"/>
      <c r="E49" s="386"/>
      <c r="F49" s="386"/>
      <c r="G49" s="385"/>
      <c r="H49" s="385"/>
      <c r="I49" s="385"/>
      <c r="J49" s="385"/>
      <c r="K49" s="385"/>
      <c r="L49" s="385"/>
      <c r="M49" s="385"/>
      <c r="O49" s="83">
        <v>1.04</v>
      </c>
      <c r="P49" s="83">
        <f t="shared" si="2"/>
        <v>63.991200000000006</v>
      </c>
      <c r="Q49" s="83"/>
      <c r="T49" s="93" t="s">
        <v>123</v>
      </c>
      <c r="U49" s="88" t="s">
        <v>357</v>
      </c>
      <c r="W49" s="133">
        <v>42541</v>
      </c>
      <c r="X49" s="10">
        <v>58.66</v>
      </c>
      <c r="Y49" s="10">
        <v>58.94</v>
      </c>
      <c r="Z49" s="10">
        <v>57.97</v>
      </c>
      <c r="AA49" s="10">
        <v>58.49</v>
      </c>
      <c r="AB49" s="95">
        <v>192600</v>
      </c>
      <c r="AC49" s="10">
        <v>58.38</v>
      </c>
      <c r="AD49" s="2">
        <f t="shared" si="0"/>
        <v>0.96999999999999886</v>
      </c>
      <c r="AE49" s="138">
        <f t="shared" si="1"/>
        <v>1.0734072022160701E-2</v>
      </c>
    </row>
    <row r="50" spans="1:31" x14ac:dyDescent="0.25">
      <c r="A50" s="385"/>
      <c r="B50" s="385"/>
      <c r="C50" s="385"/>
      <c r="D50" s="386"/>
      <c r="E50" s="386"/>
      <c r="F50" s="386"/>
      <c r="G50" s="385"/>
      <c r="H50" s="385"/>
      <c r="I50" s="385"/>
      <c r="J50" s="385"/>
      <c r="K50" s="385"/>
      <c r="L50" s="385"/>
      <c r="M50" s="385"/>
      <c r="O50" s="83">
        <v>1.03</v>
      </c>
      <c r="P50" s="83">
        <f t="shared" si="2"/>
        <v>63.375900000000001</v>
      </c>
      <c r="Q50" s="83"/>
      <c r="T50" s="93"/>
      <c r="U50" s="88"/>
      <c r="W50" s="133">
        <v>42538</v>
      </c>
      <c r="X50" s="10">
        <v>57.96</v>
      </c>
      <c r="Y50" s="10">
        <v>58.3</v>
      </c>
      <c r="Z50" s="10">
        <v>57.5</v>
      </c>
      <c r="AA50" s="10">
        <v>57.87</v>
      </c>
      <c r="AB50" s="95">
        <v>562900</v>
      </c>
      <c r="AC50" s="10">
        <v>57.76</v>
      </c>
      <c r="AD50" s="2">
        <f t="shared" si="0"/>
        <v>0.79999999999999716</v>
      </c>
      <c r="AE50" s="138">
        <f t="shared" si="1"/>
        <v>1.2133818686079767E-3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62.760600000000004</v>
      </c>
      <c r="Q51" s="83"/>
      <c r="T51" s="93" t="s">
        <v>105</v>
      </c>
      <c r="U51" s="88" t="s">
        <v>501</v>
      </c>
      <c r="W51" s="133">
        <v>42537</v>
      </c>
      <c r="X51" s="10">
        <v>56.94</v>
      </c>
      <c r="Y51" s="10">
        <v>58</v>
      </c>
      <c r="Z51" s="10">
        <v>56.61</v>
      </c>
      <c r="AA51" s="10">
        <v>57.8</v>
      </c>
      <c r="AB51" s="95">
        <v>249000</v>
      </c>
      <c r="AC51" s="10">
        <v>57.69</v>
      </c>
      <c r="AD51" s="2">
        <f t="shared" si="0"/>
        <v>1.3900000000000006</v>
      </c>
      <c r="AE51" s="138">
        <f t="shared" si="1"/>
        <v>8.5664335664334956E-3</v>
      </c>
    </row>
    <row r="52" spans="1:31" x14ac:dyDescent="0.25">
      <c r="A52" s="385"/>
      <c r="B52" s="385"/>
      <c r="C52" s="385"/>
      <c r="D52" s="386"/>
      <c r="E52" s="386"/>
      <c r="F52" s="386"/>
      <c r="G52" s="385"/>
      <c r="H52" s="385"/>
      <c r="I52" s="385"/>
      <c r="J52" s="385"/>
      <c r="K52" s="385"/>
      <c r="L52" s="385"/>
      <c r="M52" s="385"/>
      <c r="O52" s="83">
        <v>1.01</v>
      </c>
      <c r="P52" s="83">
        <f t="shared" si="2"/>
        <v>62.145299999999999</v>
      </c>
      <c r="Q52" s="83"/>
      <c r="T52" s="93" t="s">
        <v>106</v>
      </c>
      <c r="U52" s="88" t="s">
        <v>416</v>
      </c>
      <c r="W52" s="133">
        <v>42536</v>
      </c>
      <c r="X52" s="10">
        <v>56.92</v>
      </c>
      <c r="Y52" s="10">
        <v>57.81</v>
      </c>
      <c r="Z52" s="10">
        <v>56.66</v>
      </c>
      <c r="AA52" s="10">
        <v>57.31</v>
      </c>
      <c r="AB52" s="95">
        <v>298500</v>
      </c>
      <c r="AC52" s="10">
        <v>57.2</v>
      </c>
      <c r="AD52" s="2">
        <f t="shared" si="0"/>
        <v>1.1500000000000057</v>
      </c>
      <c r="AE52" s="138">
        <f t="shared" si="1"/>
        <v>8.2848580997709753E-3</v>
      </c>
    </row>
    <row r="53" spans="1:31" x14ac:dyDescent="0.25">
      <c r="O53" s="83">
        <v>1</v>
      </c>
      <c r="P53" s="83">
        <f t="shared" si="2"/>
        <v>61.53</v>
      </c>
      <c r="Q53" s="83"/>
      <c r="T53" s="93" t="s">
        <v>107</v>
      </c>
      <c r="U53" s="90">
        <v>161086</v>
      </c>
      <c r="W53" s="133">
        <v>42535</v>
      </c>
      <c r="X53" s="10">
        <v>56.51</v>
      </c>
      <c r="Y53" s="10">
        <v>57.14</v>
      </c>
      <c r="Z53" s="10">
        <v>56.38</v>
      </c>
      <c r="AA53" s="10">
        <v>56.84</v>
      </c>
      <c r="AB53" s="95">
        <v>176200</v>
      </c>
      <c r="AC53" s="10">
        <v>56.73</v>
      </c>
      <c r="AD53" s="2">
        <f t="shared" si="0"/>
        <v>0.75999999999999801</v>
      </c>
      <c r="AE53" s="138">
        <f t="shared" si="1"/>
        <v>1.2354394634663812E-3</v>
      </c>
    </row>
    <row r="54" spans="1:31" x14ac:dyDescent="0.25">
      <c r="O54" s="83">
        <v>0.99</v>
      </c>
      <c r="P54" s="83">
        <f t="shared" si="2"/>
        <v>60.914700000000003</v>
      </c>
      <c r="Q54" s="83"/>
      <c r="T54" s="93" t="s">
        <v>110</v>
      </c>
      <c r="U54" s="90">
        <v>274603</v>
      </c>
      <c r="W54" s="133">
        <v>42534</v>
      </c>
      <c r="X54" s="10">
        <v>57.85</v>
      </c>
      <c r="Y54" s="10">
        <v>58.99</v>
      </c>
      <c r="Z54" s="10">
        <v>56.7</v>
      </c>
      <c r="AA54" s="10">
        <v>56.77</v>
      </c>
      <c r="AB54" s="95">
        <v>248600</v>
      </c>
      <c r="AC54" s="10">
        <v>56.66</v>
      </c>
      <c r="AD54" s="2">
        <f t="shared" si="0"/>
        <v>2.2899999999999991</v>
      </c>
      <c r="AE54" s="138">
        <f t="shared" si="1"/>
        <v>-2.0570440795160017E-2</v>
      </c>
    </row>
    <row r="55" spans="1:31" x14ac:dyDescent="0.25">
      <c r="O55" s="83">
        <v>0.98</v>
      </c>
      <c r="P55" s="83">
        <f t="shared" si="2"/>
        <v>60.299399999999999</v>
      </c>
      <c r="Q55" s="83"/>
      <c r="T55" s="93" t="s">
        <v>108</v>
      </c>
      <c r="U55" s="88" t="s">
        <v>502</v>
      </c>
      <c r="W55" s="133">
        <v>42531</v>
      </c>
      <c r="X55" s="10">
        <v>58.26</v>
      </c>
      <c r="Y55" s="10">
        <v>58.49</v>
      </c>
      <c r="Z55" s="10">
        <v>57.56</v>
      </c>
      <c r="AA55" s="10">
        <v>57.96</v>
      </c>
      <c r="AB55" s="95">
        <v>206400</v>
      </c>
      <c r="AC55" s="10">
        <v>57.85</v>
      </c>
      <c r="AD55" s="2">
        <f t="shared" si="0"/>
        <v>0.92999999999999972</v>
      </c>
      <c r="AE55" s="138">
        <f t="shared" si="1"/>
        <v>-1.982378854625555E-2</v>
      </c>
    </row>
    <row r="56" spans="1:31" x14ac:dyDescent="0.25">
      <c r="O56" s="83">
        <v>0.97</v>
      </c>
      <c r="P56" s="83">
        <f t="shared" si="2"/>
        <v>59.684100000000001</v>
      </c>
      <c r="Q56" s="83"/>
      <c r="T56" s="93" t="s">
        <v>111</v>
      </c>
      <c r="U56" s="88">
        <v>23.45</v>
      </c>
      <c r="W56" s="133">
        <v>42530</v>
      </c>
      <c r="X56" s="10">
        <v>58.99</v>
      </c>
      <c r="Y56" s="10">
        <v>59.18</v>
      </c>
      <c r="Z56" s="10">
        <v>58.58</v>
      </c>
      <c r="AA56" s="10">
        <v>59.13</v>
      </c>
      <c r="AB56" s="95">
        <v>194100</v>
      </c>
      <c r="AC56" s="10">
        <v>59.02</v>
      </c>
      <c r="AD56" s="2">
        <f t="shared" si="0"/>
        <v>0.60000000000000142</v>
      </c>
      <c r="AE56" s="138">
        <f t="shared" si="1"/>
        <v>-4.3859649122807154E-3</v>
      </c>
    </row>
    <row r="57" spans="1:31" x14ac:dyDescent="0.25">
      <c r="O57" s="83">
        <v>0.96</v>
      </c>
      <c r="P57" s="83">
        <f t="shared" si="2"/>
        <v>59.068799999999996</v>
      </c>
      <c r="Q57" s="83"/>
      <c r="T57" s="93" t="s">
        <v>112</v>
      </c>
      <c r="U57" s="88">
        <v>2.62</v>
      </c>
      <c r="W57" s="133">
        <v>42529</v>
      </c>
      <c r="X57" s="10">
        <v>58.89</v>
      </c>
      <c r="Y57" s="10">
        <v>59.6</v>
      </c>
      <c r="Z57" s="10">
        <v>58.84</v>
      </c>
      <c r="AA57" s="10">
        <v>59.39</v>
      </c>
      <c r="AB57" s="95">
        <v>357100</v>
      </c>
      <c r="AC57" s="10">
        <v>59.28</v>
      </c>
      <c r="AD57" s="2">
        <f t="shared" si="0"/>
        <v>0.75999999999999801</v>
      </c>
      <c r="AE57" s="138">
        <f t="shared" si="1"/>
        <v>9.3648901753788927E-3</v>
      </c>
    </row>
    <row r="58" spans="1:31" x14ac:dyDescent="0.25">
      <c r="O58" s="83">
        <v>0.95</v>
      </c>
      <c r="P58" s="83">
        <f t="shared" si="2"/>
        <v>58.453499999999998</v>
      </c>
      <c r="Q58" s="83"/>
      <c r="T58" s="93" t="s">
        <v>109</v>
      </c>
      <c r="U58" s="88" t="s">
        <v>398</v>
      </c>
      <c r="W58" s="133">
        <v>42528</v>
      </c>
      <c r="X58" s="10">
        <v>58.57</v>
      </c>
      <c r="Y58" s="10">
        <v>58.97</v>
      </c>
      <c r="Z58" s="10">
        <v>58.48</v>
      </c>
      <c r="AA58" s="10">
        <v>58.84</v>
      </c>
      <c r="AB58" s="95">
        <v>199500</v>
      </c>
      <c r="AC58" s="10">
        <v>58.73</v>
      </c>
      <c r="AD58" s="2">
        <f t="shared" si="0"/>
        <v>0.49000000000000199</v>
      </c>
      <c r="AE58" s="138">
        <f t="shared" si="1"/>
        <v>3.417051084913636E-3</v>
      </c>
    </row>
    <row r="59" spans="1:31" x14ac:dyDescent="0.25">
      <c r="O59" s="83">
        <v>0.94</v>
      </c>
      <c r="P59" s="83">
        <f t="shared" si="2"/>
        <v>57.838200000000001</v>
      </c>
      <c r="Q59" s="83"/>
      <c r="W59" s="133">
        <v>42527</v>
      </c>
      <c r="X59" s="10">
        <v>59.37</v>
      </c>
      <c r="Y59" s="10">
        <v>59.37</v>
      </c>
      <c r="Z59" s="10">
        <v>57.65</v>
      </c>
      <c r="AA59" s="10">
        <v>58.64</v>
      </c>
      <c r="AB59" s="95">
        <v>321700</v>
      </c>
      <c r="AC59" s="10">
        <v>58.53</v>
      </c>
      <c r="AD59" s="2">
        <f t="shared" si="0"/>
        <v>1.7199999999999989</v>
      </c>
      <c r="AE59" s="138">
        <f t="shared" si="1"/>
        <v>1.5969449748307607E-2</v>
      </c>
    </row>
    <row r="60" spans="1:31" x14ac:dyDescent="0.25">
      <c r="O60" s="83">
        <v>0.93</v>
      </c>
      <c r="P60" s="83">
        <f t="shared" si="2"/>
        <v>57.222900000000003</v>
      </c>
      <c r="Q60" s="83"/>
      <c r="W60" s="133">
        <v>42524</v>
      </c>
      <c r="X60" s="10">
        <v>57.92</v>
      </c>
      <c r="Y60" s="10">
        <v>57.92</v>
      </c>
      <c r="Z60" s="10">
        <v>57.2</v>
      </c>
      <c r="AA60" s="10">
        <v>57.72</v>
      </c>
      <c r="AB60" s="95">
        <v>155600</v>
      </c>
      <c r="AC60" s="10">
        <v>57.61</v>
      </c>
      <c r="AD60" s="2">
        <f t="shared" si="0"/>
        <v>0.71999999999999886</v>
      </c>
      <c r="AE60" s="138">
        <f t="shared" si="1"/>
        <v>-2.4242424242424399E-3</v>
      </c>
    </row>
    <row r="61" spans="1:31" x14ac:dyDescent="0.25">
      <c r="O61" s="83">
        <v>0.92</v>
      </c>
      <c r="P61" s="83">
        <f t="shared" si="2"/>
        <v>56.607600000000005</v>
      </c>
      <c r="Q61" s="83"/>
      <c r="W61" s="133">
        <v>42523</v>
      </c>
      <c r="X61" s="10">
        <v>57.3</v>
      </c>
      <c r="Y61" s="10">
        <v>57.9</v>
      </c>
      <c r="Z61" s="10">
        <v>57.18</v>
      </c>
      <c r="AA61" s="10">
        <v>57.86</v>
      </c>
      <c r="AB61" s="95">
        <v>188800</v>
      </c>
      <c r="AC61" s="10">
        <v>57.75</v>
      </c>
      <c r="AD61" s="2">
        <f t="shared" si="0"/>
        <v>0.71999999999999886</v>
      </c>
      <c r="AE61" s="138">
        <f t="shared" si="1"/>
        <v>6.6236709081402001E-3</v>
      </c>
    </row>
    <row r="62" spans="1:31" x14ac:dyDescent="0.25">
      <c r="O62" s="83">
        <v>0.91</v>
      </c>
      <c r="P62" s="83">
        <f t="shared" si="2"/>
        <v>55.9923</v>
      </c>
      <c r="Q62" s="83"/>
      <c r="W62" s="133">
        <v>42522</v>
      </c>
      <c r="X62" s="10">
        <v>56.75</v>
      </c>
      <c r="Y62" s="10">
        <v>57.53</v>
      </c>
      <c r="Z62" s="10">
        <v>56.2</v>
      </c>
      <c r="AA62" s="10">
        <v>57.48</v>
      </c>
      <c r="AB62" s="95">
        <v>276700</v>
      </c>
      <c r="AC62" s="10">
        <v>57.37</v>
      </c>
      <c r="AD62" s="2">
        <f t="shared" si="0"/>
        <v>1.3299999999999983</v>
      </c>
      <c r="AE62" s="138">
        <f t="shared" si="1"/>
        <v>9.5020235790954644E-3</v>
      </c>
    </row>
    <row r="63" spans="1:31" x14ac:dyDescent="0.25">
      <c r="O63" s="83">
        <v>0.9</v>
      </c>
      <c r="P63" s="83">
        <f t="shared" si="2"/>
        <v>55.377000000000002</v>
      </c>
      <c r="Q63" s="83"/>
      <c r="W63" s="133">
        <v>42521</v>
      </c>
      <c r="X63" s="10">
        <v>56.76</v>
      </c>
      <c r="Y63" s="10">
        <v>57.29</v>
      </c>
      <c r="Z63" s="10">
        <v>56.65</v>
      </c>
      <c r="AA63" s="10">
        <v>56.94</v>
      </c>
      <c r="AB63" s="95">
        <v>294400</v>
      </c>
      <c r="AC63" s="10">
        <v>56.83</v>
      </c>
      <c r="AD63" s="2">
        <f t="shared" si="0"/>
        <v>0.64000000000000057</v>
      </c>
      <c r="AE63" s="138">
        <f t="shared" si="1"/>
        <v>1.2332628611697594E-3</v>
      </c>
    </row>
    <row r="64" spans="1:31" x14ac:dyDescent="0.25">
      <c r="O64" s="34"/>
      <c r="W64" s="133">
        <v>42517</v>
      </c>
      <c r="X64" s="10">
        <v>57.15</v>
      </c>
      <c r="Y64" s="10">
        <v>57.3</v>
      </c>
      <c r="Z64" s="10">
        <v>56.66</v>
      </c>
      <c r="AA64" s="10">
        <v>56.87</v>
      </c>
      <c r="AB64" s="95">
        <v>219700</v>
      </c>
      <c r="AC64" s="10">
        <v>56.76</v>
      </c>
      <c r="AD64" s="2">
        <f t="shared" si="0"/>
        <v>0.64000000000000057</v>
      </c>
      <c r="AE64" s="138">
        <f t="shared" si="1"/>
        <v>-4.7343503419253752E-3</v>
      </c>
    </row>
    <row r="65" spans="15:31" x14ac:dyDescent="0.25">
      <c r="O65" s="34"/>
      <c r="W65" s="133">
        <v>42516</v>
      </c>
      <c r="X65" s="10">
        <v>57.38</v>
      </c>
      <c r="Y65" s="10">
        <v>58</v>
      </c>
      <c r="Z65" s="10">
        <v>56.95</v>
      </c>
      <c r="AA65" s="10">
        <v>57.14</v>
      </c>
      <c r="AB65" s="95">
        <v>348300</v>
      </c>
      <c r="AC65" s="10">
        <v>57.03</v>
      </c>
      <c r="AD65" s="2">
        <f t="shared" si="0"/>
        <v>1.0499999999999972</v>
      </c>
      <c r="AE65" s="138">
        <f t="shared" si="1"/>
        <v>-1.2259194395797257E-3</v>
      </c>
    </row>
    <row r="66" spans="15:31" x14ac:dyDescent="0.25">
      <c r="O66" s="34"/>
      <c r="W66" s="133">
        <v>42515</v>
      </c>
      <c r="X66" s="10">
        <v>56.99</v>
      </c>
      <c r="Y66" s="10">
        <v>57.33</v>
      </c>
      <c r="Z66" s="10">
        <v>55.93</v>
      </c>
      <c r="AA66" s="10">
        <v>57.21</v>
      </c>
      <c r="AB66" s="95">
        <v>339700</v>
      </c>
      <c r="AC66" s="10">
        <v>57.1</v>
      </c>
      <c r="AD66" s="2">
        <f t="shared" si="0"/>
        <v>1.3999999999999986</v>
      </c>
      <c r="AE66" s="138">
        <f t="shared" si="1"/>
        <v>8.8339222614841617E-3</v>
      </c>
    </row>
    <row r="67" spans="15:31" x14ac:dyDescent="0.25">
      <c r="W67" s="133">
        <v>42514</v>
      </c>
      <c r="X67" s="10">
        <v>55.4</v>
      </c>
      <c r="Y67" s="10">
        <v>56.82</v>
      </c>
      <c r="Z67" s="10">
        <v>55.35</v>
      </c>
      <c r="AA67" s="10">
        <v>56.71</v>
      </c>
      <c r="AB67" s="95">
        <v>285100</v>
      </c>
      <c r="AC67" s="10">
        <v>56.6</v>
      </c>
      <c r="AD67" s="2">
        <f>Y67-Z67</f>
        <v>1.4699999999999989</v>
      </c>
      <c r="AE67" s="138">
        <f>AC67/AC68-1</f>
        <v>2.8156221616712163E-2</v>
      </c>
    </row>
    <row r="68" spans="15:31" x14ac:dyDescent="0.25">
      <c r="W68" s="133">
        <v>42513</v>
      </c>
      <c r="X68" s="10">
        <v>55.26</v>
      </c>
      <c r="Y68" s="10">
        <v>55.51</v>
      </c>
      <c r="Z68" s="10">
        <v>54.95</v>
      </c>
      <c r="AA68" s="10">
        <v>55.15</v>
      </c>
      <c r="AB68" s="95">
        <v>190800</v>
      </c>
      <c r="AC68" s="10">
        <v>55.05</v>
      </c>
      <c r="AD68" s="2">
        <f>Y68-Z68</f>
        <v>0.55999999999999517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42606</v>
      </c>
      <c r="Y2" s="10">
        <v>71</v>
      </c>
      <c r="Z2" s="10">
        <v>71.06</v>
      </c>
      <c r="AA2" s="10">
        <v>70.459999999999994</v>
      </c>
      <c r="AB2" s="10">
        <v>71</v>
      </c>
      <c r="AC2" s="95">
        <v>2493100</v>
      </c>
      <c r="AD2" s="10">
        <v>71</v>
      </c>
      <c r="AE2" s="2">
        <f>Z2-AA2</f>
        <v>0.60000000000000853</v>
      </c>
      <c r="AF2" s="138">
        <f>AD2/AD3-1</f>
        <v>-1.4064697609000865E-3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</v>
      </c>
      <c r="X3" s="133">
        <v>42605</v>
      </c>
      <c r="Y3" s="10">
        <v>71.56</v>
      </c>
      <c r="Z3" s="10">
        <v>71.63</v>
      </c>
      <c r="AA3" s="10">
        <v>70.930000000000007</v>
      </c>
      <c r="AB3" s="10">
        <v>71.099999999999994</v>
      </c>
      <c r="AC3" s="95">
        <v>2270300</v>
      </c>
      <c r="AD3" s="10">
        <v>71.099999999999994</v>
      </c>
      <c r="AE3" s="2">
        <f t="shared" ref="AE3:AE66" si="0">Z3-AA3</f>
        <v>0.69999999999998863</v>
      </c>
      <c r="AF3" s="138">
        <f t="shared" ref="AF3:AF66" si="1">AD3/AD4-1</f>
        <v>-6.4281721632197808E-3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</v>
      </c>
      <c r="X4" s="133">
        <v>42604</v>
      </c>
      <c r="Y4" s="10">
        <v>71.53</v>
      </c>
      <c r="Z4" s="10">
        <v>71.819999999999993</v>
      </c>
      <c r="AA4" s="10">
        <v>71.27</v>
      </c>
      <c r="AB4" s="10">
        <v>71.56</v>
      </c>
      <c r="AC4" s="95">
        <v>2277400</v>
      </c>
      <c r="AD4" s="10">
        <v>71.56</v>
      </c>
      <c r="AE4" s="2">
        <f t="shared" si="0"/>
        <v>0.54999999999999716</v>
      </c>
      <c r="AF4" s="138">
        <f t="shared" si="1"/>
        <v>1.5395381385583384E-3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42601</v>
      </c>
      <c r="Y5" s="10">
        <v>71.260000000000005</v>
      </c>
      <c r="Z5" s="10">
        <v>71.5</v>
      </c>
      <c r="AA5" s="10">
        <v>70.92</v>
      </c>
      <c r="AB5" s="10">
        <v>71.45</v>
      </c>
      <c r="AC5" s="95">
        <v>2543700</v>
      </c>
      <c r="AD5" s="10">
        <v>71.45</v>
      </c>
      <c r="AE5" s="2">
        <f t="shared" si="0"/>
        <v>0.57999999999999829</v>
      </c>
      <c r="AF5" s="138">
        <f t="shared" si="1"/>
        <v>2.5256068472008231E-3</v>
      </c>
    </row>
    <row r="6" spans="1:32" x14ac:dyDescent="0.25">
      <c r="O6" s="11" t="s">
        <v>64</v>
      </c>
      <c r="Q6" s="2">
        <f>Q3*Q2</f>
        <v>0</v>
      </c>
      <c r="X6" s="133">
        <v>42600</v>
      </c>
      <c r="Y6" s="10">
        <v>70.56</v>
      </c>
      <c r="Z6" s="10">
        <v>71.400000000000006</v>
      </c>
      <c r="AA6" s="10">
        <v>70.510000000000005</v>
      </c>
      <c r="AB6" s="10">
        <v>71.27</v>
      </c>
      <c r="AC6" s="95">
        <v>2517000</v>
      </c>
      <c r="AD6" s="10">
        <v>71.27</v>
      </c>
      <c r="AE6" s="2">
        <f t="shared" si="0"/>
        <v>0.89000000000000057</v>
      </c>
      <c r="AF6" s="138">
        <f t="shared" si="1"/>
        <v>1.0062358276643923E-2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42599</v>
      </c>
      <c r="Y7" s="10">
        <v>70.510000000000005</v>
      </c>
      <c r="Z7" s="10">
        <v>70.87</v>
      </c>
      <c r="AA7" s="10">
        <v>70.22</v>
      </c>
      <c r="AB7" s="10">
        <v>70.56</v>
      </c>
      <c r="AC7" s="95">
        <v>3923300</v>
      </c>
      <c r="AD7" s="10">
        <v>70.56</v>
      </c>
      <c r="AE7" s="2">
        <f t="shared" si="0"/>
        <v>0.65000000000000568</v>
      </c>
      <c r="AF7" s="138">
        <f t="shared" si="1"/>
        <v>8.5106382978716866E-4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42598</v>
      </c>
      <c r="Y8" s="10">
        <v>70.569999999999993</v>
      </c>
      <c r="Z8" s="10">
        <v>70.989999999999995</v>
      </c>
      <c r="AA8" s="10">
        <v>70.37</v>
      </c>
      <c r="AB8" s="10">
        <v>70.5</v>
      </c>
      <c r="AC8" s="95">
        <v>2642300</v>
      </c>
      <c r="AD8" s="10">
        <v>70.5</v>
      </c>
      <c r="AE8" s="2">
        <f t="shared" si="0"/>
        <v>0.61999999999999034</v>
      </c>
      <c r="AF8" s="138">
        <f t="shared" si="1"/>
        <v>-7.6013513513514264E-3</v>
      </c>
    </row>
    <row r="9" spans="1:32" x14ac:dyDescent="0.25">
      <c r="O9" s="11" t="s">
        <v>225</v>
      </c>
      <c r="Q9" s="138">
        <f>IF(Q2=0, 0, Q8/Q6)</f>
        <v>0</v>
      </c>
      <c r="X9" s="133">
        <v>42597</v>
      </c>
      <c r="Y9" s="10">
        <v>71.03</v>
      </c>
      <c r="Z9" s="10">
        <v>71.17</v>
      </c>
      <c r="AA9" s="10">
        <v>70.78</v>
      </c>
      <c r="AB9" s="10">
        <v>71.040000000000006</v>
      </c>
      <c r="AC9" s="95">
        <v>2096200</v>
      </c>
      <c r="AD9" s="10">
        <v>71.040000000000006</v>
      </c>
      <c r="AE9" s="2">
        <f t="shared" si="0"/>
        <v>0.39000000000000057</v>
      </c>
      <c r="AF9" s="138">
        <f t="shared" si="1"/>
        <v>-1.8266123366585951E-3</v>
      </c>
    </row>
    <row r="10" spans="1:32" x14ac:dyDescent="0.25">
      <c r="O10" s="11" t="s">
        <v>224</v>
      </c>
      <c r="P10" s="34"/>
      <c r="Q10" s="2">
        <f>M28</f>
        <v>49.949999999999818</v>
      </c>
      <c r="X10" s="133">
        <v>42594</v>
      </c>
      <c r="Y10" s="10">
        <v>71.16</v>
      </c>
      <c r="Z10" s="10">
        <v>71.45</v>
      </c>
      <c r="AA10" s="10">
        <v>71.010000000000005</v>
      </c>
      <c r="AB10" s="10">
        <v>71.17</v>
      </c>
      <c r="AC10" s="95">
        <v>1871300</v>
      </c>
      <c r="AD10" s="10">
        <v>71.17</v>
      </c>
      <c r="AE10" s="2">
        <f t="shared" si="0"/>
        <v>0.43999999999999773</v>
      </c>
      <c r="AF10" s="138">
        <f t="shared" si="1"/>
        <v>1.4070634585621189E-3</v>
      </c>
    </row>
    <row r="11" spans="1:32" x14ac:dyDescent="0.25">
      <c r="O11" s="11" t="s">
        <v>184</v>
      </c>
      <c r="P11" s="34"/>
      <c r="Q11" s="138">
        <f>VALUE(TRIM(CLEAN(MID(U58, FIND("(", U58)+1, 5))))</f>
        <v>2.69E-2</v>
      </c>
      <c r="X11" s="133">
        <v>42593</v>
      </c>
      <c r="Y11" s="10">
        <v>71.099999999999994</v>
      </c>
      <c r="Z11" s="10">
        <v>71.28</v>
      </c>
      <c r="AA11" s="10">
        <v>70.86</v>
      </c>
      <c r="AB11" s="10">
        <v>71.069999999999993</v>
      </c>
      <c r="AC11" s="95">
        <v>2212700</v>
      </c>
      <c r="AD11" s="10">
        <v>71.069999999999993</v>
      </c>
      <c r="AE11" s="2">
        <f t="shared" si="0"/>
        <v>0.42000000000000171</v>
      </c>
      <c r="AF11" s="138">
        <f t="shared" si="1"/>
        <v>1.4072614691795771E-4</v>
      </c>
    </row>
    <row r="12" spans="1:32" x14ac:dyDescent="0.25">
      <c r="X12" s="133">
        <v>42592</v>
      </c>
      <c r="Y12" s="10">
        <v>70.959999999999994</v>
      </c>
      <c r="Z12" s="10">
        <v>71.3</v>
      </c>
      <c r="AA12" s="10">
        <v>70.83</v>
      </c>
      <c r="AB12" s="10">
        <v>71.06</v>
      </c>
      <c r="AC12" s="95">
        <v>2189600</v>
      </c>
      <c r="AD12" s="10">
        <v>71.06</v>
      </c>
      <c r="AE12" s="2">
        <f t="shared" si="0"/>
        <v>0.46999999999999886</v>
      </c>
      <c r="AF12" s="138">
        <f t="shared" si="1"/>
        <v>1.8327928944028571E-3</v>
      </c>
    </row>
    <row r="13" spans="1:32" x14ac:dyDescent="0.25">
      <c r="X13" s="133">
        <v>42591</v>
      </c>
      <c r="Y13" s="10">
        <v>70.75</v>
      </c>
      <c r="Z13" s="10">
        <v>71.06</v>
      </c>
      <c r="AA13" s="10">
        <v>70.53</v>
      </c>
      <c r="AB13" s="10">
        <v>70.930000000000007</v>
      </c>
      <c r="AC13" s="95">
        <v>2333000</v>
      </c>
      <c r="AD13" s="10">
        <v>70.930000000000007</v>
      </c>
      <c r="AE13" s="2">
        <f t="shared" si="0"/>
        <v>0.53000000000000114</v>
      </c>
      <c r="AF13" s="138">
        <f t="shared" si="1"/>
        <v>4.2474869035822316E-3</v>
      </c>
    </row>
    <row r="14" spans="1:32" x14ac:dyDescent="0.25">
      <c r="X14" s="133">
        <v>42590</v>
      </c>
      <c r="Y14" s="10">
        <v>70.489999999999995</v>
      </c>
      <c r="Z14" s="10">
        <v>70.88</v>
      </c>
      <c r="AA14" s="10">
        <v>70.150000000000006</v>
      </c>
      <c r="AB14" s="10">
        <v>70.63</v>
      </c>
      <c r="AC14" s="95">
        <v>2428700</v>
      </c>
      <c r="AD14" s="10">
        <v>70.63</v>
      </c>
      <c r="AE14" s="2">
        <f t="shared" si="0"/>
        <v>0.72999999999998977</v>
      </c>
      <c r="AF14" s="138">
        <f t="shared" si="1"/>
        <v>1.133947554925463E-3</v>
      </c>
    </row>
    <row r="15" spans="1:32" x14ac:dyDescent="0.25">
      <c r="X15" s="133">
        <v>42587</v>
      </c>
      <c r="Y15" s="10">
        <v>70.5</v>
      </c>
      <c r="Z15" s="10">
        <v>70.8</v>
      </c>
      <c r="AA15" s="10">
        <v>70.3</v>
      </c>
      <c r="AB15" s="10">
        <v>70.55</v>
      </c>
      <c r="AC15" s="95">
        <v>2539200</v>
      </c>
      <c r="AD15" s="10">
        <v>70.55</v>
      </c>
      <c r="AE15" s="2">
        <f t="shared" si="0"/>
        <v>0.5</v>
      </c>
      <c r="AF15" s="138">
        <f t="shared" si="1"/>
        <v>8.5118456518662455E-4</v>
      </c>
    </row>
    <row r="16" spans="1:32" x14ac:dyDescent="0.25">
      <c r="X16" s="133">
        <v>42586</v>
      </c>
      <c r="Y16" s="10">
        <v>70</v>
      </c>
      <c r="Z16" s="10">
        <v>70.510000000000005</v>
      </c>
      <c r="AA16" s="10">
        <v>69.92</v>
      </c>
      <c r="AB16" s="10">
        <v>70.489999999999995</v>
      </c>
      <c r="AC16" s="95">
        <v>4234700</v>
      </c>
      <c r="AD16" s="10">
        <v>70.489999999999995</v>
      </c>
      <c r="AE16" s="2">
        <f t="shared" si="0"/>
        <v>0.59000000000000341</v>
      </c>
      <c r="AF16" s="138">
        <f t="shared" si="1"/>
        <v>1.0174835196331333E-2</v>
      </c>
    </row>
    <row r="17" spans="1:32" x14ac:dyDescent="0.25">
      <c r="X17" s="133">
        <v>42585</v>
      </c>
      <c r="Y17" s="10">
        <v>71.12</v>
      </c>
      <c r="Z17" s="10">
        <v>71.14</v>
      </c>
      <c r="AA17" s="10">
        <v>69.23</v>
      </c>
      <c r="AB17" s="10">
        <v>69.78</v>
      </c>
      <c r="AC17" s="95">
        <v>5387400</v>
      </c>
      <c r="AD17" s="10">
        <v>69.78</v>
      </c>
      <c r="AE17" s="2">
        <f t="shared" si="0"/>
        <v>1.9099999999999966</v>
      </c>
      <c r="AF17" s="138">
        <f t="shared" si="1"/>
        <v>-1.6767648302099425E-2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42584</v>
      </c>
      <c r="Y18" s="10">
        <v>71.55</v>
      </c>
      <c r="Z18" s="10">
        <v>71.72</v>
      </c>
      <c r="AA18" s="10">
        <v>70.819999999999993</v>
      </c>
      <c r="AB18" s="10">
        <v>70.97</v>
      </c>
      <c r="AC18" s="95">
        <v>4370300</v>
      </c>
      <c r="AD18" s="10">
        <v>70.97</v>
      </c>
      <c r="AE18" s="2">
        <f t="shared" si="0"/>
        <v>0.90000000000000568</v>
      </c>
      <c r="AF18" s="138">
        <f t="shared" si="1"/>
        <v>-9.214016473544584E-3</v>
      </c>
    </row>
    <row r="19" spans="1:32" x14ac:dyDescent="0.25">
      <c r="X19" s="133">
        <v>42583</v>
      </c>
      <c r="Y19" s="10">
        <v>71.98</v>
      </c>
      <c r="Z19" s="10">
        <v>72.150000000000006</v>
      </c>
      <c r="AA19" s="10">
        <v>71.400000000000006</v>
      </c>
      <c r="AB19" s="10">
        <v>71.63</v>
      </c>
      <c r="AC19" s="95">
        <v>3417600</v>
      </c>
      <c r="AD19" s="10">
        <v>71.63</v>
      </c>
      <c r="AE19" s="2">
        <f t="shared" si="0"/>
        <v>0.75</v>
      </c>
      <c r="AF19" s="138">
        <f t="shared" si="1"/>
        <v>-3.6166365280290158E-3</v>
      </c>
    </row>
    <row r="20" spans="1:32" x14ac:dyDescent="0.25">
      <c r="X20" s="133">
        <v>42580</v>
      </c>
      <c r="Y20" s="10">
        <v>71.19</v>
      </c>
      <c r="Z20" s="10">
        <v>72.22</v>
      </c>
      <c r="AA20" s="10">
        <v>71.17</v>
      </c>
      <c r="AB20" s="10">
        <v>71.89</v>
      </c>
      <c r="AC20" s="95">
        <v>2728800</v>
      </c>
      <c r="AD20" s="10">
        <v>71.89</v>
      </c>
      <c r="AE20" s="2">
        <f t="shared" si="0"/>
        <v>1.0499999999999972</v>
      </c>
      <c r="AF20" s="138">
        <f t="shared" si="1"/>
        <v>7.7095598542191723E-3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42579</v>
      </c>
      <c r="Y21" s="10">
        <v>70.510000000000005</v>
      </c>
      <c r="Z21" s="10">
        <v>71.44</v>
      </c>
      <c r="AA21" s="10">
        <v>70.5</v>
      </c>
      <c r="AB21" s="10">
        <v>71.34</v>
      </c>
      <c r="AC21" s="95">
        <v>2724500</v>
      </c>
      <c r="AD21" s="10">
        <v>71.34</v>
      </c>
      <c r="AE21" s="2">
        <f t="shared" si="0"/>
        <v>0.93999999999999773</v>
      </c>
      <c r="AF21" s="138">
        <f t="shared" si="1"/>
        <v>1.1197732104890168E-2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42578</v>
      </c>
      <c r="Y22" s="10">
        <v>71.48</v>
      </c>
      <c r="Z22" s="10">
        <v>71.59</v>
      </c>
      <c r="AA22" s="10">
        <v>70.400000000000006</v>
      </c>
      <c r="AB22" s="10">
        <v>70.55</v>
      </c>
      <c r="AC22" s="95">
        <v>4578300</v>
      </c>
      <c r="AD22" s="10">
        <v>70.55</v>
      </c>
      <c r="AE22" s="2">
        <f t="shared" si="0"/>
        <v>1.1899999999999977</v>
      </c>
      <c r="AF22" s="138">
        <f t="shared" si="1"/>
        <v>-1.0241301907968681E-2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42577</v>
      </c>
      <c r="Y23" s="10">
        <v>71.650000000000006</v>
      </c>
      <c r="Z23" s="10">
        <v>72.510000000000005</v>
      </c>
      <c r="AA23" s="10">
        <v>71.19</v>
      </c>
      <c r="AB23" s="10">
        <v>71.28</v>
      </c>
      <c r="AC23" s="95">
        <v>2592100</v>
      </c>
      <c r="AD23" s="10">
        <v>71.28</v>
      </c>
      <c r="AE23" s="2">
        <f t="shared" si="0"/>
        <v>1.3200000000000074</v>
      </c>
      <c r="AF23" s="138">
        <f t="shared" si="1"/>
        <v>-5.7190682103500645E-3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42576</v>
      </c>
      <c r="Y24" s="10">
        <v>71.209999999999994</v>
      </c>
      <c r="Z24" s="10">
        <v>71.72</v>
      </c>
      <c r="AA24" s="10">
        <v>71.150000000000006</v>
      </c>
      <c r="AB24" s="10">
        <v>71.69</v>
      </c>
      <c r="AC24" s="95">
        <v>2574700</v>
      </c>
      <c r="AD24" s="10">
        <v>71.69</v>
      </c>
      <c r="AE24" s="2">
        <f t="shared" si="0"/>
        <v>0.56999999999999318</v>
      </c>
      <c r="AF24" s="138">
        <f t="shared" si="1"/>
        <v>6.5992698680146233E-3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42573</v>
      </c>
      <c r="Y25" s="10">
        <v>71.44</v>
      </c>
      <c r="Z25" s="10">
        <v>71.64</v>
      </c>
      <c r="AA25" s="10">
        <v>71.069999999999993</v>
      </c>
      <c r="AB25" s="10">
        <v>71.22</v>
      </c>
      <c r="AC25" s="95">
        <v>3079200</v>
      </c>
      <c r="AD25" s="10">
        <v>71.22</v>
      </c>
      <c r="AE25" s="2">
        <f t="shared" si="0"/>
        <v>0.57000000000000739</v>
      </c>
      <c r="AF25" s="138">
        <f t="shared" si="1"/>
        <v>1.4042971492767009E-4</v>
      </c>
    </row>
    <row r="26" spans="1:32" x14ac:dyDescent="0.25">
      <c r="X26" s="133">
        <v>42572</v>
      </c>
      <c r="Y26" s="10">
        <v>71.709999999999994</v>
      </c>
      <c r="Z26" s="10">
        <v>71.72</v>
      </c>
      <c r="AA26" s="10">
        <v>70.989999999999995</v>
      </c>
      <c r="AB26" s="10">
        <v>71.209999999999994</v>
      </c>
      <c r="AC26" s="95">
        <v>3008800</v>
      </c>
      <c r="AD26" s="10">
        <v>71.209999999999994</v>
      </c>
      <c r="AE26" s="2">
        <f t="shared" si="0"/>
        <v>0.73000000000000398</v>
      </c>
      <c r="AF26" s="138">
        <f t="shared" si="1"/>
        <v>-6.8340306834031583E-3</v>
      </c>
    </row>
    <row r="27" spans="1:32" x14ac:dyDescent="0.25">
      <c r="X27" s="133">
        <v>42571</v>
      </c>
      <c r="Y27" s="10">
        <v>72.650000000000006</v>
      </c>
      <c r="Z27" s="10">
        <v>72.7</v>
      </c>
      <c r="AA27" s="10">
        <v>71.64</v>
      </c>
      <c r="AB27" s="10">
        <v>71.7</v>
      </c>
      <c r="AC27" s="95">
        <v>2841000</v>
      </c>
      <c r="AD27" s="10">
        <v>71.7</v>
      </c>
      <c r="AE27" s="2">
        <f t="shared" si="0"/>
        <v>1.0600000000000023</v>
      </c>
      <c r="AF27" s="138">
        <f t="shared" si="1"/>
        <v>-1.2940528634361237E-2</v>
      </c>
    </row>
    <row r="28" spans="1:32" x14ac:dyDescent="0.25">
      <c r="L28" t="s">
        <v>224</v>
      </c>
      <c r="M28" s="2">
        <f>M37+K37-F37</f>
        <v>49.949999999999818</v>
      </c>
      <c r="X28" s="133">
        <v>42570</v>
      </c>
      <c r="Y28" s="10">
        <v>72.209999999999994</v>
      </c>
      <c r="Z28" s="10">
        <v>72.66</v>
      </c>
      <c r="AA28" s="10">
        <v>72</v>
      </c>
      <c r="AB28" s="10">
        <v>72.64</v>
      </c>
      <c r="AC28" s="95">
        <v>1996200</v>
      </c>
      <c r="AD28" s="10">
        <v>72.64</v>
      </c>
      <c r="AE28" s="2">
        <f t="shared" si="0"/>
        <v>0.65999999999999659</v>
      </c>
      <c r="AF28" s="138">
        <f t="shared" si="1"/>
        <v>4.9806308799114074E-3</v>
      </c>
    </row>
    <row r="29" spans="1:32" x14ac:dyDescent="0.25">
      <c r="A29" s="391" t="s">
        <v>1</v>
      </c>
      <c r="B29" s="391" t="s">
        <v>2</v>
      </c>
      <c r="C29" s="391" t="s">
        <v>4</v>
      </c>
      <c r="D29" s="393" t="s">
        <v>5</v>
      </c>
      <c r="E29" s="393" t="s">
        <v>94</v>
      </c>
      <c r="F29" s="393" t="s">
        <v>60</v>
      </c>
      <c r="G29" s="391" t="s">
        <v>3</v>
      </c>
      <c r="H29" s="391" t="s">
        <v>6</v>
      </c>
      <c r="I29" s="391" t="s">
        <v>7</v>
      </c>
      <c r="J29" s="391" t="s">
        <v>95</v>
      </c>
      <c r="K29" s="391" t="s">
        <v>61</v>
      </c>
      <c r="L29" s="391" t="s">
        <v>77</v>
      </c>
      <c r="M29" s="391" t="s">
        <v>38</v>
      </c>
      <c r="X29" s="133">
        <v>42569</v>
      </c>
      <c r="Y29" s="10">
        <v>72.19</v>
      </c>
      <c r="Z29" s="10">
        <v>72.400000000000006</v>
      </c>
      <c r="AA29" s="10">
        <v>71.97</v>
      </c>
      <c r="AB29" s="10">
        <v>72.28</v>
      </c>
      <c r="AC29" s="95">
        <v>2217100</v>
      </c>
      <c r="AD29" s="10">
        <v>72.28</v>
      </c>
      <c r="AE29" s="2">
        <f t="shared" si="0"/>
        <v>0.43000000000000682</v>
      </c>
      <c r="AF29" s="138">
        <f t="shared" si="1"/>
        <v>3.6101083032491488E-3</v>
      </c>
    </row>
    <row r="30" spans="1:32" x14ac:dyDescent="0.25">
      <c r="A30" s="394" t="s">
        <v>179</v>
      </c>
      <c r="B30" s="396">
        <v>42376</v>
      </c>
      <c r="C30" s="385">
        <v>50</v>
      </c>
      <c r="D30" s="386">
        <v>55.15</v>
      </c>
      <c r="E30" s="386">
        <v>0</v>
      </c>
      <c r="F30" s="386">
        <f>C30*D30+E30</f>
        <v>2757.5</v>
      </c>
      <c r="G30" s="384">
        <v>42409</v>
      </c>
      <c r="H30" s="389">
        <v>50</v>
      </c>
      <c r="I30" s="386">
        <v>56.15</v>
      </c>
      <c r="J30" s="386">
        <v>0.05</v>
      </c>
      <c r="K30" s="385">
        <f>H30*I30-J30</f>
        <v>2807.45</v>
      </c>
      <c r="L30" s="384"/>
      <c r="M30" s="386"/>
      <c r="X30" s="133">
        <v>42566</v>
      </c>
      <c r="Y30" s="10">
        <v>72.25</v>
      </c>
      <c r="Z30" s="10">
        <v>72.28</v>
      </c>
      <c r="AA30" s="10">
        <v>71.849999999999994</v>
      </c>
      <c r="AB30" s="10">
        <v>72.02</v>
      </c>
      <c r="AC30" s="95">
        <v>2848900</v>
      </c>
      <c r="AD30" s="10">
        <v>72.02</v>
      </c>
      <c r="AE30" s="2">
        <f t="shared" si="0"/>
        <v>0.43000000000000682</v>
      </c>
      <c r="AF30" s="138">
        <f t="shared" si="1"/>
        <v>-9.7100846164521748E-4</v>
      </c>
    </row>
    <row r="31" spans="1:32" x14ac:dyDescent="0.25">
      <c r="A31" s="395" t="s">
        <v>71</v>
      </c>
      <c r="B31" s="396"/>
      <c r="C31" s="385"/>
      <c r="D31" s="386"/>
      <c r="E31" s="386"/>
      <c r="F31" s="386"/>
      <c r="G31" s="384"/>
      <c r="H31" s="385"/>
      <c r="I31" s="385"/>
      <c r="J31" s="385"/>
      <c r="K31" s="385"/>
      <c r="L31" s="385"/>
      <c r="M31" s="385"/>
      <c r="X31" s="133">
        <v>42565</v>
      </c>
      <c r="Y31" s="10">
        <v>71.69</v>
      </c>
      <c r="Z31" s="10">
        <v>72.319999999999993</v>
      </c>
      <c r="AA31" s="10">
        <v>71.680000000000007</v>
      </c>
      <c r="AB31" s="10">
        <v>72.09</v>
      </c>
      <c r="AC31" s="95">
        <v>2689500</v>
      </c>
      <c r="AD31" s="10">
        <v>72.09</v>
      </c>
      <c r="AE31" s="2">
        <f t="shared" si="0"/>
        <v>0.63999999999998636</v>
      </c>
      <c r="AF31" s="138">
        <f t="shared" si="1"/>
        <v>2.085070892410501E-3</v>
      </c>
    </row>
    <row r="32" spans="1:32" x14ac:dyDescent="0.25">
      <c r="A32" s="385"/>
      <c r="B32" s="384"/>
      <c r="C32" s="385"/>
      <c r="D32" s="386"/>
      <c r="E32" s="386"/>
      <c r="F32" s="386"/>
      <c r="G32" s="385"/>
      <c r="H32" s="385"/>
      <c r="I32" s="385"/>
      <c r="J32" s="385"/>
      <c r="K32" s="385"/>
      <c r="L32" s="385"/>
      <c r="M32" s="385"/>
      <c r="X32" s="133">
        <v>42564</v>
      </c>
      <c r="Y32" s="10">
        <v>71.489999999999995</v>
      </c>
      <c r="Z32" s="10">
        <v>71.97</v>
      </c>
      <c r="AA32" s="10">
        <v>71.36</v>
      </c>
      <c r="AB32" s="10">
        <v>71.94</v>
      </c>
      <c r="AC32" s="95">
        <v>2852100</v>
      </c>
      <c r="AD32" s="10">
        <v>71.94</v>
      </c>
      <c r="AE32" s="2">
        <f t="shared" si="0"/>
        <v>0.60999999999999943</v>
      </c>
      <c r="AF32" s="138">
        <f t="shared" si="1"/>
        <v>7.2808737048444261E-3</v>
      </c>
    </row>
    <row r="33" spans="1:32" x14ac:dyDescent="0.25">
      <c r="A33" s="385"/>
      <c r="B33" s="384"/>
      <c r="C33" s="385"/>
      <c r="D33" s="386"/>
      <c r="E33" s="386"/>
      <c r="F33" s="386"/>
      <c r="G33" s="385"/>
      <c r="H33" s="385"/>
      <c r="I33" s="385"/>
      <c r="J33" s="385"/>
      <c r="K33" s="385"/>
      <c r="L33" s="385"/>
      <c r="M33" s="385"/>
      <c r="X33" s="133">
        <v>42563</v>
      </c>
      <c r="Y33" s="10">
        <v>71.47</v>
      </c>
      <c r="Z33" s="10">
        <v>71.81</v>
      </c>
      <c r="AA33" s="10">
        <v>71.12</v>
      </c>
      <c r="AB33" s="10">
        <v>71.42</v>
      </c>
      <c r="AC33" s="95">
        <v>3486500</v>
      </c>
      <c r="AD33" s="10">
        <v>71.42</v>
      </c>
      <c r="AE33" s="2">
        <f t="shared" si="0"/>
        <v>0.68999999999999773</v>
      </c>
      <c r="AF33" s="138">
        <f t="shared" si="1"/>
        <v>-5.4309984681799595E-3</v>
      </c>
    </row>
    <row r="34" spans="1:32" x14ac:dyDescent="0.25">
      <c r="A34" s="385"/>
      <c r="B34" s="385"/>
      <c r="C34" s="385"/>
      <c r="D34" s="386"/>
      <c r="E34" s="386"/>
      <c r="F34" s="386"/>
      <c r="G34" s="385"/>
      <c r="H34" s="385"/>
      <c r="I34" s="385"/>
      <c r="J34" s="385"/>
      <c r="K34" s="385"/>
      <c r="L34" s="385"/>
      <c r="M34" s="385"/>
      <c r="X34" s="133">
        <v>42562</v>
      </c>
      <c r="Y34" s="10">
        <v>72.27</v>
      </c>
      <c r="Z34" s="10">
        <v>72.3</v>
      </c>
      <c r="AA34" s="10">
        <v>71.7</v>
      </c>
      <c r="AB34" s="10">
        <v>71.81</v>
      </c>
      <c r="AC34" s="95">
        <v>3559900</v>
      </c>
      <c r="AD34" s="10">
        <v>71.81</v>
      </c>
      <c r="AE34" s="2">
        <f t="shared" si="0"/>
        <v>0.59999999999999432</v>
      </c>
      <c r="AF34" s="138">
        <f t="shared" si="1"/>
        <v>-8.9704664642560328E-3</v>
      </c>
    </row>
    <row r="35" spans="1:32" x14ac:dyDescent="0.25">
      <c r="A35" s="385"/>
      <c r="B35" s="385"/>
      <c r="C35" s="385"/>
      <c r="D35" s="386"/>
      <c r="E35" s="386"/>
      <c r="F35" s="386"/>
      <c r="G35" s="385"/>
      <c r="H35" s="385"/>
      <c r="I35" s="385"/>
      <c r="J35" s="385"/>
      <c r="K35" s="385"/>
      <c r="L35" s="385"/>
      <c r="M35" s="385"/>
      <c r="X35" s="133">
        <v>42559</v>
      </c>
      <c r="Y35" s="10">
        <v>72.39</v>
      </c>
      <c r="Z35" s="10">
        <v>72.48</v>
      </c>
      <c r="AA35" s="10">
        <v>71.56</v>
      </c>
      <c r="AB35" s="10">
        <v>72.459999999999994</v>
      </c>
      <c r="AC35" s="95">
        <v>4234100</v>
      </c>
      <c r="AD35" s="10">
        <v>72.459999999999994</v>
      </c>
      <c r="AE35" s="2">
        <f t="shared" si="0"/>
        <v>0.92000000000000171</v>
      </c>
      <c r="AF35" s="138">
        <f t="shared" si="1"/>
        <v>6.1094140516522177E-3</v>
      </c>
    </row>
    <row r="36" spans="1:32" x14ac:dyDescent="0.25">
      <c r="A36" s="385"/>
      <c r="B36" s="385"/>
      <c r="C36" s="385"/>
      <c r="D36" s="386"/>
      <c r="E36" s="386"/>
      <c r="F36" s="386"/>
      <c r="G36" s="385"/>
      <c r="H36" s="385"/>
      <c r="I36" s="385"/>
      <c r="J36" s="385"/>
      <c r="K36" s="385"/>
      <c r="L36" s="385"/>
      <c r="M36" s="385"/>
      <c r="X36" s="133">
        <v>42558</v>
      </c>
      <c r="Y36" s="10">
        <v>72.44</v>
      </c>
      <c r="Z36" s="10">
        <v>72.77</v>
      </c>
      <c r="AA36" s="10">
        <v>71.77</v>
      </c>
      <c r="AB36" s="10">
        <v>72.02</v>
      </c>
      <c r="AC36" s="95">
        <v>4383900</v>
      </c>
      <c r="AD36" s="10">
        <v>72.02</v>
      </c>
      <c r="AE36" s="2">
        <f t="shared" si="0"/>
        <v>1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42558</v>
      </c>
      <c r="Y37" s="10" t="s">
        <v>283</v>
      </c>
      <c r="Z37" s="10"/>
      <c r="AA37" s="10"/>
      <c r="AB37" s="10"/>
      <c r="AC37" s="95"/>
      <c r="AD37" s="10"/>
      <c r="AE37" s="2">
        <f t="shared" si="0"/>
        <v>0</v>
      </c>
      <c r="AF37" s="138">
        <f t="shared" si="1"/>
        <v>-1</v>
      </c>
    </row>
    <row r="38" spans="1:32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X38" s="133">
        <v>42557</v>
      </c>
      <c r="Y38" s="10">
        <v>72.27</v>
      </c>
      <c r="Z38" s="10">
        <v>72.95</v>
      </c>
      <c r="AA38" s="10">
        <v>71.86</v>
      </c>
      <c r="AB38" s="10">
        <v>72.56</v>
      </c>
      <c r="AC38" s="95">
        <v>7086800</v>
      </c>
      <c r="AD38" s="10">
        <v>72.08</v>
      </c>
      <c r="AE38" s="2">
        <f t="shared" si="0"/>
        <v>1.0900000000000034</v>
      </c>
      <c r="AF38" s="138">
        <f t="shared" si="1"/>
        <v>6.2822839592349133E-3</v>
      </c>
    </row>
    <row r="39" spans="1:32" x14ac:dyDescent="0.25">
      <c r="X39" s="133">
        <v>42556</v>
      </c>
      <c r="Y39" s="10">
        <v>71.88</v>
      </c>
      <c r="Z39" s="10">
        <v>72.66</v>
      </c>
      <c r="AA39" s="10">
        <v>71.73</v>
      </c>
      <c r="AB39" s="10">
        <v>72.11</v>
      </c>
      <c r="AC39" s="95">
        <v>4806000</v>
      </c>
      <c r="AD39" s="10">
        <v>71.63</v>
      </c>
      <c r="AE39" s="2">
        <f t="shared" si="0"/>
        <v>0.92999999999999261</v>
      </c>
      <c r="AF39" s="138">
        <f t="shared" si="1"/>
        <v>2.378953260565364E-3</v>
      </c>
    </row>
    <row r="40" spans="1:32" x14ac:dyDescent="0.25">
      <c r="X40" s="133">
        <v>42552</v>
      </c>
      <c r="Y40" s="10">
        <v>71.19</v>
      </c>
      <c r="Z40" s="10">
        <v>72.19</v>
      </c>
      <c r="AA40" s="10">
        <v>70.86</v>
      </c>
      <c r="AB40" s="10">
        <v>71.94</v>
      </c>
      <c r="AC40" s="95">
        <v>6075900</v>
      </c>
      <c r="AD40" s="10">
        <v>71.459999999999994</v>
      </c>
      <c r="AE40" s="2">
        <f t="shared" si="0"/>
        <v>1.3299999999999983</v>
      </c>
      <c r="AF40" s="138">
        <f t="shared" si="1"/>
        <v>8.6097388849681877E-3</v>
      </c>
    </row>
    <row r="41" spans="1:32" ht="20.25" thickBot="1" x14ac:dyDescent="0.35">
      <c r="O41" s="535" t="s">
        <v>78</v>
      </c>
      <c r="P41" s="535"/>
      <c r="X41" s="133">
        <v>42551</v>
      </c>
      <c r="Y41" s="10">
        <v>68</v>
      </c>
      <c r="Z41" s="10">
        <v>71.78</v>
      </c>
      <c r="AA41" s="10">
        <v>68</v>
      </c>
      <c r="AB41" s="10">
        <v>71.319999999999993</v>
      </c>
      <c r="AC41" s="95">
        <v>12380000</v>
      </c>
      <c r="AD41" s="10">
        <v>70.849999999999994</v>
      </c>
      <c r="AE41" s="2">
        <f t="shared" si="0"/>
        <v>3.7800000000000011</v>
      </c>
      <c r="AF41" s="138">
        <f t="shared" si="1"/>
        <v>5.1031004302032335E-2</v>
      </c>
    </row>
    <row r="42" spans="1:32" ht="21" thickTop="1" thickBot="1" x14ac:dyDescent="0.35">
      <c r="O42" s="83">
        <v>1.1000000000000001</v>
      </c>
      <c r="P42" s="83">
        <f>O42*$Q$4</f>
        <v>78.100000000000009</v>
      </c>
      <c r="Q42" s="2"/>
      <c r="T42" s="91"/>
      <c r="X42" s="133">
        <v>42550</v>
      </c>
      <c r="Y42" s="10">
        <v>66.17</v>
      </c>
      <c r="Z42" s="10">
        <v>67.91</v>
      </c>
      <c r="AA42" s="10">
        <v>65.64</v>
      </c>
      <c r="AB42" s="10">
        <v>67.86</v>
      </c>
      <c r="AC42" s="95">
        <v>7759700</v>
      </c>
      <c r="AD42" s="10">
        <v>67.41</v>
      </c>
      <c r="AE42" s="2">
        <f t="shared" si="0"/>
        <v>2.269999999999996</v>
      </c>
      <c r="AF42" s="138">
        <f t="shared" si="1"/>
        <v>3.1996325780771606E-2</v>
      </c>
    </row>
    <row r="43" spans="1:32" ht="15.75" thickTop="1" x14ac:dyDescent="0.25">
      <c r="O43" s="83">
        <v>1.0900000000000001</v>
      </c>
      <c r="P43" s="83">
        <f t="shared" ref="P43:P62" si="2">O43*$Q$4</f>
        <v>77.39</v>
      </c>
      <c r="Q43" s="2"/>
      <c r="T43" s="161" t="s">
        <v>98</v>
      </c>
      <c r="U43" s="161">
        <v>71.099999999999994</v>
      </c>
      <c r="X43" s="133">
        <v>42549</v>
      </c>
      <c r="Y43" s="10">
        <v>66.25</v>
      </c>
      <c r="Z43" s="10">
        <v>66.25</v>
      </c>
      <c r="AA43" s="10">
        <v>65.16</v>
      </c>
      <c r="AB43" s="10">
        <v>65.760000000000005</v>
      </c>
      <c r="AC43" s="95">
        <v>4961400</v>
      </c>
      <c r="AD43" s="10">
        <v>65.319999999999993</v>
      </c>
      <c r="AE43" s="2">
        <f t="shared" si="0"/>
        <v>1.0900000000000034</v>
      </c>
      <c r="AF43" s="138">
        <f t="shared" si="1"/>
        <v>-6.5399239543727505E-3</v>
      </c>
    </row>
    <row r="44" spans="1:32" x14ac:dyDescent="0.25">
      <c r="O44" s="83">
        <v>1.08</v>
      </c>
      <c r="P44" s="83">
        <f t="shared" si="2"/>
        <v>76.680000000000007</v>
      </c>
      <c r="Q44" s="2"/>
      <c r="T44" s="10" t="s">
        <v>99</v>
      </c>
      <c r="U44" s="10">
        <v>71</v>
      </c>
      <c r="X44" s="133">
        <v>42548</v>
      </c>
      <c r="Y44" s="10">
        <v>65.83</v>
      </c>
      <c r="Z44" s="10">
        <v>66.400000000000006</v>
      </c>
      <c r="AA44" s="10">
        <v>65.63</v>
      </c>
      <c r="AB44" s="10">
        <v>66.19</v>
      </c>
      <c r="AC44" s="95">
        <v>4252300</v>
      </c>
      <c r="AD44" s="10">
        <v>65.75</v>
      </c>
      <c r="AE44" s="2">
        <f t="shared" si="0"/>
        <v>0.77000000000001023</v>
      </c>
      <c r="AF44" s="138">
        <f t="shared" si="1"/>
        <v>7.6103500761037779E-4</v>
      </c>
    </row>
    <row r="45" spans="1:32" x14ac:dyDescent="0.25">
      <c r="O45" s="83">
        <v>1.07</v>
      </c>
      <c r="P45" s="83">
        <f t="shared" si="2"/>
        <v>75.97</v>
      </c>
      <c r="Q45" s="2"/>
      <c r="T45" s="10" t="s">
        <v>100</v>
      </c>
      <c r="U45" s="10" t="s">
        <v>578</v>
      </c>
      <c r="X45" s="133">
        <v>42545</v>
      </c>
      <c r="Y45" s="10">
        <v>65.66</v>
      </c>
      <c r="Z45" s="10">
        <v>66.849999999999994</v>
      </c>
      <c r="AA45" s="10">
        <v>65.41</v>
      </c>
      <c r="AB45" s="10">
        <v>66.14</v>
      </c>
      <c r="AC45" s="95">
        <v>4836000</v>
      </c>
      <c r="AD45" s="10">
        <v>65.7</v>
      </c>
      <c r="AE45" s="2">
        <f t="shared" si="0"/>
        <v>1.4399999999999977</v>
      </c>
      <c r="AF45" s="138">
        <f t="shared" si="1"/>
        <v>-9.4979647218452756E-3</v>
      </c>
    </row>
    <row r="46" spans="1:32" x14ac:dyDescent="0.25">
      <c r="O46" s="83">
        <v>1.06</v>
      </c>
      <c r="P46" s="83">
        <f t="shared" si="2"/>
        <v>75.260000000000005</v>
      </c>
      <c r="Q46" s="2"/>
      <c r="T46" s="10" t="s">
        <v>101</v>
      </c>
      <c r="U46" s="10" t="s">
        <v>579</v>
      </c>
      <c r="X46" s="133">
        <v>42544</v>
      </c>
      <c r="Y46" s="10">
        <v>66.75</v>
      </c>
      <c r="Z46" s="10">
        <v>66.88</v>
      </c>
      <c r="AA46" s="10">
        <v>66.260000000000005</v>
      </c>
      <c r="AB46" s="10">
        <v>66.77</v>
      </c>
      <c r="AC46" s="95">
        <v>2107800</v>
      </c>
      <c r="AD46" s="10">
        <v>66.33</v>
      </c>
      <c r="AE46" s="2">
        <f t="shared" si="0"/>
        <v>0.61999999999999034</v>
      </c>
      <c r="AF46" s="138">
        <f t="shared" si="1"/>
        <v>5.6094602789569237E-3</v>
      </c>
    </row>
    <row r="47" spans="1:32" x14ac:dyDescent="0.25">
      <c r="O47" s="83">
        <v>1.05</v>
      </c>
      <c r="P47" s="83">
        <f t="shared" si="2"/>
        <v>74.55</v>
      </c>
      <c r="Q47" s="2"/>
      <c r="T47" s="10" t="s">
        <v>102</v>
      </c>
      <c r="U47" s="10">
        <v>69.33</v>
      </c>
      <c r="X47" s="133">
        <v>42543</v>
      </c>
      <c r="Y47" s="10">
        <v>66.59</v>
      </c>
      <c r="Z47" s="10">
        <v>66.790000000000006</v>
      </c>
      <c r="AA47" s="10">
        <v>66.2</v>
      </c>
      <c r="AB47" s="10">
        <v>66.400000000000006</v>
      </c>
      <c r="AC47" s="95">
        <v>2630200</v>
      </c>
      <c r="AD47" s="10">
        <v>65.959999999999994</v>
      </c>
      <c r="AE47" s="2">
        <f t="shared" si="0"/>
        <v>0.59000000000000341</v>
      </c>
      <c r="AF47" s="138">
        <f t="shared" si="1"/>
        <v>-1.815980629540026E-3</v>
      </c>
    </row>
    <row r="48" spans="1:32" x14ac:dyDescent="0.25">
      <c r="O48" s="83">
        <v>1.04</v>
      </c>
      <c r="P48" s="83">
        <f t="shared" si="2"/>
        <v>73.84</v>
      </c>
      <c r="Q48" s="2"/>
      <c r="T48" s="10" t="s">
        <v>103</v>
      </c>
      <c r="U48" s="10">
        <v>0.61493200000000003</v>
      </c>
      <c r="X48" s="133">
        <v>42542</v>
      </c>
      <c r="Y48" s="10">
        <v>66.069999999999993</v>
      </c>
      <c r="Z48" s="10">
        <v>66.66</v>
      </c>
      <c r="AA48" s="10">
        <v>65.989999999999995</v>
      </c>
      <c r="AB48" s="10">
        <v>66.52</v>
      </c>
      <c r="AC48" s="95">
        <v>3132800</v>
      </c>
      <c r="AD48" s="10">
        <v>66.08</v>
      </c>
      <c r="AE48" s="2">
        <f t="shared" si="0"/>
        <v>0.67000000000000171</v>
      </c>
      <c r="AF48" s="138">
        <f t="shared" si="1"/>
        <v>9.7799511002445438E-3</v>
      </c>
    </row>
    <row r="49" spans="15:32" x14ac:dyDescent="0.25">
      <c r="O49" s="83">
        <v>1.03</v>
      </c>
      <c r="P49" s="83">
        <f t="shared" si="2"/>
        <v>73.13</v>
      </c>
      <c r="Q49" s="2"/>
      <c r="T49" s="10" t="s">
        <v>123</v>
      </c>
      <c r="U49" s="10" t="s">
        <v>278</v>
      </c>
      <c r="X49" s="133">
        <v>42541</v>
      </c>
      <c r="Y49" s="10">
        <v>65.97</v>
      </c>
      <c r="Z49" s="10">
        <v>66.41</v>
      </c>
      <c r="AA49" s="10">
        <v>65.87</v>
      </c>
      <c r="AB49" s="10">
        <v>65.88</v>
      </c>
      <c r="AC49" s="95">
        <v>2321600</v>
      </c>
      <c r="AD49" s="10">
        <v>65.44</v>
      </c>
      <c r="AE49" s="2">
        <f t="shared" si="0"/>
        <v>0.53999999999999204</v>
      </c>
      <c r="AF49" s="138">
        <f t="shared" si="1"/>
        <v>1.0708275967568071E-3</v>
      </c>
    </row>
    <row r="50" spans="15:32" x14ac:dyDescent="0.25">
      <c r="O50" s="83">
        <v>1.02</v>
      </c>
      <c r="P50" s="83">
        <f t="shared" si="2"/>
        <v>72.42</v>
      </c>
      <c r="Q50" s="2"/>
      <c r="T50" s="10"/>
      <c r="U50" s="10"/>
      <c r="X50" s="133">
        <v>42538</v>
      </c>
      <c r="Y50" s="10">
        <v>65.63</v>
      </c>
      <c r="Z50" s="10">
        <v>65.819999999999993</v>
      </c>
      <c r="AA50" s="10">
        <v>65.09</v>
      </c>
      <c r="AB50" s="10">
        <v>65.81</v>
      </c>
      <c r="AC50" s="95">
        <v>3331300</v>
      </c>
      <c r="AD50" s="10">
        <v>65.37</v>
      </c>
      <c r="AE50" s="2">
        <f t="shared" si="0"/>
        <v>0.72999999999998977</v>
      </c>
      <c r="AF50" s="138">
        <f t="shared" si="1"/>
        <v>4.5913682277309853E-4</v>
      </c>
    </row>
    <row r="51" spans="15:32" x14ac:dyDescent="0.25">
      <c r="O51" s="83">
        <v>1.01</v>
      </c>
      <c r="P51" s="83">
        <f t="shared" si="2"/>
        <v>71.709999999999994</v>
      </c>
      <c r="Q51" s="2"/>
      <c r="T51" s="10" t="s">
        <v>105</v>
      </c>
      <c r="U51" s="10" t="s">
        <v>580</v>
      </c>
      <c r="X51" s="133">
        <v>42537</v>
      </c>
      <c r="Y51" s="10">
        <v>64.84</v>
      </c>
      <c r="Z51" s="10">
        <v>65.790000000000006</v>
      </c>
      <c r="AA51" s="10">
        <v>64.77</v>
      </c>
      <c r="AB51" s="10">
        <v>65.78</v>
      </c>
      <c r="AC51" s="95">
        <v>2147100</v>
      </c>
      <c r="AD51" s="10">
        <v>65.34</v>
      </c>
      <c r="AE51" s="2">
        <f t="shared" si="0"/>
        <v>1.0200000000000102</v>
      </c>
      <c r="AF51" s="138">
        <f t="shared" si="1"/>
        <v>1.3651877133106005E-2</v>
      </c>
    </row>
    <row r="52" spans="15:32" x14ac:dyDescent="0.25">
      <c r="O52" s="83">
        <v>1</v>
      </c>
      <c r="P52" s="83">
        <f t="shared" si="2"/>
        <v>71</v>
      </c>
      <c r="Q52" s="2"/>
      <c r="T52" s="10" t="s">
        <v>106</v>
      </c>
      <c r="U52" s="10" t="s">
        <v>413</v>
      </c>
      <c r="X52" s="133">
        <v>42536</v>
      </c>
      <c r="Y52" s="10">
        <v>64.97</v>
      </c>
      <c r="Z52" s="10">
        <v>65.25</v>
      </c>
      <c r="AA52" s="10">
        <v>64.709999999999994</v>
      </c>
      <c r="AB52" s="10">
        <v>64.89</v>
      </c>
      <c r="AC52" s="95">
        <v>2042400</v>
      </c>
      <c r="AD52" s="10">
        <v>64.459999999999994</v>
      </c>
      <c r="AE52" s="2">
        <f t="shared" si="0"/>
        <v>0.54000000000000625</v>
      </c>
      <c r="AF52" s="138">
        <f t="shared" si="1"/>
        <v>-2.3216220399320253E-3</v>
      </c>
    </row>
    <row r="53" spans="15:32" x14ac:dyDescent="0.25">
      <c r="O53" s="83">
        <v>0.99</v>
      </c>
      <c r="P53" s="83">
        <f t="shared" si="2"/>
        <v>70.290000000000006</v>
      </c>
      <c r="Q53" s="2"/>
      <c r="T53" s="95" t="s">
        <v>107</v>
      </c>
      <c r="U53" s="95">
        <v>2494700</v>
      </c>
      <c r="X53" s="133">
        <v>42535</v>
      </c>
      <c r="Y53" s="10">
        <v>64.64</v>
      </c>
      <c r="Z53" s="10">
        <v>65.13</v>
      </c>
      <c r="AA53" s="10">
        <v>64.290000000000006</v>
      </c>
      <c r="AB53" s="10">
        <v>65.040000000000006</v>
      </c>
      <c r="AC53" s="95">
        <v>2671400</v>
      </c>
      <c r="AD53" s="10">
        <v>64.61</v>
      </c>
      <c r="AE53" s="2">
        <f t="shared" si="0"/>
        <v>0.8399999999999892</v>
      </c>
      <c r="AF53" s="138">
        <f t="shared" si="1"/>
        <v>2.9493945979508496E-3</v>
      </c>
    </row>
    <row r="54" spans="15:32" x14ac:dyDescent="0.25">
      <c r="O54" s="83">
        <v>0.98</v>
      </c>
      <c r="P54" s="83">
        <f t="shared" si="2"/>
        <v>69.58</v>
      </c>
      <c r="Q54" s="2"/>
      <c r="T54" s="95" t="s">
        <v>110</v>
      </c>
      <c r="U54" s="95">
        <v>3211230</v>
      </c>
      <c r="X54" s="133">
        <v>42534</v>
      </c>
      <c r="Y54" s="10">
        <v>65.02</v>
      </c>
      <c r="Z54" s="10">
        <v>65.489999999999995</v>
      </c>
      <c r="AA54" s="10">
        <v>64.73</v>
      </c>
      <c r="AB54" s="10">
        <v>64.849999999999994</v>
      </c>
      <c r="AC54" s="95">
        <v>2407800</v>
      </c>
      <c r="AD54" s="10">
        <v>64.42</v>
      </c>
      <c r="AE54" s="2">
        <f t="shared" si="0"/>
        <v>0.75999999999999091</v>
      </c>
      <c r="AF54" s="138">
        <f t="shared" si="1"/>
        <v>-8.6180363188673725E-3</v>
      </c>
    </row>
    <row r="55" spans="15:32" x14ac:dyDescent="0.25">
      <c r="O55" s="83">
        <v>0.97</v>
      </c>
      <c r="P55" s="83">
        <f t="shared" si="2"/>
        <v>68.87</v>
      </c>
      <c r="T55" s="10" t="s">
        <v>108</v>
      </c>
      <c r="U55" s="10" t="s">
        <v>581</v>
      </c>
      <c r="X55" s="133">
        <v>42531</v>
      </c>
      <c r="Y55" s="10">
        <v>65.06</v>
      </c>
      <c r="Z55" s="10">
        <v>65.5</v>
      </c>
      <c r="AA55" s="10">
        <v>65.010000000000005</v>
      </c>
      <c r="AB55" s="10">
        <v>65.41</v>
      </c>
      <c r="AC55" s="95">
        <v>2677100</v>
      </c>
      <c r="AD55" s="10">
        <v>64.98</v>
      </c>
      <c r="AE55" s="2">
        <f t="shared" si="0"/>
        <v>0.48999999999999488</v>
      </c>
      <c r="AF55" s="138">
        <f t="shared" si="1"/>
        <v>1.0784162686798826E-3</v>
      </c>
    </row>
    <row r="56" spans="15:32" x14ac:dyDescent="0.25">
      <c r="O56" s="83">
        <v>0.96</v>
      </c>
      <c r="P56" s="83">
        <f t="shared" si="2"/>
        <v>68.16</v>
      </c>
      <c r="T56" s="10" t="s">
        <v>111</v>
      </c>
      <c r="U56" s="10">
        <v>25.63</v>
      </c>
      <c r="X56" s="133">
        <v>42530</v>
      </c>
      <c r="Y56" s="10">
        <v>64.430000000000007</v>
      </c>
      <c r="Z56" s="10">
        <v>65.39</v>
      </c>
      <c r="AA56" s="10">
        <v>64.349999999999994</v>
      </c>
      <c r="AB56" s="10">
        <v>65.34</v>
      </c>
      <c r="AC56" s="95">
        <v>2460600</v>
      </c>
      <c r="AD56" s="10">
        <v>64.91</v>
      </c>
      <c r="AE56" s="2">
        <f t="shared" si="0"/>
        <v>1.0400000000000063</v>
      </c>
      <c r="AF56" s="138">
        <f t="shared" si="1"/>
        <v>1.4377246444756908E-2</v>
      </c>
    </row>
    <row r="57" spans="15:32" x14ac:dyDescent="0.25">
      <c r="O57" s="83">
        <v>0.95</v>
      </c>
      <c r="P57" s="83">
        <f t="shared" si="2"/>
        <v>67.45</v>
      </c>
      <c r="T57" s="10" t="s">
        <v>112</v>
      </c>
      <c r="U57" s="10">
        <v>2.77</v>
      </c>
      <c r="X57" s="133">
        <v>42529</v>
      </c>
      <c r="Y57" s="10">
        <v>64</v>
      </c>
      <c r="Z57" s="10">
        <v>64.489999999999995</v>
      </c>
      <c r="AA57" s="10">
        <v>63.83</v>
      </c>
      <c r="AB57" s="10">
        <v>64.42</v>
      </c>
      <c r="AC57" s="95">
        <v>2323200</v>
      </c>
      <c r="AD57" s="10">
        <v>63.99</v>
      </c>
      <c r="AE57" s="2">
        <f t="shared" si="0"/>
        <v>0.65999999999999659</v>
      </c>
      <c r="AF57" s="138">
        <f t="shared" si="1"/>
        <v>6.1320754716980286E-3</v>
      </c>
    </row>
    <row r="58" spans="15:32" x14ac:dyDescent="0.25">
      <c r="O58" s="83">
        <v>0.94</v>
      </c>
      <c r="P58" s="83">
        <f t="shared" si="2"/>
        <v>66.739999999999995</v>
      </c>
      <c r="T58" s="10" t="s">
        <v>109</v>
      </c>
      <c r="U58" s="10" t="s">
        <v>414</v>
      </c>
      <c r="X58" s="133">
        <v>42528</v>
      </c>
      <c r="Y58" s="10">
        <v>63.68</v>
      </c>
      <c r="Z58" s="10">
        <v>64.17</v>
      </c>
      <c r="AA58" s="10">
        <v>63.63</v>
      </c>
      <c r="AB58" s="10">
        <v>64.02</v>
      </c>
      <c r="AC58" s="95">
        <v>2000500</v>
      </c>
      <c r="AD58" s="10">
        <v>63.6</v>
      </c>
      <c r="AE58" s="2">
        <f t="shared" si="0"/>
        <v>0.53999999999999915</v>
      </c>
      <c r="AF58" s="138">
        <f t="shared" si="1"/>
        <v>6.966434452184922E-3</v>
      </c>
    </row>
    <row r="59" spans="15:32" x14ac:dyDescent="0.25">
      <c r="O59" s="83">
        <v>0.93</v>
      </c>
      <c r="P59" s="83">
        <f t="shared" si="2"/>
        <v>66.03</v>
      </c>
      <c r="X59" s="133">
        <v>42527</v>
      </c>
      <c r="Y59" s="10">
        <v>63.66</v>
      </c>
      <c r="Z59" s="10">
        <v>63.89</v>
      </c>
      <c r="AA59" s="10">
        <v>63.27</v>
      </c>
      <c r="AB59" s="10">
        <v>63.58</v>
      </c>
      <c r="AC59" s="95">
        <v>1649200</v>
      </c>
      <c r="AD59" s="10">
        <v>63.16</v>
      </c>
      <c r="AE59" s="2">
        <f t="shared" si="0"/>
        <v>0.61999999999999744</v>
      </c>
      <c r="AF59" s="138">
        <f t="shared" si="1"/>
        <v>-1.7385806859492314E-3</v>
      </c>
    </row>
    <row r="60" spans="15:32" x14ac:dyDescent="0.25">
      <c r="O60" s="83">
        <v>0.92</v>
      </c>
      <c r="P60" s="83">
        <f t="shared" si="2"/>
        <v>65.320000000000007</v>
      </c>
      <c r="X60" s="133">
        <v>42524</v>
      </c>
      <c r="Y60" s="10">
        <v>63.2</v>
      </c>
      <c r="Z60" s="10">
        <v>63.84</v>
      </c>
      <c r="AA60" s="10">
        <v>63.19</v>
      </c>
      <c r="AB60" s="10">
        <v>63.69</v>
      </c>
      <c r="AC60" s="95">
        <v>1979900</v>
      </c>
      <c r="AD60" s="10">
        <v>63.27</v>
      </c>
      <c r="AE60" s="2">
        <f t="shared" si="0"/>
        <v>0.65000000000000568</v>
      </c>
      <c r="AF60" s="138">
        <f t="shared" si="1"/>
        <v>7.3236745741123155E-3</v>
      </c>
    </row>
    <row r="61" spans="15:32" x14ac:dyDescent="0.25">
      <c r="O61" s="83">
        <v>0.91</v>
      </c>
      <c r="P61" s="83">
        <f t="shared" si="2"/>
        <v>64.61</v>
      </c>
      <c r="X61" s="133">
        <v>42523</v>
      </c>
      <c r="Y61" s="10">
        <v>63.07</v>
      </c>
      <c r="Z61" s="10">
        <v>63.26</v>
      </c>
      <c r="AA61" s="10">
        <v>62.84</v>
      </c>
      <c r="AB61" s="10">
        <v>63.23</v>
      </c>
      <c r="AC61" s="95">
        <v>1593600</v>
      </c>
      <c r="AD61" s="10">
        <v>62.81</v>
      </c>
      <c r="AE61" s="2">
        <f t="shared" si="0"/>
        <v>0.4199999999999946</v>
      </c>
      <c r="AF61" s="138">
        <f t="shared" si="1"/>
        <v>9.5617529880476226E-4</v>
      </c>
    </row>
    <row r="62" spans="15:32" x14ac:dyDescent="0.25">
      <c r="O62" s="83">
        <v>0.9</v>
      </c>
      <c r="P62" s="83">
        <f t="shared" si="2"/>
        <v>63.9</v>
      </c>
      <c r="X62" s="133">
        <v>42522</v>
      </c>
      <c r="Y62" s="10">
        <v>62.77</v>
      </c>
      <c r="Z62" s="10">
        <v>63.33</v>
      </c>
      <c r="AA62" s="10">
        <v>62.65</v>
      </c>
      <c r="AB62" s="10">
        <v>63.17</v>
      </c>
      <c r="AC62" s="95">
        <v>2538500</v>
      </c>
      <c r="AD62" s="10">
        <v>62.75</v>
      </c>
      <c r="AE62" s="2">
        <f t="shared" si="0"/>
        <v>0.67999999999999972</v>
      </c>
      <c r="AF62" s="138">
        <f t="shared" si="1"/>
        <v>6.2540089801155219E-3</v>
      </c>
    </row>
    <row r="63" spans="15:32" x14ac:dyDescent="0.25">
      <c r="X63" s="133">
        <v>42521</v>
      </c>
      <c r="Y63" s="10">
        <v>62.96</v>
      </c>
      <c r="Z63" s="10">
        <v>63.35</v>
      </c>
      <c r="AA63" s="10">
        <v>62.55</v>
      </c>
      <c r="AB63" s="10">
        <v>62.78</v>
      </c>
      <c r="AC63" s="95">
        <v>3160700</v>
      </c>
      <c r="AD63" s="10">
        <v>62.36</v>
      </c>
      <c r="AE63" s="2">
        <f t="shared" si="0"/>
        <v>0.80000000000000426</v>
      </c>
      <c r="AF63" s="138">
        <f t="shared" si="1"/>
        <v>-1.4411529223379294E-3</v>
      </c>
    </row>
    <row r="64" spans="15:32" x14ac:dyDescent="0.25">
      <c r="X64" s="133">
        <v>42517</v>
      </c>
      <c r="Y64" s="10">
        <v>62.71</v>
      </c>
      <c r="Z64" s="10">
        <v>63.23</v>
      </c>
      <c r="AA64" s="10">
        <v>62.65</v>
      </c>
      <c r="AB64" s="10">
        <v>62.87</v>
      </c>
      <c r="AC64" s="95">
        <v>1634100</v>
      </c>
      <c r="AD64" s="10">
        <v>62.45</v>
      </c>
      <c r="AE64" s="2">
        <f t="shared" si="0"/>
        <v>0.57999999999999829</v>
      </c>
      <c r="AF64" s="138">
        <f t="shared" si="1"/>
        <v>0</v>
      </c>
    </row>
    <row r="65" spans="24:32" x14ac:dyDescent="0.25">
      <c r="X65" s="133">
        <v>42516</v>
      </c>
      <c r="Y65" s="10">
        <v>62.53</v>
      </c>
      <c r="Z65" s="10">
        <v>63.12</v>
      </c>
      <c r="AA65" s="10">
        <v>62.42</v>
      </c>
      <c r="AB65" s="10">
        <v>62.87</v>
      </c>
      <c r="AC65" s="95">
        <v>1776300</v>
      </c>
      <c r="AD65" s="10">
        <v>62.45</v>
      </c>
      <c r="AE65" s="2">
        <f t="shared" si="0"/>
        <v>0.69999999999999574</v>
      </c>
      <c r="AF65" s="138">
        <f t="shared" si="1"/>
        <v>8.0710250201776468E-3</v>
      </c>
    </row>
    <row r="66" spans="24:32" x14ac:dyDescent="0.25">
      <c r="X66" s="133">
        <v>42515</v>
      </c>
      <c r="Y66" s="10">
        <v>62.51</v>
      </c>
      <c r="Z66" s="10">
        <v>62.75</v>
      </c>
      <c r="AA66" s="10">
        <v>62.2</v>
      </c>
      <c r="AB66" s="10">
        <v>62.36</v>
      </c>
      <c r="AC66" s="95">
        <v>2631400</v>
      </c>
      <c r="AD66" s="10">
        <v>61.95</v>
      </c>
      <c r="AE66" s="2">
        <f t="shared" si="0"/>
        <v>0.54999999999999716</v>
      </c>
      <c r="AF66" s="138">
        <f t="shared" si="1"/>
        <v>-6.4526536538145329E-4</v>
      </c>
    </row>
    <row r="67" spans="24:32" x14ac:dyDescent="0.25">
      <c r="X67" s="133">
        <v>42514</v>
      </c>
      <c r="Y67" s="10">
        <v>61.69</v>
      </c>
      <c r="Z67" s="10">
        <v>62.72</v>
      </c>
      <c r="AA67" s="10">
        <v>61.6</v>
      </c>
      <c r="AB67" s="10">
        <v>62.4</v>
      </c>
      <c r="AC67" s="95">
        <v>4197400</v>
      </c>
      <c r="AD67" s="10">
        <v>61.99</v>
      </c>
      <c r="AE67" s="2">
        <f>Z67-AA67</f>
        <v>1.1199999999999974</v>
      </c>
      <c r="AF67" s="138">
        <f>AD67/AD68-1</f>
        <v>-4.8161823727724817E-3</v>
      </c>
    </row>
    <row r="68" spans="24:32" x14ac:dyDescent="0.25">
      <c r="X68" s="133">
        <v>42513</v>
      </c>
      <c r="Y68" s="10">
        <v>62.55</v>
      </c>
      <c r="Z68" s="10">
        <v>63.03</v>
      </c>
      <c r="AA68" s="10">
        <v>62.49</v>
      </c>
      <c r="AB68" s="10">
        <v>62.7</v>
      </c>
      <c r="AC68" s="95">
        <v>2127200</v>
      </c>
      <c r="AD68" s="10">
        <v>62.29</v>
      </c>
      <c r="AE68" s="2">
        <f>Z68-AA68</f>
        <v>0.53999999999999915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42606</v>
      </c>
      <c r="X2" s="10">
        <v>31.84</v>
      </c>
      <c r="Y2" s="10">
        <v>32.090000000000003</v>
      </c>
      <c r="Z2" s="10">
        <v>31.76</v>
      </c>
      <c r="AA2" s="10">
        <v>31.78</v>
      </c>
      <c r="AB2" s="95">
        <v>8162600</v>
      </c>
      <c r="AC2" s="10">
        <v>31.78</v>
      </c>
      <c r="AD2" s="2">
        <f>Y2-Z2</f>
        <v>0.33000000000000185</v>
      </c>
      <c r="AE2" s="138">
        <f>AC2/AC3-1</f>
        <v>-3.7617554858933033E-3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31.78</v>
      </c>
      <c r="W3" s="133">
        <v>42605</v>
      </c>
      <c r="X3" s="10">
        <v>31.97</v>
      </c>
      <c r="Y3" s="10">
        <v>32.049999999999997</v>
      </c>
      <c r="Z3" s="10">
        <v>31.87</v>
      </c>
      <c r="AA3" s="10">
        <v>31.9</v>
      </c>
      <c r="AB3" s="95">
        <v>10961100</v>
      </c>
      <c r="AC3" s="10">
        <v>31.9</v>
      </c>
      <c r="AD3" s="2">
        <f t="shared" ref="AD3:AD66" si="0">Y3-Z3</f>
        <v>0.17999999999999616</v>
      </c>
      <c r="AE3" s="138">
        <f t="shared" ref="AE3:AE66" si="1">AC3/AC4-1</f>
        <v>9.4132412927505626E-4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31.78</v>
      </c>
      <c r="W4" s="133">
        <v>42604</v>
      </c>
      <c r="X4" s="10">
        <v>31.79</v>
      </c>
      <c r="Y4" s="10">
        <v>31.95</v>
      </c>
      <c r="Z4" s="10">
        <v>31.7</v>
      </c>
      <c r="AA4" s="10">
        <v>31.87</v>
      </c>
      <c r="AB4" s="95">
        <v>8306000</v>
      </c>
      <c r="AC4" s="10">
        <v>31.87</v>
      </c>
      <c r="AD4" s="2">
        <f t="shared" si="0"/>
        <v>0.25</v>
      </c>
      <c r="AE4" s="138">
        <f t="shared" si="1"/>
        <v>1.2566760917374076E-3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42601</v>
      </c>
      <c r="X5" s="10">
        <v>31.48</v>
      </c>
      <c r="Y5" s="10">
        <v>31.89</v>
      </c>
      <c r="Z5" s="10">
        <v>31.4</v>
      </c>
      <c r="AA5" s="10">
        <v>31.83</v>
      </c>
      <c r="AB5" s="95">
        <v>8809700</v>
      </c>
      <c r="AC5" s="10">
        <v>31.83</v>
      </c>
      <c r="AD5" s="2">
        <f t="shared" si="0"/>
        <v>0.49000000000000199</v>
      </c>
      <c r="AE5" s="138">
        <f t="shared" si="1"/>
        <v>8.8748019017432789E-3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42600</v>
      </c>
      <c r="X6" s="10">
        <v>31.8</v>
      </c>
      <c r="Y6" s="10">
        <v>31.86</v>
      </c>
      <c r="Z6" s="10">
        <v>31.48</v>
      </c>
      <c r="AA6" s="10">
        <v>31.55</v>
      </c>
      <c r="AB6" s="95">
        <v>14089900</v>
      </c>
      <c r="AC6" s="10">
        <v>31.55</v>
      </c>
      <c r="AD6" s="2">
        <f t="shared" si="0"/>
        <v>0.37999999999999901</v>
      </c>
      <c r="AE6" s="138">
        <f t="shared" si="1"/>
        <v>-9.4191522762951951E-3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42599</v>
      </c>
      <c r="X7" s="10">
        <v>31.71</v>
      </c>
      <c r="Y7" s="10">
        <v>31.88</v>
      </c>
      <c r="Z7" s="10">
        <v>31.55</v>
      </c>
      <c r="AA7" s="10">
        <v>31.85</v>
      </c>
      <c r="AB7" s="95">
        <v>8392400</v>
      </c>
      <c r="AC7" s="10">
        <v>31.85</v>
      </c>
      <c r="AD7" s="2">
        <f t="shared" si="0"/>
        <v>0.32999999999999829</v>
      </c>
      <c r="AE7" s="138">
        <f t="shared" si="1"/>
        <v>4.4150110375276164E-3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31.81</v>
      </c>
      <c r="Y8" s="10">
        <v>31.85</v>
      </c>
      <c r="Z8" s="10">
        <v>31.61</v>
      </c>
      <c r="AA8" s="10">
        <v>31.71</v>
      </c>
      <c r="AB8" s="95">
        <v>9888500</v>
      </c>
      <c r="AC8" s="10">
        <v>31.71</v>
      </c>
      <c r="AD8" s="2">
        <f t="shared" si="0"/>
        <v>0.24000000000000199</v>
      </c>
      <c r="AE8" s="138">
        <f t="shared" si="1"/>
        <v>-4.7080979284368496E-3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31.59</v>
      </c>
      <c r="Y9" s="10">
        <v>31.89</v>
      </c>
      <c r="Z9" s="10">
        <v>31.55</v>
      </c>
      <c r="AA9" s="10">
        <v>31.86</v>
      </c>
      <c r="AB9" s="95">
        <v>9345300</v>
      </c>
      <c r="AC9" s="10">
        <v>31.86</v>
      </c>
      <c r="AD9" s="2">
        <f t="shared" si="0"/>
        <v>0.33999999999999986</v>
      </c>
      <c r="AE9" s="138">
        <f t="shared" si="1"/>
        <v>9.1859360152042324E-3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M29</f>
        <v>36.819999999999709</v>
      </c>
      <c r="W10" s="133">
        <v>42594</v>
      </c>
      <c r="X10" s="10">
        <v>31.6</v>
      </c>
      <c r="Y10" s="10">
        <v>31.75</v>
      </c>
      <c r="Z10" s="10">
        <v>31.55</v>
      </c>
      <c r="AA10" s="10">
        <v>31.57</v>
      </c>
      <c r="AB10" s="95">
        <v>9843700</v>
      </c>
      <c r="AC10" s="10">
        <v>31.57</v>
      </c>
      <c r="AD10" s="2">
        <f t="shared" si="0"/>
        <v>0.19999999999999929</v>
      </c>
      <c r="AE10" s="138">
        <f t="shared" si="1"/>
        <v>-5.6692913385826271E-3</v>
      </c>
    </row>
    <row r="11" spans="1:31" x14ac:dyDescent="0.25">
      <c r="O11" s="11" t="s">
        <v>184</v>
      </c>
      <c r="P11" s="34"/>
      <c r="Q11" s="138">
        <f>VALUE(TRIM(CLEAN(MID(U58, FIND("(", U58)+1, 5))))</f>
        <v>4.7800000000000002E-2</v>
      </c>
      <c r="W11" s="133">
        <v>42593</v>
      </c>
      <c r="X11" s="10">
        <v>31.43</v>
      </c>
      <c r="Y11" s="10">
        <v>31.79</v>
      </c>
      <c r="Z11" s="10">
        <v>31.36</v>
      </c>
      <c r="AA11" s="10">
        <v>31.75</v>
      </c>
      <c r="AB11" s="95">
        <v>13210800</v>
      </c>
      <c r="AC11" s="10">
        <v>31.75</v>
      </c>
      <c r="AD11" s="2">
        <f t="shared" si="0"/>
        <v>0.42999999999999972</v>
      </c>
      <c r="AE11" s="138">
        <f t="shared" si="1"/>
        <v>1.6000000000000014E-2</v>
      </c>
    </row>
    <row r="12" spans="1:31" x14ac:dyDescent="0.25">
      <c r="W12" s="133">
        <v>42592</v>
      </c>
      <c r="X12" s="10">
        <v>31.03</v>
      </c>
      <c r="Y12" s="10">
        <v>31.27</v>
      </c>
      <c r="Z12" s="10">
        <v>30.96</v>
      </c>
      <c r="AA12" s="10">
        <v>31.25</v>
      </c>
      <c r="AB12" s="95">
        <v>10833700</v>
      </c>
      <c r="AC12" s="10">
        <v>31.25</v>
      </c>
      <c r="AD12" s="2">
        <f t="shared" si="0"/>
        <v>0.30999999999999872</v>
      </c>
      <c r="AE12" s="138">
        <f t="shared" si="1"/>
        <v>5.7933698101062525E-3</v>
      </c>
    </row>
    <row r="13" spans="1:31" x14ac:dyDescent="0.25">
      <c r="W13" s="133">
        <v>42591</v>
      </c>
      <c r="X13" s="10">
        <v>30.91</v>
      </c>
      <c r="Y13" s="10">
        <v>31.25</v>
      </c>
      <c r="Z13" s="10">
        <v>30.83</v>
      </c>
      <c r="AA13" s="10">
        <v>31.07</v>
      </c>
      <c r="AB13" s="95">
        <v>13691100</v>
      </c>
      <c r="AC13" s="10">
        <v>31.07</v>
      </c>
      <c r="AD13" s="2">
        <f t="shared" si="0"/>
        <v>0.42000000000000171</v>
      </c>
      <c r="AE13" s="138">
        <f t="shared" si="1"/>
        <v>6.1528497409326643E-3</v>
      </c>
    </row>
    <row r="14" spans="1:31" x14ac:dyDescent="0.25">
      <c r="W14" s="133">
        <v>42590</v>
      </c>
      <c r="X14" s="10">
        <v>30.92</v>
      </c>
      <c r="Y14" s="10">
        <v>31.06</v>
      </c>
      <c r="Z14" s="10">
        <v>30.8</v>
      </c>
      <c r="AA14" s="10">
        <v>30.88</v>
      </c>
      <c r="AB14" s="95">
        <v>10470900</v>
      </c>
      <c r="AC14" s="10">
        <v>30.88</v>
      </c>
      <c r="AD14" s="2">
        <f t="shared" si="0"/>
        <v>0.25999999999999801</v>
      </c>
      <c r="AE14" s="138">
        <f t="shared" si="1"/>
        <v>2.5974025974024872E-3</v>
      </c>
    </row>
    <row r="15" spans="1:31" x14ac:dyDescent="0.25">
      <c r="W15" s="133">
        <v>42587</v>
      </c>
      <c r="X15" s="10">
        <v>30.51</v>
      </c>
      <c r="Y15" s="10">
        <v>30.89</v>
      </c>
      <c r="Z15" s="10">
        <v>30.5</v>
      </c>
      <c r="AA15" s="10">
        <v>30.8</v>
      </c>
      <c r="AB15" s="95">
        <v>13135900</v>
      </c>
      <c r="AC15" s="10">
        <v>30.8</v>
      </c>
      <c r="AD15" s="2">
        <f t="shared" si="0"/>
        <v>0.39000000000000057</v>
      </c>
      <c r="AE15" s="138">
        <f t="shared" si="1"/>
        <v>1.5161502966380969E-2</v>
      </c>
    </row>
    <row r="16" spans="1:31" x14ac:dyDescent="0.25">
      <c r="W16" s="133">
        <v>42586</v>
      </c>
      <c r="X16" s="10">
        <v>30.24</v>
      </c>
      <c r="Y16" s="10">
        <v>30.53</v>
      </c>
      <c r="Z16" s="10">
        <v>30.23</v>
      </c>
      <c r="AA16" s="10">
        <v>30.34</v>
      </c>
      <c r="AB16" s="95">
        <v>8660900</v>
      </c>
      <c r="AC16" s="10">
        <v>30.34</v>
      </c>
      <c r="AD16" s="2">
        <f t="shared" si="0"/>
        <v>0.30000000000000071</v>
      </c>
      <c r="AE16" s="138">
        <f t="shared" si="1"/>
        <v>3.3068783068783691E-3</v>
      </c>
    </row>
    <row r="17" spans="1:31" x14ac:dyDescent="0.25">
      <c r="W17" s="133">
        <v>42585</v>
      </c>
      <c r="X17" s="10">
        <v>30</v>
      </c>
      <c r="Y17" s="10">
        <v>30.25</v>
      </c>
      <c r="Z17" s="10">
        <v>29.91</v>
      </c>
      <c r="AA17" s="10">
        <v>30.24</v>
      </c>
      <c r="AB17" s="95">
        <v>14504200</v>
      </c>
      <c r="AC17" s="10">
        <v>30.24</v>
      </c>
      <c r="AD17" s="2">
        <f t="shared" si="0"/>
        <v>0.33999999999999986</v>
      </c>
      <c r="AE17" s="138">
        <f t="shared" si="1"/>
        <v>1.0357500835282307E-2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42584</v>
      </c>
      <c r="X18" s="10">
        <v>31.03</v>
      </c>
      <c r="Y18" s="10">
        <v>31.08</v>
      </c>
      <c r="Z18" s="10">
        <v>29.82</v>
      </c>
      <c r="AA18" s="10">
        <v>29.93</v>
      </c>
      <c r="AB18" s="95">
        <v>24346900</v>
      </c>
      <c r="AC18" s="10">
        <v>29.93</v>
      </c>
      <c r="AD18" s="2">
        <f t="shared" si="0"/>
        <v>1.259999999999998</v>
      </c>
      <c r="AE18" s="138">
        <f t="shared" si="1"/>
        <v>-4.3769968051118213E-2</v>
      </c>
    </row>
    <row r="19" spans="1:31" x14ac:dyDescent="0.25">
      <c r="W19" s="133">
        <v>42583</v>
      </c>
      <c r="X19" s="10">
        <v>31.54</v>
      </c>
      <c r="Y19" s="10">
        <v>31.62</v>
      </c>
      <c r="Z19" s="10">
        <v>31.2</v>
      </c>
      <c r="AA19" s="10">
        <v>31.3</v>
      </c>
      <c r="AB19" s="95">
        <v>11190600</v>
      </c>
      <c r="AC19" s="10">
        <v>31.3</v>
      </c>
      <c r="AD19" s="2">
        <f t="shared" si="0"/>
        <v>0.42000000000000171</v>
      </c>
      <c r="AE19" s="138">
        <f t="shared" si="1"/>
        <v>-7.609384908053185E-3</v>
      </c>
    </row>
    <row r="20" spans="1:31" x14ac:dyDescent="0.25">
      <c r="W20" s="133">
        <v>42580</v>
      </c>
      <c r="X20" s="10">
        <v>30.79</v>
      </c>
      <c r="Y20" s="10">
        <v>31.55</v>
      </c>
      <c r="Z20" s="10">
        <v>30.78</v>
      </c>
      <c r="AA20" s="10">
        <v>31.54</v>
      </c>
      <c r="AB20" s="95">
        <v>16150500</v>
      </c>
      <c r="AC20" s="10">
        <v>31.54</v>
      </c>
      <c r="AD20" s="2">
        <f t="shared" si="0"/>
        <v>0.76999999999999957</v>
      </c>
      <c r="AE20" s="138">
        <f t="shared" si="1"/>
        <v>1.7747660535656795E-2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42579</v>
      </c>
      <c r="X21" s="10">
        <v>31.05</v>
      </c>
      <c r="Y21" s="10">
        <v>31.2</v>
      </c>
      <c r="Z21" s="10">
        <v>30.65</v>
      </c>
      <c r="AA21" s="10">
        <v>30.99</v>
      </c>
      <c r="AB21" s="95">
        <v>20363900</v>
      </c>
      <c r="AC21" s="10">
        <v>30.99</v>
      </c>
      <c r="AD21" s="2">
        <f t="shared" si="0"/>
        <v>0.55000000000000071</v>
      </c>
      <c r="AE21" s="138">
        <f t="shared" si="1"/>
        <v>-3.216739537788893E-2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42578</v>
      </c>
      <c r="X22" s="10">
        <v>32.18</v>
      </c>
      <c r="Y22" s="10">
        <v>32.29</v>
      </c>
      <c r="Z22" s="10">
        <v>31.97</v>
      </c>
      <c r="AA22" s="10">
        <v>32.020000000000003</v>
      </c>
      <c r="AB22" s="95">
        <v>9159500</v>
      </c>
      <c r="AC22" s="10">
        <v>32.020000000000003</v>
      </c>
      <c r="AD22" s="2">
        <f t="shared" si="0"/>
        <v>0.32000000000000028</v>
      </c>
      <c r="AE22" s="138">
        <f t="shared" si="1"/>
        <v>-4.0435458786934886E-3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42577</v>
      </c>
      <c r="X23" s="10">
        <v>31.98</v>
      </c>
      <c r="Y23" s="10">
        <v>32.22</v>
      </c>
      <c r="Z23" s="10">
        <v>31.89</v>
      </c>
      <c r="AA23" s="10">
        <v>32.15</v>
      </c>
      <c r="AB23" s="95">
        <v>9462000</v>
      </c>
      <c r="AC23" s="10">
        <v>32.15</v>
      </c>
      <c r="AD23" s="2">
        <f t="shared" si="0"/>
        <v>0.32999999999999829</v>
      </c>
      <c r="AE23" s="138">
        <f t="shared" si="1"/>
        <v>2.8072364316904519E-3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42576</v>
      </c>
      <c r="X24" s="10">
        <v>32.19</v>
      </c>
      <c r="Y24" s="10">
        <v>32.36</v>
      </c>
      <c r="Z24" s="10">
        <v>31.96</v>
      </c>
      <c r="AA24" s="10">
        <v>32.06</v>
      </c>
      <c r="AB24" s="95">
        <v>11324900</v>
      </c>
      <c r="AC24" s="10">
        <v>32.06</v>
      </c>
      <c r="AD24" s="2">
        <f t="shared" si="0"/>
        <v>0.39999999999999858</v>
      </c>
      <c r="AE24" s="138">
        <f t="shared" si="1"/>
        <v>-3.1094527363182412E-3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42573</v>
      </c>
      <c r="X25" s="10">
        <v>32.1</v>
      </c>
      <c r="Y25" s="10">
        <v>32.24</v>
      </c>
      <c r="Z25" s="10">
        <v>31.72</v>
      </c>
      <c r="AA25" s="10">
        <v>32.159999999999997</v>
      </c>
      <c r="AB25" s="95">
        <v>13305400</v>
      </c>
      <c r="AC25" s="10">
        <v>32.159999999999997</v>
      </c>
      <c r="AD25" s="2">
        <f t="shared" si="0"/>
        <v>0.52000000000000313</v>
      </c>
      <c r="AE25" s="138">
        <f t="shared" si="1"/>
        <v>4.0586949734622291E-3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42572</v>
      </c>
      <c r="X26" s="10">
        <v>31.49</v>
      </c>
      <c r="Y26" s="10">
        <v>32.869999999999997</v>
      </c>
      <c r="Z26" s="10">
        <v>31.49</v>
      </c>
      <c r="AA26" s="10">
        <v>32.03</v>
      </c>
      <c r="AB26" s="95">
        <v>36218500</v>
      </c>
      <c r="AC26" s="10">
        <v>32.03</v>
      </c>
      <c r="AD26" s="2">
        <f t="shared" si="0"/>
        <v>1.379999999999999</v>
      </c>
      <c r="AE26" s="138">
        <f t="shared" si="1"/>
        <v>1.7148301047951842E-2</v>
      </c>
    </row>
    <row r="27" spans="1:31" x14ac:dyDescent="0.25">
      <c r="W27" s="133">
        <v>42571</v>
      </c>
      <c r="X27" s="10">
        <v>31.42</v>
      </c>
      <c r="Y27" s="10">
        <v>31.58</v>
      </c>
      <c r="Z27" s="10">
        <v>31.07</v>
      </c>
      <c r="AA27" s="10">
        <v>31.49</v>
      </c>
      <c r="AB27" s="95">
        <v>20923000</v>
      </c>
      <c r="AC27" s="10">
        <v>31.49</v>
      </c>
      <c r="AD27" s="2">
        <f t="shared" si="0"/>
        <v>0.50999999999999801</v>
      </c>
      <c r="AE27" s="138">
        <f t="shared" si="1"/>
        <v>7.6799999999999091E-3</v>
      </c>
    </row>
    <row r="28" spans="1:31" x14ac:dyDescent="0.25">
      <c r="W28" s="133">
        <v>42570</v>
      </c>
      <c r="X28" s="10">
        <v>30.7</v>
      </c>
      <c r="Y28" s="10">
        <v>31.27</v>
      </c>
      <c r="Z28" s="10">
        <v>30.7</v>
      </c>
      <c r="AA28" s="10">
        <v>31.25</v>
      </c>
      <c r="AB28" s="95">
        <v>17164100</v>
      </c>
      <c r="AC28" s="10">
        <v>31.25</v>
      </c>
      <c r="AD28" s="2">
        <f t="shared" si="0"/>
        <v>0.57000000000000028</v>
      </c>
      <c r="AE28" s="138">
        <f t="shared" si="1"/>
        <v>1.2309685779073432E-2</v>
      </c>
    </row>
    <row r="29" spans="1:31" x14ac:dyDescent="0.25">
      <c r="L29" t="s">
        <v>224</v>
      </c>
      <c r="M29" s="2">
        <f>M47+K47-F47</f>
        <v>36.819999999999709</v>
      </c>
      <c r="W29" s="133">
        <v>42569</v>
      </c>
      <c r="X29" s="10">
        <v>30.75</v>
      </c>
      <c r="Y29" s="10">
        <v>31.1</v>
      </c>
      <c r="Z29" s="10">
        <v>30.61</v>
      </c>
      <c r="AA29" s="10">
        <v>30.87</v>
      </c>
      <c r="AB29" s="95">
        <v>8732300</v>
      </c>
      <c r="AC29" s="10">
        <v>30.87</v>
      </c>
      <c r="AD29" s="2">
        <f t="shared" si="0"/>
        <v>0.49000000000000199</v>
      </c>
      <c r="AE29" s="138">
        <f t="shared" si="1"/>
        <v>3.2499187520311779E-3</v>
      </c>
    </row>
    <row r="30" spans="1:31" x14ac:dyDescent="0.25">
      <c r="A30" s="391" t="s">
        <v>1</v>
      </c>
      <c r="B30" s="391" t="s">
        <v>2</v>
      </c>
      <c r="C30" s="391" t="s">
        <v>4</v>
      </c>
      <c r="D30" s="393" t="s">
        <v>5</v>
      </c>
      <c r="E30" s="393"/>
      <c r="F30" s="393" t="s">
        <v>60</v>
      </c>
      <c r="G30" s="391" t="s">
        <v>3</v>
      </c>
      <c r="H30" s="391" t="s">
        <v>6</v>
      </c>
      <c r="I30" s="391" t="s">
        <v>7</v>
      </c>
      <c r="J30" s="391"/>
      <c r="K30" s="391" t="s">
        <v>61</v>
      </c>
      <c r="L30" s="391" t="s">
        <v>77</v>
      </c>
      <c r="M30" s="391" t="s">
        <v>38</v>
      </c>
      <c r="W30" s="133">
        <v>42566</v>
      </c>
      <c r="X30" s="10">
        <v>30.82</v>
      </c>
      <c r="Y30" s="10">
        <v>30.98</v>
      </c>
      <c r="Z30" s="10">
        <v>30.57</v>
      </c>
      <c r="AA30" s="10">
        <v>30.77</v>
      </c>
      <c r="AB30" s="95">
        <v>8429500</v>
      </c>
      <c r="AC30" s="10">
        <v>30.77</v>
      </c>
      <c r="AD30" s="2">
        <f t="shared" si="0"/>
        <v>0.41000000000000014</v>
      </c>
      <c r="AE30" s="138">
        <f t="shared" si="1"/>
        <v>3.2509752925879987E-4</v>
      </c>
    </row>
    <row r="31" spans="1:31" x14ac:dyDescent="0.25">
      <c r="A31" s="394" t="s">
        <v>56</v>
      </c>
      <c r="B31" s="551">
        <v>42220</v>
      </c>
      <c r="C31" s="385">
        <v>40</v>
      </c>
      <c r="D31" s="386">
        <v>31.78</v>
      </c>
      <c r="E31" s="386"/>
      <c r="F31" s="386">
        <f>C31*D31</f>
        <v>1271.2</v>
      </c>
      <c r="G31" s="384">
        <v>42235</v>
      </c>
      <c r="H31" s="385">
        <v>100</v>
      </c>
      <c r="I31" s="386">
        <v>31.5</v>
      </c>
      <c r="J31" s="385">
        <v>0.06</v>
      </c>
      <c r="K31" s="385">
        <f>H31*I31-J31</f>
        <v>3149.94</v>
      </c>
      <c r="L31" s="384">
        <v>42276</v>
      </c>
      <c r="M31" s="386">
        <v>14.4</v>
      </c>
      <c r="W31" s="133">
        <v>42565</v>
      </c>
      <c r="X31" s="10">
        <v>30.88</v>
      </c>
      <c r="Y31" s="10">
        <v>31.05</v>
      </c>
      <c r="Z31" s="10">
        <v>30.6</v>
      </c>
      <c r="AA31" s="10">
        <v>30.76</v>
      </c>
      <c r="AB31" s="95">
        <v>11306400</v>
      </c>
      <c r="AC31" s="10">
        <v>30.76</v>
      </c>
      <c r="AD31" s="2">
        <f t="shared" si="0"/>
        <v>0.44999999999999929</v>
      </c>
      <c r="AE31" s="138">
        <f t="shared" si="1"/>
        <v>4.2442050277506915E-3</v>
      </c>
    </row>
    <row r="32" spans="1:31" x14ac:dyDescent="0.25">
      <c r="A32" s="395" t="s">
        <v>71</v>
      </c>
      <c r="B32" s="551"/>
      <c r="C32" s="385">
        <v>60</v>
      </c>
      <c r="D32" s="386">
        <v>31.78</v>
      </c>
      <c r="E32" s="386"/>
      <c r="F32" s="386">
        <f>C32*D32</f>
        <v>1906.8000000000002</v>
      </c>
      <c r="G32" s="384">
        <v>42284</v>
      </c>
      <c r="H32" s="385">
        <v>40</v>
      </c>
      <c r="I32" s="385">
        <v>31.55</v>
      </c>
      <c r="J32" s="385">
        <v>0.02</v>
      </c>
      <c r="K32" s="385">
        <f>H32*I32-J32</f>
        <v>1261.98</v>
      </c>
      <c r="L32" s="385"/>
      <c r="M32" s="385"/>
      <c r="W32" s="133">
        <v>42564</v>
      </c>
      <c r="X32" s="10">
        <v>30.63</v>
      </c>
      <c r="Y32" s="10">
        <v>30.69</v>
      </c>
      <c r="Z32" s="10">
        <v>30.22</v>
      </c>
      <c r="AA32" s="10">
        <v>30.63</v>
      </c>
      <c r="AB32" s="95">
        <v>13303600</v>
      </c>
      <c r="AC32" s="10">
        <v>30.63</v>
      </c>
      <c r="AD32" s="2">
        <f t="shared" si="0"/>
        <v>0.47000000000000242</v>
      </c>
      <c r="AE32" s="138">
        <f t="shared" si="1"/>
        <v>9.8039215686274161E-4</v>
      </c>
    </row>
    <row r="33" spans="1:31" x14ac:dyDescent="0.25">
      <c r="A33" s="385"/>
      <c r="B33" s="384">
        <v>42221</v>
      </c>
      <c r="C33" s="385">
        <v>10</v>
      </c>
      <c r="D33" s="386">
        <v>31.45</v>
      </c>
      <c r="E33" s="386"/>
      <c r="F33" s="386">
        <f>C33*D33</f>
        <v>314.5</v>
      </c>
      <c r="G33" s="385"/>
      <c r="H33" s="385"/>
      <c r="I33" s="385"/>
      <c r="J33" s="385"/>
      <c r="K33" s="385"/>
      <c r="L33" s="385"/>
      <c r="M33" s="385"/>
      <c r="W33" s="133">
        <v>42563</v>
      </c>
      <c r="X33" s="10">
        <v>30.45</v>
      </c>
      <c r="Y33" s="10">
        <v>30.85</v>
      </c>
      <c r="Z33" s="10">
        <v>30.39</v>
      </c>
      <c r="AA33" s="10">
        <v>30.6</v>
      </c>
      <c r="AB33" s="95">
        <v>16786300</v>
      </c>
      <c r="AC33" s="10">
        <v>30.6</v>
      </c>
      <c r="AD33" s="2">
        <f t="shared" si="0"/>
        <v>0.46000000000000085</v>
      </c>
      <c r="AE33" s="138">
        <f t="shared" si="1"/>
        <v>1.5599070693660844E-2</v>
      </c>
    </row>
    <row r="34" spans="1:31" x14ac:dyDescent="0.25">
      <c r="A34" s="385"/>
      <c r="B34" s="384">
        <v>42233</v>
      </c>
      <c r="C34" s="385">
        <v>30</v>
      </c>
      <c r="D34" s="386">
        <v>29.9</v>
      </c>
      <c r="E34" s="386"/>
      <c r="F34" s="386">
        <f>C34*D34</f>
        <v>897</v>
      </c>
      <c r="G34" s="385"/>
      <c r="H34" s="385"/>
      <c r="I34" s="385"/>
      <c r="J34" s="385"/>
      <c r="K34" s="385"/>
      <c r="L34" s="385"/>
      <c r="M34" s="385"/>
      <c r="W34" s="133">
        <v>42562</v>
      </c>
      <c r="X34" s="10">
        <v>29.79</v>
      </c>
      <c r="Y34" s="10">
        <v>30.27</v>
      </c>
      <c r="Z34" s="10">
        <v>29.74</v>
      </c>
      <c r="AA34" s="10">
        <v>30.13</v>
      </c>
      <c r="AB34" s="95">
        <v>13870300</v>
      </c>
      <c r="AC34" s="10">
        <v>30.13</v>
      </c>
      <c r="AD34" s="2">
        <f t="shared" si="0"/>
        <v>0.53000000000000114</v>
      </c>
      <c r="AE34" s="138">
        <f t="shared" si="1"/>
        <v>1.5846257585974355E-2</v>
      </c>
    </row>
    <row r="35" spans="1:31" x14ac:dyDescent="0.25">
      <c r="A35" s="385"/>
      <c r="B35" s="385"/>
      <c r="C35" s="385"/>
      <c r="D35" s="386"/>
      <c r="E35" s="386"/>
      <c r="F35" s="386"/>
      <c r="G35" s="385"/>
      <c r="H35" s="385"/>
      <c r="I35" s="385"/>
      <c r="J35" s="385"/>
      <c r="K35" s="385"/>
      <c r="L35" s="385"/>
      <c r="M35" s="385"/>
      <c r="W35" s="133">
        <v>42559</v>
      </c>
      <c r="X35" s="10">
        <v>29.27</v>
      </c>
      <c r="Y35" s="10">
        <v>29.87</v>
      </c>
      <c r="Z35" s="10">
        <v>29.27</v>
      </c>
      <c r="AA35" s="10">
        <v>29.66</v>
      </c>
      <c r="AB35" s="95">
        <v>16659400</v>
      </c>
      <c r="AC35" s="10">
        <v>29.66</v>
      </c>
      <c r="AD35" s="2">
        <f t="shared" si="0"/>
        <v>0.60000000000000142</v>
      </c>
      <c r="AE35" s="138">
        <f t="shared" si="1"/>
        <v>3.2011134307585287E-2</v>
      </c>
    </row>
    <row r="36" spans="1:31" x14ac:dyDescent="0.25">
      <c r="A36" s="385"/>
      <c r="B36" s="385"/>
      <c r="C36" s="385"/>
      <c r="D36" s="386"/>
      <c r="E36" s="386"/>
      <c r="F36" s="386"/>
      <c r="G36" s="385"/>
      <c r="H36" s="385"/>
      <c r="I36" s="385"/>
      <c r="J36" s="385"/>
      <c r="K36" s="385"/>
      <c r="L36" s="385"/>
      <c r="M36" s="385"/>
      <c r="W36" s="133">
        <v>42558</v>
      </c>
      <c r="X36" s="10">
        <v>28.49</v>
      </c>
      <c r="Y36" s="10">
        <v>29.06</v>
      </c>
      <c r="Z36" s="10">
        <v>28.42</v>
      </c>
      <c r="AA36" s="10">
        <v>28.74</v>
      </c>
      <c r="AB36" s="95">
        <v>10842300</v>
      </c>
      <c r="AC36" s="10">
        <v>28.74</v>
      </c>
      <c r="AD36" s="2">
        <f t="shared" si="0"/>
        <v>0.63999999999999702</v>
      </c>
      <c r="AE36" s="138">
        <f t="shared" si="1"/>
        <v>1.1971830985915588E-2</v>
      </c>
    </row>
    <row r="37" spans="1:31" x14ac:dyDescent="0.25">
      <c r="A37" s="385"/>
      <c r="B37" s="385"/>
      <c r="C37" s="385"/>
      <c r="D37" s="386"/>
      <c r="E37" s="386"/>
      <c r="F37" s="386"/>
      <c r="G37" s="385"/>
      <c r="H37" s="385"/>
      <c r="I37" s="385"/>
      <c r="J37" s="385"/>
      <c r="K37" s="385"/>
      <c r="L37" s="385"/>
      <c r="M37" s="385"/>
      <c r="W37" s="133">
        <v>42557</v>
      </c>
      <c r="X37" s="10">
        <v>28</v>
      </c>
      <c r="Y37" s="10">
        <v>28.41</v>
      </c>
      <c r="Z37" s="10">
        <v>27.52</v>
      </c>
      <c r="AA37" s="10">
        <v>28.4</v>
      </c>
      <c r="AB37" s="95">
        <v>14631400</v>
      </c>
      <c r="AC37" s="10">
        <v>28.4</v>
      </c>
      <c r="AD37" s="2">
        <f t="shared" si="0"/>
        <v>0.89000000000000057</v>
      </c>
      <c r="AE37" s="138">
        <f t="shared" si="1"/>
        <v>8.1647142350016466E-3</v>
      </c>
    </row>
    <row r="38" spans="1:31" x14ac:dyDescent="0.25">
      <c r="A38" s="385"/>
      <c r="B38" s="385"/>
      <c r="C38" s="385"/>
      <c r="D38" s="386"/>
      <c r="E38" s="386"/>
      <c r="F38" s="386"/>
      <c r="G38" s="385"/>
      <c r="H38" s="385"/>
      <c r="I38" s="385"/>
      <c r="J38" s="385"/>
      <c r="K38" s="385"/>
      <c r="L38" s="385"/>
      <c r="M38" s="385"/>
      <c r="W38" s="133">
        <v>42556</v>
      </c>
      <c r="X38" s="10">
        <v>28.64</v>
      </c>
      <c r="Y38" s="10">
        <v>28.68</v>
      </c>
      <c r="Z38" s="10">
        <v>28.04</v>
      </c>
      <c r="AA38" s="10">
        <v>28.17</v>
      </c>
      <c r="AB38" s="95">
        <v>12178200</v>
      </c>
      <c r="AC38" s="10">
        <v>28.17</v>
      </c>
      <c r="AD38" s="2">
        <f t="shared" si="0"/>
        <v>0.64000000000000057</v>
      </c>
      <c r="AE38" s="138">
        <f t="shared" si="1"/>
        <v>-2.4922118380062308E-2</v>
      </c>
    </row>
    <row r="39" spans="1:31" x14ac:dyDescent="0.25">
      <c r="A39" s="385"/>
      <c r="B39" s="385"/>
      <c r="C39" s="385"/>
      <c r="D39" s="386"/>
      <c r="E39" s="386"/>
      <c r="F39" s="386"/>
      <c r="G39" s="385"/>
      <c r="H39" s="385"/>
      <c r="I39" s="385"/>
      <c r="J39" s="385"/>
      <c r="K39" s="385"/>
      <c r="L39" s="385"/>
      <c r="M39" s="385"/>
      <c r="W39" s="133">
        <v>42552</v>
      </c>
      <c r="X39" s="10">
        <v>28.69</v>
      </c>
      <c r="Y39" s="10">
        <v>28.98</v>
      </c>
      <c r="Z39" s="10">
        <v>28.36</v>
      </c>
      <c r="AA39" s="10">
        <v>28.89</v>
      </c>
      <c r="AB39" s="95">
        <v>15157900</v>
      </c>
      <c r="AC39" s="10">
        <v>28.89</v>
      </c>
      <c r="AD39" s="2">
        <f t="shared" si="0"/>
        <v>0.62000000000000099</v>
      </c>
      <c r="AE39" s="138">
        <f t="shared" si="1"/>
        <v>2.0848056537102533E-2</v>
      </c>
    </row>
    <row r="40" spans="1:31" x14ac:dyDescent="0.25">
      <c r="A40" s="385"/>
      <c r="B40" s="385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42551</v>
      </c>
      <c r="X40" s="10">
        <v>28.18</v>
      </c>
      <c r="Y40" s="10">
        <v>29.66</v>
      </c>
      <c r="Z40" s="10">
        <v>27.7</v>
      </c>
      <c r="AA40" s="10">
        <v>28.3</v>
      </c>
      <c r="AB40" s="95">
        <v>15360600</v>
      </c>
      <c r="AC40" s="10">
        <v>28.3</v>
      </c>
      <c r="AD40" s="2">
        <f t="shared" si="0"/>
        <v>1.9600000000000009</v>
      </c>
      <c r="AE40" s="138">
        <f t="shared" si="1"/>
        <v>4.6148384806532494E-3</v>
      </c>
    </row>
    <row r="41" spans="1:31" ht="20.25" thickBot="1" x14ac:dyDescent="0.35">
      <c r="A41" s="385"/>
      <c r="B41" s="385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O41" s="535" t="s">
        <v>78</v>
      </c>
      <c r="P41" s="535"/>
      <c r="W41" s="133">
        <v>42550</v>
      </c>
      <c r="X41" s="10">
        <v>28</v>
      </c>
      <c r="Y41" s="10">
        <v>28.2</v>
      </c>
      <c r="Z41" s="10">
        <v>27.6</v>
      </c>
      <c r="AA41" s="10">
        <v>28.17</v>
      </c>
      <c r="AB41" s="95">
        <v>10644100</v>
      </c>
      <c r="AC41" s="10">
        <v>28.17</v>
      </c>
      <c r="AD41" s="2">
        <f t="shared" si="0"/>
        <v>0.59999999999999787</v>
      </c>
      <c r="AE41" s="138">
        <f t="shared" si="1"/>
        <v>1.5501081470800315E-2</v>
      </c>
    </row>
    <row r="42" spans="1:31" ht="21" thickTop="1" thickBot="1" x14ac:dyDescent="0.35">
      <c r="A42" s="385"/>
      <c r="B42" s="385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O42" s="83">
        <v>1.1000000000000001</v>
      </c>
      <c r="P42" s="83">
        <f>O42*$Q$4</f>
        <v>34.958000000000006</v>
      </c>
      <c r="Q42" s="2"/>
      <c r="T42" s="91" t="s">
        <v>113</v>
      </c>
      <c r="W42" s="133">
        <v>42549</v>
      </c>
      <c r="X42" s="10">
        <v>27.93</v>
      </c>
      <c r="Y42" s="10">
        <v>27.98</v>
      </c>
      <c r="Z42" s="10">
        <v>27.4</v>
      </c>
      <c r="AA42" s="10">
        <v>27.74</v>
      </c>
      <c r="AB42" s="95">
        <v>14061400</v>
      </c>
      <c r="AC42" s="10">
        <v>27.74</v>
      </c>
      <c r="AD42" s="2">
        <f t="shared" si="0"/>
        <v>0.58000000000000185</v>
      </c>
      <c r="AE42" s="138">
        <f t="shared" si="1"/>
        <v>8.3605961468555812E-3</v>
      </c>
    </row>
    <row r="43" spans="1:31" ht="15.75" thickTop="1" x14ac:dyDescent="0.25">
      <c r="A43" s="385"/>
      <c r="B43" s="385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O43" s="83">
        <v>1.0900000000000001</v>
      </c>
      <c r="P43" s="83">
        <f t="shared" ref="P43:P62" si="2">O43*$Q$4</f>
        <v>34.640200000000007</v>
      </c>
      <c r="Q43" s="2"/>
      <c r="T43" s="161" t="s">
        <v>98</v>
      </c>
      <c r="U43" s="161">
        <v>31.9</v>
      </c>
      <c r="W43" s="133">
        <v>42548</v>
      </c>
      <c r="X43" s="10">
        <v>28.09</v>
      </c>
      <c r="Y43" s="10">
        <v>28.1</v>
      </c>
      <c r="Z43" s="10">
        <v>27.34</v>
      </c>
      <c r="AA43" s="10">
        <v>27.51</v>
      </c>
      <c r="AB43" s="95">
        <v>18634200</v>
      </c>
      <c r="AC43" s="10">
        <v>27.51</v>
      </c>
      <c r="AD43" s="2">
        <f t="shared" si="0"/>
        <v>0.76000000000000156</v>
      </c>
      <c r="AE43" s="138">
        <f t="shared" si="1"/>
        <v>-2.9629629629629672E-2</v>
      </c>
    </row>
    <row r="44" spans="1:31" x14ac:dyDescent="0.25">
      <c r="A44" s="385"/>
      <c r="B44" s="385"/>
      <c r="C44" s="385"/>
      <c r="D44" s="386"/>
      <c r="E44" s="386"/>
      <c r="F44" s="386"/>
      <c r="G44" s="385"/>
      <c r="H44" s="385"/>
      <c r="I44" s="385"/>
      <c r="J44" s="385"/>
      <c r="K44" s="385"/>
      <c r="L44" s="385"/>
      <c r="M44" s="385"/>
      <c r="O44" s="83">
        <v>1.08</v>
      </c>
      <c r="P44" s="83">
        <f t="shared" si="2"/>
        <v>34.322400000000002</v>
      </c>
      <c r="Q44" s="2"/>
      <c r="T44" s="10" t="s">
        <v>99</v>
      </c>
      <c r="U44" s="10">
        <v>31.84</v>
      </c>
      <c r="W44" s="133">
        <v>42545</v>
      </c>
      <c r="X44" s="10">
        <v>28.58</v>
      </c>
      <c r="Y44" s="10">
        <v>29.04</v>
      </c>
      <c r="Z44" s="10">
        <v>28.25</v>
      </c>
      <c r="AA44" s="10">
        <v>28.35</v>
      </c>
      <c r="AB44" s="95">
        <v>30181100</v>
      </c>
      <c r="AC44" s="10">
        <v>28.35</v>
      </c>
      <c r="AD44" s="2">
        <f t="shared" si="0"/>
        <v>0.78999999999999915</v>
      </c>
      <c r="AE44" s="138">
        <f t="shared" si="1"/>
        <v>-4.9295774647887258E-2</v>
      </c>
    </row>
    <row r="45" spans="1:31" x14ac:dyDescent="0.25">
      <c r="A45" s="385"/>
      <c r="B45" s="385"/>
      <c r="C45" s="385"/>
      <c r="D45" s="386"/>
      <c r="E45" s="386"/>
      <c r="F45" s="386"/>
      <c r="G45" s="385"/>
      <c r="H45" s="385"/>
      <c r="I45" s="385"/>
      <c r="J45" s="385"/>
      <c r="K45" s="385"/>
      <c r="L45" s="385"/>
      <c r="M45" s="385"/>
      <c r="O45" s="83">
        <v>1.07</v>
      </c>
      <c r="P45" s="83">
        <f t="shared" si="2"/>
        <v>34.004600000000003</v>
      </c>
      <c r="Q45" s="2"/>
      <c r="T45" s="10" t="s">
        <v>100</v>
      </c>
      <c r="U45" s="10" t="s">
        <v>503</v>
      </c>
      <c r="W45" s="133">
        <v>42544</v>
      </c>
      <c r="X45" s="10">
        <v>29.59</v>
      </c>
      <c r="Y45" s="10">
        <v>29.85</v>
      </c>
      <c r="Z45" s="10">
        <v>29.55</v>
      </c>
      <c r="AA45" s="10">
        <v>29.82</v>
      </c>
      <c r="AB45" s="95">
        <v>9598100</v>
      </c>
      <c r="AC45" s="10">
        <v>29.82</v>
      </c>
      <c r="AD45" s="2">
        <f t="shared" si="0"/>
        <v>0.30000000000000071</v>
      </c>
      <c r="AE45" s="138">
        <f t="shared" si="1"/>
        <v>1.7053206002728416E-2</v>
      </c>
    </row>
    <row r="46" spans="1:31" x14ac:dyDescent="0.25">
      <c r="A46" s="385"/>
      <c r="B46" s="385"/>
      <c r="C46" s="385"/>
      <c r="D46" s="386"/>
      <c r="E46" s="386"/>
      <c r="F46" s="386"/>
      <c r="G46" s="385"/>
      <c r="H46" s="385"/>
      <c r="I46" s="385"/>
      <c r="J46" s="385"/>
      <c r="K46" s="385"/>
      <c r="L46" s="385"/>
      <c r="M46" s="385"/>
      <c r="O46" s="83">
        <v>1.06</v>
      </c>
      <c r="P46" s="83">
        <f t="shared" si="2"/>
        <v>33.686800000000005</v>
      </c>
      <c r="Q46" s="2"/>
      <c r="T46" s="10" t="s">
        <v>101</v>
      </c>
      <c r="U46" s="10" t="s">
        <v>504</v>
      </c>
      <c r="W46" s="133">
        <v>42543</v>
      </c>
      <c r="X46" s="10">
        <v>29.34</v>
      </c>
      <c r="Y46" s="10">
        <v>29.59</v>
      </c>
      <c r="Z46" s="10">
        <v>29.27</v>
      </c>
      <c r="AA46" s="10">
        <v>29.32</v>
      </c>
      <c r="AB46" s="95">
        <v>8717200</v>
      </c>
      <c r="AC46" s="10">
        <v>29.32</v>
      </c>
      <c r="AD46" s="2">
        <f t="shared" si="0"/>
        <v>0.32000000000000028</v>
      </c>
      <c r="AE46" s="138">
        <f t="shared" si="1"/>
        <v>-6.4384954252796334E-3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33.369</v>
      </c>
      <c r="Q47" s="2"/>
      <c r="T47" s="10" t="s">
        <v>102</v>
      </c>
      <c r="U47" s="10">
        <v>36.65</v>
      </c>
      <c r="W47" s="133">
        <v>42542</v>
      </c>
      <c r="X47" s="10">
        <v>29.64</v>
      </c>
      <c r="Y47" s="10">
        <v>29.77</v>
      </c>
      <c r="Z47" s="10">
        <v>29.43</v>
      </c>
      <c r="AA47" s="10">
        <v>29.51</v>
      </c>
      <c r="AB47" s="95">
        <v>10318000</v>
      </c>
      <c r="AC47" s="10">
        <v>29.51</v>
      </c>
      <c r="AD47" s="2">
        <f t="shared" si="0"/>
        <v>0.33999999999999986</v>
      </c>
      <c r="AE47" s="138">
        <f t="shared" si="1"/>
        <v>-4.7217537942663146E-3</v>
      </c>
    </row>
    <row r="48" spans="1:31" x14ac:dyDescent="0.25">
      <c r="O48" s="83">
        <v>1.04</v>
      </c>
      <c r="P48" s="83">
        <f t="shared" si="2"/>
        <v>33.051200000000001</v>
      </c>
      <c r="Q48" s="2"/>
      <c r="T48" s="10" t="s">
        <v>103</v>
      </c>
      <c r="U48" s="10">
        <v>1.65374</v>
      </c>
      <c r="W48" s="133">
        <v>42541</v>
      </c>
      <c r="X48" s="10">
        <v>29.62</v>
      </c>
      <c r="Y48" s="10">
        <v>30.03</v>
      </c>
      <c r="Z48" s="10">
        <v>29.59</v>
      </c>
      <c r="AA48" s="10">
        <v>29.65</v>
      </c>
      <c r="AB48" s="95">
        <v>12329100</v>
      </c>
      <c r="AC48" s="10">
        <v>29.65</v>
      </c>
      <c r="AD48" s="2">
        <f t="shared" si="0"/>
        <v>0.44000000000000128</v>
      </c>
      <c r="AE48" s="138">
        <f t="shared" si="1"/>
        <v>1.436879917892564E-2</v>
      </c>
    </row>
    <row r="49" spans="15:31" x14ac:dyDescent="0.25">
      <c r="O49" s="83">
        <v>1.03</v>
      </c>
      <c r="P49" s="83">
        <f t="shared" si="2"/>
        <v>32.733400000000003</v>
      </c>
      <c r="Q49" s="2"/>
      <c r="T49" s="10" t="s">
        <v>123</v>
      </c>
      <c r="U49" s="10" t="s">
        <v>314</v>
      </c>
      <c r="W49" s="133">
        <v>42538</v>
      </c>
      <c r="X49" s="10">
        <v>29.14</v>
      </c>
      <c r="Y49" s="10">
        <v>29.43</v>
      </c>
      <c r="Z49" s="10">
        <v>29.06</v>
      </c>
      <c r="AA49" s="10">
        <v>29.23</v>
      </c>
      <c r="AB49" s="95">
        <v>12707400</v>
      </c>
      <c r="AC49" s="10">
        <v>29.23</v>
      </c>
      <c r="AD49" s="2">
        <f t="shared" si="0"/>
        <v>0.37000000000000099</v>
      </c>
      <c r="AE49" s="138">
        <f t="shared" si="1"/>
        <v>7.2363886974500247E-3</v>
      </c>
    </row>
    <row r="50" spans="15:31" x14ac:dyDescent="0.25">
      <c r="O50" s="83">
        <v>1.02</v>
      </c>
      <c r="P50" s="83">
        <f t="shared" si="2"/>
        <v>32.415600000000005</v>
      </c>
      <c r="Q50" s="2"/>
      <c r="T50" s="10"/>
      <c r="U50" s="10"/>
      <c r="W50" s="133">
        <v>42537</v>
      </c>
      <c r="X50" s="10">
        <v>28.67</v>
      </c>
      <c r="Y50" s="10">
        <v>29.07</v>
      </c>
      <c r="Z50" s="10">
        <v>28.5</v>
      </c>
      <c r="AA50" s="10">
        <v>29.02</v>
      </c>
      <c r="AB50" s="95">
        <v>9654400</v>
      </c>
      <c r="AC50" s="10">
        <v>29.02</v>
      </c>
      <c r="AD50" s="2">
        <f t="shared" si="0"/>
        <v>0.57000000000000028</v>
      </c>
      <c r="AE50" s="138">
        <f t="shared" si="1"/>
        <v>5.5440055440054703E-3</v>
      </c>
    </row>
    <row r="51" spans="15:31" x14ac:dyDescent="0.25">
      <c r="O51" s="83">
        <v>1.01</v>
      </c>
      <c r="P51" s="83">
        <f t="shared" si="2"/>
        <v>32.097799999999999</v>
      </c>
      <c r="Q51" s="2"/>
      <c r="T51" s="10" t="s">
        <v>105</v>
      </c>
      <c r="U51" s="10" t="s">
        <v>505</v>
      </c>
      <c r="W51" s="133">
        <v>42536</v>
      </c>
      <c r="X51" s="10">
        <v>28.98</v>
      </c>
      <c r="Y51" s="10">
        <v>29.22</v>
      </c>
      <c r="Z51" s="10">
        <v>28.79</v>
      </c>
      <c r="AA51" s="10">
        <v>28.86</v>
      </c>
      <c r="AB51" s="95">
        <v>8479900</v>
      </c>
      <c r="AC51" s="10">
        <v>28.86</v>
      </c>
      <c r="AD51" s="2">
        <f t="shared" si="0"/>
        <v>0.42999999999999972</v>
      </c>
      <c r="AE51" s="138">
        <f t="shared" si="1"/>
        <v>1.0405827263266776E-3</v>
      </c>
    </row>
    <row r="52" spans="15:31" x14ac:dyDescent="0.25">
      <c r="O52" s="83">
        <v>1</v>
      </c>
      <c r="P52" s="83">
        <f t="shared" si="2"/>
        <v>31.78</v>
      </c>
      <c r="Q52" s="2"/>
      <c r="T52" s="10" t="s">
        <v>106</v>
      </c>
      <c r="U52" s="10" t="s">
        <v>399</v>
      </c>
      <c r="W52" s="133">
        <v>42535</v>
      </c>
      <c r="X52" s="10">
        <v>29.07</v>
      </c>
      <c r="Y52" s="10">
        <v>29.31</v>
      </c>
      <c r="Z52" s="10">
        <v>28.65</v>
      </c>
      <c r="AA52" s="10">
        <v>28.83</v>
      </c>
      <c r="AB52" s="95">
        <v>10751700</v>
      </c>
      <c r="AC52" s="10">
        <v>28.83</v>
      </c>
      <c r="AD52" s="2">
        <f t="shared" si="0"/>
        <v>0.66000000000000014</v>
      </c>
      <c r="AE52" s="138">
        <f t="shared" si="1"/>
        <v>-8.5969738651994199E-3</v>
      </c>
    </row>
    <row r="53" spans="15:31" x14ac:dyDescent="0.25">
      <c r="O53" s="83">
        <v>0.99</v>
      </c>
      <c r="P53" s="83">
        <f t="shared" si="2"/>
        <v>31.462199999999999</v>
      </c>
      <c r="Q53" s="2"/>
      <c r="T53" s="10" t="s">
        <v>107</v>
      </c>
      <c r="U53" s="95">
        <v>8179481</v>
      </c>
      <c r="W53" s="133">
        <v>42534</v>
      </c>
      <c r="X53" s="10">
        <v>28.85</v>
      </c>
      <c r="Y53" s="10">
        <v>29.4</v>
      </c>
      <c r="Z53" s="10">
        <v>28.8</v>
      </c>
      <c r="AA53" s="10">
        <v>29.08</v>
      </c>
      <c r="AB53" s="95">
        <v>13871300</v>
      </c>
      <c r="AC53" s="10">
        <v>29.08</v>
      </c>
      <c r="AD53" s="2">
        <f t="shared" si="0"/>
        <v>0.59999999999999787</v>
      </c>
      <c r="AE53" s="138">
        <f t="shared" si="1"/>
        <v>6.8823124569861172E-4</v>
      </c>
    </row>
    <row r="54" spans="15:31" x14ac:dyDescent="0.25">
      <c r="O54" s="83">
        <v>0.98</v>
      </c>
      <c r="P54" s="83">
        <f t="shared" si="2"/>
        <v>31.144400000000001</v>
      </c>
      <c r="Q54" s="2"/>
      <c r="T54" s="10" t="s">
        <v>110</v>
      </c>
      <c r="U54" s="95">
        <v>13158800</v>
      </c>
      <c r="W54" s="133">
        <v>42531</v>
      </c>
      <c r="X54" s="10">
        <v>29.22</v>
      </c>
      <c r="Y54" s="10">
        <v>29.34</v>
      </c>
      <c r="Z54" s="10">
        <v>28.98</v>
      </c>
      <c r="AA54" s="10">
        <v>29.06</v>
      </c>
      <c r="AB54" s="95">
        <v>10740400</v>
      </c>
      <c r="AC54" s="10">
        <v>29.06</v>
      </c>
      <c r="AD54" s="2">
        <f t="shared" si="0"/>
        <v>0.35999999999999943</v>
      </c>
      <c r="AE54" s="138">
        <f t="shared" si="1"/>
        <v>-1.021798365122617E-2</v>
      </c>
    </row>
    <row r="55" spans="15:31" x14ac:dyDescent="0.25">
      <c r="O55" s="83">
        <v>0.97</v>
      </c>
      <c r="P55" s="83">
        <f t="shared" si="2"/>
        <v>30.826599999999999</v>
      </c>
      <c r="T55" s="10" t="s">
        <v>108</v>
      </c>
      <c r="U55" s="10" t="s">
        <v>506</v>
      </c>
      <c r="W55" s="133">
        <v>42530</v>
      </c>
      <c r="X55" s="10">
        <v>29.48</v>
      </c>
      <c r="Y55" s="10">
        <v>29.5</v>
      </c>
      <c r="Z55" s="10">
        <v>29.16</v>
      </c>
      <c r="AA55" s="10">
        <v>29.36</v>
      </c>
      <c r="AB55" s="95">
        <v>11907500</v>
      </c>
      <c r="AC55" s="10">
        <v>29.36</v>
      </c>
      <c r="AD55" s="2">
        <f t="shared" si="0"/>
        <v>0.33999999999999986</v>
      </c>
      <c r="AE55" s="138">
        <f t="shared" si="1"/>
        <v>-7.1017923571187191E-3</v>
      </c>
    </row>
    <row r="56" spans="15:31" x14ac:dyDescent="0.25">
      <c r="O56" s="83">
        <v>0.96</v>
      </c>
      <c r="P56" s="83">
        <f t="shared" si="2"/>
        <v>30.508800000000001</v>
      </c>
      <c r="T56" s="10" t="s">
        <v>111</v>
      </c>
      <c r="U56" s="10">
        <v>4.07</v>
      </c>
      <c r="W56" s="133">
        <v>42529</v>
      </c>
      <c r="X56" s="10">
        <v>30</v>
      </c>
      <c r="Y56" s="10">
        <v>30.03</v>
      </c>
      <c r="Z56" s="10">
        <v>29.52</v>
      </c>
      <c r="AA56" s="10">
        <v>29.57</v>
      </c>
      <c r="AB56" s="95">
        <v>12990900</v>
      </c>
      <c r="AC56" s="10">
        <v>29.57</v>
      </c>
      <c r="AD56" s="2">
        <f t="shared" si="0"/>
        <v>0.51000000000000156</v>
      </c>
      <c r="AE56" s="138" t="e">
        <f t="shared" si="1"/>
        <v>#DIV/0!</v>
      </c>
    </row>
    <row r="57" spans="15:31" x14ac:dyDescent="0.25">
      <c r="O57" s="83">
        <v>0.95</v>
      </c>
      <c r="P57" s="83">
        <f t="shared" si="2"/>
        <v>30.190999999999999</v>
      </c>
      <c r="T57" s="10" t="s">
        <v>112</v>
      </c>
      <c r="U57" s="10">
        <v>7.81</v>
      </c>
      <c r="W57" s="133">
        <v>42529</v>
      </c>
      <c r="X57" s="10" t="s">
        <v>194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0.94</v>
      </c>
      <c r="P58" s="83">
        <f t="shared" si="2"/>
        <v>29.873200000000001</v>
      </c>
      <c r="T58" s="10" t="s">
        <v>109</v>
      </c>
      <c r="U58" s="10" t="s">
        <v>400</v>
      </c>
      <c r="W58" s="133">
        <v>42528</v>
      </c>
      <c r="X58" s="10">
        <v>30.16</v>
      </c>
      <c r="Y58" s="10">
        <v>30.38</v>
      </c>
      <c r="Z58" s="10">
        <v>29.95</v>
      </c>
      <c r="AA58" s="10">
        <v>30.23</v>
      </c>
      <c r="AB58" s="95">
        <v>14425700</v>
      </c>
      <c r="AC58" s="10">
        <v>29.85</v>
      </c>
      <c r="AD58" s="2">
        <f t="shared" si="0"/>
        <v>0.42999999999999972</v>
      </c>
      <c r="AE58" s="138">
        <f t="shared" si="1"/>
        <v>8.1053698074975422E-3</v>
      </c>
    </row>
    <row r="59" spans="15:31" x14ac:dyDescent="0.25">
      <c r="O59" s="83">
        <v>0.93</v>
      </c>
      <c r="P59" s="83">
        <f t="shared" si="2"/>
        <v>29.555400000000002</v>
      </c>
      <c r="W59" s="133">
        <v>42527</v>
      </c>
      <c r="X59" s="10">
        <v>29.85</v>
      </c>
      <c r="Y59" s="10">
        <v>30.04</v>
      </c>
      <c r="Z59" s="10">
        <v>29.72</v>
      </c>
      <c r="AA59" s="10">
        <v>29.99</v>
      </c>
      <c r="AB59" s="95">
        <v>10985800</v>
      </c>
      <c r="AC59" s="10">
        <v>29.61</v>
      </c>
      <c r="AD59" s="2">
        <f t="shared" si="0"/>
        <v>0.32000000000000028</v>
      </c>
      <c r="AE59" s="138">
        <f t="shared" si="1"/>
        <v>1.300034211426615E-2</v>
      </c>
    </row>
    <row r="60" spans="15:31" x14ac:dyDescent="0.25">
      <c r="O60" s="83">
        <v>0.92</v>
      </c>
      <c r="P60" s="83">
        <f t="shared" si="2"/>
        <v>29.237600000000004</v>
      </c>
      <c r="W60" s="133">
        <v>42524</v>
      </c>
      <c r="X60" s="10">
        <v>30.09</v>
      </c>
      <c r="Y60" s="10">
        <v>30.15</v>
      </c>
      <c r="Z60" s="10">
        <v>29.51</v>
      </c>
      <c r="AA60" s="10">
        <v>29.6</v>
      </c>
      <c r="AB60" s="95">
        <v>18549600</v>
      </c>
      <c r="AC60" s="10">
        <v>29.23</v>
      </c>
      <c r="AD60" s="2">
        <f t="shared" si="0"/>
        <v>0.63999999999999702</v>
      </c>
      <c r="AE60" s="138">
        <f t="shared" si="1"/>
        <v>-2.1753681392235547E-2</v>
      </c>
    </row>
    <row r="61" spans="15:31" x14ac:dyDescent="0.25">
      <c r="O61" s="83">
        <v>0.91</v>
      </c>
      <c r="P61" s="83">
        <f t="shared" si="2"/>
        <v>28.919800000000002</v>
      </c>
      <c r="W61" s="133">
        <v>42523</v>
      </c>
      <c r="X61" s="10">
        <v>30.13</v>
      </c>
      <c r="Y61" s="10">
        <v>30.46</v>
      </c>
      <c r="Z61" s="10">
        <v>30.05</v>
      </c>
      <c r="AA61" s="10">
        <v>30.26</v>
      </c>
      <c r="AB61" s="95">
        <v>12649300</v>
      </c>
      <c r="AC61" s="10">
        <v>29.88</v>
      </c>
      <c r="AD61" s="2">
        <f t="shared" si="0"/>
        <v>0.41000000000000014</v>
      </c>
      <c r="AE61" s="138">
        <f t="shared" si="1"/>
        <v>1.3404825737264314E-3</v>
      </c>
    </row>
    <row r="62" spans="15:31" x14ac:dyDescent="0.25">
      <c r="O62" s="83">
        <v>0.9</v>
      </c>
      <c r="P62" s="83">
        <f t="shared" si="2"/>
        <v>28.602</v>
      </c>
      <c r="W62" s="133">
        <v>42522</v>
      </c>
      <c r="X62" s="10">
        <v>31.15</v>
      </c>
      <c r="Y62" s="10">
        <v>31.15</v>
      </c>
      <c r="Z62" s="10">
        <v>29.87</v>
      </c>
      <c r="AA62" s="10">
        <v>30.22</v>
      </c>
      <c r="AB62" s="95">
        <v>26002300</v>
      </c>
      <c r="AC62" s="10">
        <v>29.84</v>
      </c>
      <c r="AD62" s="2">
        <f t="shared" si="0"/>
        <v>1.2799999999999976</v>
      </c>
      <c r="AE62" s="138">
        <f t="shared" si="1"/>
        <v>-3.3991583036581452E-2</v>
      </c>
    </row>
    <row r="63" spans="15:31" x14ac:dyDescent="0.25">
      <c r="W63" s="133">
        <v>42521</v>
      </c>
      <c r="X63" s="10">
        <v>31.54</v>
      </c>
      <c r="Y63" s="10">
        <v>31.62</v>
      </c>
      <c r="Z63" s="10">
        <v>31.13</v>
      </c>
      <c r="AA63" s="10">
        <v>31.28</v>
      </c>
      <c r="AB63" s="95">
        <v>11803400</v>
      </c>
      <c r="AC63" s="10">
        <v>30.89</v>
      </c>
      <c r="AD63" s="2">
        <f t="shared" si="0"/>
        <v>0.49000000000000199</v>
      </c>
      <c r="AE63" s="138">
        <f t="shared" si="1"/>
        <v>-3.548387096774186E-3</v>
      </c>
    </row>
    <row r="64" spans="15:31" x14ac:dyDescent="0.25">
      <c r="W64" s="133">
        <v>42517</v>
      </c>
      <c r="X64" s="10">
        <v>31.31</v>
      </c>
      <c r="Y64" s="10">
        <v>31.64</v>
      </c>
      <c r="Z64" s="10">
        <v>31.26</v>
      </c>
      <c r="AA64" s="10">
        <v>31.39</v>
      </c>
      <c r="AB64" s="95">
        <v>6089800</v>
      </c>
      <c r="AC64" s="10">
        <v>31</v>
      </c>
      <c r="AD64" s="2">
        <f t="shared" si="0"/>
        <v>0.37999999999999901</v>
      </c>
      <c r="AE64" s="138">
        <f t="shared" si="1"/>
        <v>3.2362459546926292E-3</v>
      </c>
    </row>
    <row r="65" spans="23:31" x14ac:dyDescent="0.25">
      <c r="W65" s="133">
        <v>42516</v>
      </c>
      <c r="X65" s="10">
        <v>31.65</v>
      </c>
      <c r="Y65" s="10">
        <v>31.75</v>
      </c>
      <c r="Z65" s="10">
        <v>31.18</v>
      </c>
      <c r="AA65" s="10">
        <v>31.29</v>
      </c>
      <c r="AB65" s="95">
        <v>6747700</v>
      </c>
      <c r="AC65" s="10">
        <v>30.9</v>
      </c>
      <c r="AD65" s="2">
        <f t="shared" si="0"/>
        <v>0.57000000000000028</v>
      </c>
      <c r="AE65" s="138">
        <f t="shared" si="1"/>
        <v>-1.1200000000000099E-2</v>
      </c>
    </row>
    <row r="66" spans="23:31" x14ac:dyDescent="0.25">
      <c r="W66" s="133">
        <v>42515</v>
      </c>
      <c r="X66" s="10">
        <v>31.19</v>
      </c>
      <c r="Y66" s="10">
        <v>31.77</v>
      </c>
      <c r="Z66" s="10">
        <v>31.12</v>
      </c>
      <c r="AA66" s="10">
        <v>31.65</v>
      </c>
      <c r="AB66" s="95">
        <v>10151600</v>
      </c>
      <c r="AC66" s="10">
        <v>31.25</v>
      </c>
      <c r="AD66" s="2">
        <f t="shared" si="0"/>
        <v>0.64999999999999858</v>
      </c>
      <c r="AE66" s="138">
        <f t="shared" si="1"/>
        <v>1.924331376386168E-2</v>
      </c>
    </row>
    <row r="67" spans="23:31" x14ac:dyDescent="0.25">
      <c r="W67" s="133">
        <v>42514</v>
      </c>
      <c r="X67" s="10">
        <v>30.65</v>
      </c>
      <c r="Y67" s="10">
        <v>31.08</v>
      </c>
      <c r="Z67" s="10">
        <v>30.62</v>
      </c>
      <c r="AA67" s="10">
        <v>31.05</v>
      </c>
      <c r="AB67" s="95">
        <v>8743100</v>
      </c>
      <c r="AC67" s="10">
        <v>30.66</v>
      </c>
      <c r="AD67" s="2">
        <f>Y67-Z67</f>
        <v>0.4599999999999973</v>
      </c>
      <c r="AE67" s="138">
        <f>AC67/AC68-1</f>
        <v>1.4895729890764597E-2</v>
      </c>
    </row>
    <row r="68" spans="23:31" x14ac:dyDescent="0.25">
      <c r="W68" s="133">
        <v>42513</v>
      </c>
      <c r="X68" s="10">
        <v>30.5</v>
      </c>
      <c r="Y68" s="10">
        <v>30.63</v>
      </c>
      <c r="Z68" s="10">
        <v>30.35</v>
      </c>
      <c r="AA68" s="10">
        <v>30.59</v>
      </c>
      <c r="AB68" s="95">
        <v>6698900</v>
      </c>
      <c r="AC68" s="10">
        <v>30.21</v>
      </c>
      <c r="AD68" s="2">
        <f>Y68-Z68</f>
        <v>0.27999999999999758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42606</v>
      </c>
      <c r="X2" s="10">
        <v>154.36000000000001</v>
      </c>
      <c r="Y2" s="10">
        <v>154.5</v>
      </c>
      <c r="Z2" s="10">
        <v>150.78</v>
      </c>
      <c r="AA2" s="10">
        <v>151.26</v>
      </c>
      <c r="AB2" s="95">
        <v>1454800</v>
      </c>
      <c r="AC2" s="10">
        <v>151.26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151.26</v>
      </c>
      <c r="W3" s="133">
        <v>42605</v>
      </c>
      <c r="X3" s="10">
        <v>154.56</v>
      </c>
      <c r="Y3" s="10">
        <v>156.19</v>
      </c>
      <c r="Z3" s="10">
        <v>154.16999999999999</v>
      </c>
      <c r="AA3" s="10">
        <v>154.55000000000001</v>
      </c>
      <c r="AB3" s="95">
        <v>1064700</v>
      </c>
      <c r="AC3" s="10">
        <v>154.55000000000001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151.26</v>
      </c>
      <c r="W4" s="133">
        <v>42604</v>
      </c>
      <c r="X4" s="10">
        <v>153.68</v>
      </c>
      <c r="Y4" s="10">
        <v>154.27000000000001</v>
      </c>
      <c r="Z4" s="10">
        <v>153.28</v>
      </c>
      <c r="AA4" s="10">
        <v>153.99</v>
      </c>
      <c r="AB4" s="95">
        <v>705900</v>
      </c>
      <c r="AC4" s="10">
        <v>153.99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42601</v>
      </c>
      <c r="X5" s="10">
        <v>152.88</v>
      </c>
      <c r="Y5" s="10">
        <v>153.81</v>
      </c>
      <c r="Z5" s="10">
        <v>152.5</v>
      </c>
      <c r="AA5" s="10">
        <v>153.58000000000001</v>
      </c>
      <c r="AB5" s="95">
        <v>1498000</v>
      </c>
      <c r="AC5" s="10">
        <v>153.58000000000001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42600</v>
      </c>
      <c r="X6" s="10">
        <v>154.22</v>
      </c>
      <c r="Y6" s="10">
        <v>154.47</v>
      </c>
      <c r="Z6" s="10">
        <v>152.74</v>
      </c>
      <c r="AA6" s="10">
        <v>153.35</v>
      </c>
      <c r="AB6" s="95">
        <v>2155800</v>
      </c>
      <c r="AC6" s="10">
        <v>153.35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42599</v>
      </c>
      <c r="X7" s="10">
        <v>155.46</v>
      </c>
      <c r="Y7" s="10">
        <v>155.54</v>
      </c>
      <c r="Z7" s="10">
        <v>153.66999999999999</v>
      </c>
      <c r="AA7" s="10">
        <v>154.66999999999999</v>
      </c>
      <c r="AB7" s="95">
        <v>916400</v>
      </c>
      <c r="AC7" s="10">
        <v>154.66999999999999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42598</v>
      </c>
      <c r="X8" s="10">
        <v>155.62</v>
      </c>
      <c r="Y8" s="10">
        <v>155.96</v>
      </c>
      <c r="Z8" s="10">
        <v>154.97</v>
      </c>
      <c r="AA8" s="10">
        <v>154.97</v>
      </c>
      <c r="AB8" s="95">
        <v>861300</v>
      </c>
      <c r="AC8" s="10">
        <v>154.97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225</v>
      </c>
      <c r="Q9" s="138">
        <f>IF(Q2=0, 0, Q8/Q6)</f>
        <v>0</v>
      </c>
      <c r="W9" s="133">
        <v>42597</v>
      </c>
      <c r="X9" s="10">
        <v>155.69</v>
      </c>
      <c r="Y9" s="10">
        <v>156.46</v>
      </c>
      <c r="Z9" s="10">
        <v>155.29</v>
      </c>
      <c r="AA9" s="10">
        <v>155.97</v>
      </c>
      <c r="AB9" s="95">
        <v>959100</v>
      </c>
      <c r="AC9" s="10">
        <v>155.97</v>
      </c>
      <c r="AD9" s="2"/>
      <c r="AE9" s="138"/>
    </row>
    <row r="10" spans="1:43" x14ac:dyDescent="0.25">
      <c r="O10" s="11" t="s">
        <v>224</v>
      </c>
      <c r="P10" s="34"/>
      <c r="Q10" s="2">
        <f>M34</f>
        <v>171.47000000000003</v>
      </c>
      <c r="W10" s="133">
        <v>42594</v>
      </c>
      <c r="X10" s="10">
        <v>156.77000000000001</v>
      </c>
      <c r="Y10" s="10">
        <v>156.84</v>
      </c>
      <c r="Z10" s="10">
        <v>155.05000000000001</v>
      </c>
      <c r="AA10" s="10">
        <v>155.49</v>
      </c>
      <c r="AB10" s="95">
        <v>864700</v>
      </c>
      <c r="AC10" s="10">
        <v>155.49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42593</v>
      </c>
      <c r="X11" s="10">
        <v>156.24</v>
      </c>
      <c r="Y11" s="10">
        <v>157.55000000000001</v>
      </c>
      <c r="Z11" s="10">
        <v>155.84</v>
      </c>
      <c r="AA11" s="10">
        <v>157.46</v>
      </c>
      <c r="AB11" s="95">
        <v>781100</v>
      </c>
      <c r="AC11" s="10">
        <v>157.46</v>
      </c>
      <c r="AD11" s="2"/>
      <c r="AE11" s="138"/>
    </row>
    <row r="12" spans="1:43" x14ac:dyDescent="0.25">
      <c r="W12" s="133">
        <v>42592</v>
      </c>
      <c r="X12" s="10">
        <v>156.79</v>
      </c>
      <c r="Y12" s="10">
        <v>157.37</v>
      </c>
      <c r="Z12" s="10">
        <v>155.6</v>
      </c>
      <c r="AA12" s="10">
        <v>156.01</v>
      </c>
      <c r="AB12" s="95">
        <v>687300</v>
      </c>
      <c r="AC12" s="10">
        <v>156.01</v>
      </c>
      <c r="AD12" s="2"/>
      <c r="AE12" s="138"/>
    </row>
    <row r="13" spans="1:43" x14ac:dyDescent="0.25">
      <c r="W13" s="133">
        <v>42591</v>
      </c>
      <c r="X13" s="10">
        <v>156.54</v>
      </c>
      <c r="Y13" s="10">
        <v>157.25</v>
      </c>
      <c r="Z13" s="10">
        <v>156.25</v>
      </c>
      <c r="AA13" s="10">
        <v>156.68</v>
      </c>
      <c r="AB13" s="95">
        <v>584900</v>
      </c>
      <c r="AC13" s="10">
        <v>156.68</v>
      </c>
      <c r="AD13" s="2"/>
      <c r="AE13" s="138"/>
    </row>
    <row r="14" spans="1:43" x14ac:dyDescent="0.25">
      <c r="W14" s="133">
        <v>42590</v>
      </c>
      <c r="X14" s="10">
        <v>157.44</v>
      </c>
      <c r="Y14" s="10">
        <v>157.81</v>
      </c>
      <c r="Z14" s="10">
        <v>156.16</v>
      </c>
      <c r="AA14" s="10">
        <v>156.52000000000001</v>
      </c>
      <c r="AB14" s="95">
        <v>833800</v>
      </c>
      <c r="AC14" s="10">
        <v>156.52000000000001</v>
      </c>
      <c r="AD14" s="2"/>
      <c r="AE14" s="138"/>
    </row>
    <row r="15" spans="1:43" x14ac:dyDescent="0.25">
      <c r="W15" s="133">
        <v>42587</v>
      </c>
      <c r="X15" s="10">
        <v>157.32</v>
      </c>
      <c r="Y15" s="10">
        <v>157.81</v>
      </c>
      <c r="Z15" s="10">
        <v>156.82</v>
      </c>
      <c r="AA15" s="10">
        <v>157.51</v>
      </c>
      <c r="AB15" s="95">
        <v>935600</v>
      </c>
      <c r="AC15" s="10">
        <v>157.51</v>
      </c>
      <c r="AD15" s="2"/>
      <c r="AE15" s="138"/>
    </row>
    <row r="16" spans="1:43" x14ac:dyDescent="0.25">
      <c r="W16" s="133">
        <v>42586</v>
      </c>
      <c r="X16" s="10">
        <v>156.62</v>
      </c>
      <c r="Y16" s="10">
        <v>157.69</v>
      </c>
      <c r="Z16" s="10">
        <v>156.25</v>
      </c>
      <c r="AA16" s="10">
        <v>156.41999999999999</v>
      </c>
      <c r="AB16" s="95">
        <v>893300</v>
      </c>
      <c r="AC16" s="10">
        <v>156.41999999999999</v>
      </c>
      <c r="AD16" s="2"/>
      <c r="AE16" s="138"/>
    </row>
    <row r="17" spans="1:31" x14ac:dyDescent="0.25">
      <c r="W17" s="133">
        <v>42585</v>
      </c>
      <c r="X17" s="10">
        <v>156.83000000000001</v>
      </c>
      <c r="Y17" s="10">
        <v>156.83000000000001</v>
      </c>
      <c r="Z17" s="10">
        <v>155.66999999999999</v>
      </c>
      <c r="AA17" s="10">
        <v>156</v>
      </c>
      <c r="AB17" s="95">
        <v>1039700</v>
      </c>
      <c r="AC17" s="10">
        <v>156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42584</v>
      </c>
      <c r="X18" s="10">
        <v>159.53</v>
      </c>
      <c r="Y18" s="10">
        <v>159.79</v>
      </c>
      <c r="Z18" s="10">
        <v>155.88999999999999</v>
      </c>
      <c r="AA18" s="10">
        <v>156.44</v>
      </c>
      <c r="AB18" s="95">
        <v>1711300</v>
      </c>
      <c r="AC18" s="10">
        <v>156.44</v>
      </c>
      <c r="AD18" s="2"/>
      <c r="AE18" s="138"/>
    </row>
    <row r="19" spans="1:31" x14ac:dyDescent="0.25">
      <c r="W19" s="133">
        <v>42583</v>
      </c>
      <c r="X19" s="10">
        <v>158.75</v>
      </c>
      <c r="Y19" s="10">
        <v>160.68</v>
      </c>
      <c r="Z19" s="10">
        <v>158.57</v>
      </c>
      <c r="AA19" s="10">
        <v>159.56</v>
      </c>
      <c r="AB19" s="95">
        <v>1794000</v>
      </c>
      <c r="AC19" s="10">
        <v>159.56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42580</v>
      </c>
      <c r="X20" s="10">
        <v>158.94</v>
      </c>
      <c r="Y20" s="10">
        <v>159.99</v>
      </c>
      <c r="Z20" s="10">
        <v>158.38</v>
      </c>
      <c r="AA20" s="10">
        <v>158.84</v>
      </c>
      <c r="AB20" s="95">
        <v>1438600</v>
      </c>
      <c r="AC20" s="10">
        <v>158.84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42579</v>
      </c>
      <c r="X21" s="10">
        <v>157.16</v>
      </c>
      <c r="Y21" s="10">
        <v>159.26</v>
      </c>
      <c r="Z21" s="10">
        <v>156.56</v>
      </c>
      <c r="AA21" s="10">
        <v>158.82</v>
      </c>
      <c r="AB21" s="95">
        <v>1654700</v>
      </c>
      <c r="AC21" s="10">
        <v>158.82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42578</v>
      </c>
      <c r="X22" s="10">
        <v>159.38999999999999</v>
      </c>
      <c r="Y22" s="10">
        <v>159.5</v>
      </c>
      <c r="Z22" s="10">
        <v>157.47999999999999</v>
      </c>
      <c r="AA22" s="10">
        <v>158.9</v>
      </c>
      <c r="AB22" s="95">
        <v>1536800</v>
      </c>
      <c r="AC22" s="10">
        <v>158.9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42577</v>
      </c>
      <c r="X23" s="10">
        <v>157</v>
      </c>
      <c r="Y23" s="10">
        <v>159.13</v>
      </c>
      <c r="Z23" s="10">
        <v>156.30000000000001</v>
      </c>
      <c r="AA23" s="10">
        <v>158.88999999999999</v>
      </c>
      <c r="AB23" s="95">
        <v>1508200</v>
      </c>
      <c r="AC23" s="10">
        <v>158.88999999999999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42576</v>
      </c>
      <c r="X24" s="10">
        <v>157</v>
      </c>
      <c r="Y24" s="10">
        <v>157.56</v>
      </c>
      <c r="Z24" s="10">
        <v>156.29</v>
      </c>
      <c r="AA24" s="10">
        <v>156.97999999999999</v>
      </c>
      <c r="AB24" s="95">
        <v>1119400</v>
      </c>
      <c r="AC24" s="10">
        <v>156.97999999999999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42573</v>
      </c>
      <c r="X25" s="10">
        <v>156.82</v>
      </c>
      <c r="Y25" s="10">
        <v>157.37</v>
      </c>
      <c r="Z25" s="10">
        <v>156.02000000000001</v>
      </c>
      <c r="AA25" s="10">
        <v>156.88999999999999</v>
      </c>
      <c r="AB25" s="95">
        <v>901900</v>
      </c>
      <c r="AC25" s="10">
        <v>156.88999999999999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42572</v>
      </c>
      <c r="X26" s="10">
        <v>157.53</v>
      </c>
      <c r="Y26" s="10">
        <v>157.79</v>
      </c>
      <c r="Z26" s="10">
        <v>155.72</v>
      </c>
      <c r="AA26" s="10">
        <v>156.19999999999999</v>
      </c>
      <c r="AB26" s="95">
        <v>1103200</v>
      </c>
      <c r="AC26" s="10">
        <v>156.19999999999999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42571</v>
      </c>
      <c r="X27" s="10">
        <v>156.79</v>
      </c>
      <c r="Y27" s="10">
        <v>158.1</v>
      </c>
      <c r="Z27" s="10">
        <v>156.54</v>
      </c>
      <c r="AA27" s="10">
        <v>157.69</v>
      </c>
      <c r="AB27" s="95">
        <v>686900</v>
      </c>
      <c r="AC27" s="10">
        <v>157.69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42570</v>
      </c>
      <c r="X28" s="10">
        <v>156.27000000000001</v>
      </c>
      <c r="Y28" s="10">
        <v>156.94</v>
      </c>
      <c r="Z28" s="10">
        <v>155.56</v>
      </c>
      <c r="AA28" s="10">
        <v>156.63999999999999</v>
      </c>
      <c r="AB28" s="95">
        <v>679200</v>
      </c>
      <c r="AC28" s="10">
        <v>156.63999999999999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42569</v>
      </c>
      <c r="X29" s="10">
        <v>156.65</v>
      </c>
      <c r="Y29" s="10">
        <v>157.32</v>
      </c>
      <c r="Z29" s="10">
        <v>156.06</v>
      </c>
      <c r="AA29" s="10">
        <v>157.05000000000001</v>
      </c>
      <c r="AB29" s="95">
        <v>1098900</v>
      </c>
      <c r="AC29" s="10">
        <v>157.05000000000001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42566</v>
      </c>
      <c r="X30" s="10">
        <v>158.37</v>
      </c>
      <c r="Y30" s="10">
        <v>158.37</v>
      </c>
      <c r="Z30" s="10">
        <v>156.75</v>
      </c>
      <c r="AA30" s="10">
        <v>157.04</v>
      </c>
      <c r="AB30" s="95">
        <v>1628200</v>
      </c>
      <c r="AC30" s="10">
        <v>157.04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42565</v>
      </c>
      <c r="X31" s="10">
        <v>156.6</v>
      </c>
      <c r="Y31" s="10">
        <v>158.07</v>
      </c>
      <c r="Z31" s="10">
        <v>155.69999999999999</v>
      </c>
      <c r="AA31" s="10">
        <v>157.72999999999999</v>
      </c>
      <c r="AB31" s="95">
        <v>2033500</v>
      </c>
      <c r="AC31" s="10">
        <v>157.72999999999999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42564</v>
      </c>
      <c r="X32" s="10">
        <v>155.01</v>
      </c>
      <c r="Y32" s="10">
        <v>155.16999999999999</v>
      </c>
      <c r="Z32" s="10">
        <v>154.09</v>
      </c>
      <c r="AA32" s="10">
        <v>154.80000000000001</v>
      </c>
      <c r="AB32" s="95">
        <v>844200</v>
      </c>
      <c r="AC32" s="10">
        <v>154.80000000000001</v>
      </c>
      <c r="AD32" s="2"/>
      <c r="AE32" s="138"/>
    </row>
    <row r="33" spans="1:31" x14ac:dyDescent="0.25">
      <c r="W33" s="133">
        <v>42563</v>
      </c>
      <c r="X33" s="10">
        <v>153.22999999999999</v>
      </c>
      <c r="Y33" s="10">
        <v>154.77000000000001</v>
      </c>
      <c r="Z33" s="10">
        <v>152.44999999999999</v>
      </c>
      <c r="AA33" s="10">
        <v>154.38</v>
      </c>
      <c r="AB33" s="95">
        <v>1188000</v>
      </c>
      <c r="AC33" s="10">
        <v>154.38</v>
      </c>
      <c r="AD33" s="2"/>
      <c r="AE33" s="138"/>
    </row>
    <row r="34" spans="1:31" x14ac:dyDescent="0.25">
      <c r="L34" t="s">
        <v>224</v>
      </c>
      <c r="M34" s="2">
        <f>M45+K45-F45</f>
        <v>171.47000000000003</v>
      </c>
      <c r="W34" s="133">
        <v>42562</v>
      </c>
      <c r="X34" s="10">
        <v>153.07</v>
      </c>
      <c r="Y34" s="10">
        <v>153.65</v>
      </c>
      <c r="Z34" s="10">
        <v>152.01</v>
      </c>
      <c r="AA34" s="10">
        <v>152.34</v>
      </c>
      <c r="AB34" s="95">
        <v>959100</v>
      </c>
      <c r="AC34" s="10">
        <v>152.34</v>
      </c>
      <c r="AD34" s="2"/>
      <c r="AE34" s="138"/>
    </row>
    <row r="35" spans="1:31" x14ac:dyDescent="0.25">
      <c r="A35" s="391" t="s">
        <v>1</v>
      </c>
      <c r="B35" s="391" t="s">
        <v>2</v>
      </c>
      <c r="C35" s="391" t="s">
        <v>4</v>
      </c>
      <c r="D35" s="391" t="s">
        <v>5</v>
      </c>
      <c r="E35" s="393" t="s">
        <v>94</v>
      </c>
      <c r="F35" s="391" t="s">
        <v>60</v>
      </c>
      <c r="G35" s="391" t="s">
        <v>3</v>
      </c>
      <c r="H35" s="391" t="s">
        <v>6</v>
      </c>
      <c r="I35" s="391" t="s">
        <v>7</v>
      </c>
      <c r="J35" s="391" t="s">
        <v>95</v>
      </c>
      <c r="K35" s="391" t="s">
        <v>61</v>
      </c>
      <c r="L35" s="391" t="s">
        <v>77</v>
      </c>
      <c r="M35" s="391" t="s">
        <v>38</v>
      </c>
      <c r="W35" s="133">
        <v>42559</v>
      </c>
      <c r="X35" s="10">
        <v>150.47</v>
      </c>
      <c r="Y35" s="10">
        <v>153.41999999999999</v>
      </c>
      <c r="Z35" s="10">
        <v>150.36000000000001</v>
      </c>
      <c r="AA35" s="10">
        <v>152.69</v>
      </c>
      <c r="AB35" s="95">
        <v>1153700</v>
      </c>
      <c r="AC35" s="10">
        <v>152.69</v>
      </c>
      <c r="AD35" s="2"/>
      <c r="AE35" s="138"/>
    </row>
    <row r="36" spans="1:31" x14ac:dyDescent="0.25">
      <c r="A36" s="394" t="s">
        <v>0</v>
      </c>
      <c r="B36" s="384">
        <v>42403</v>
      </c>
      <c r="C36" s="385">
        <v>10</v>
      </c>
      <c r="D36" s="386">
        <v>123.5</v>
      </c>
      <c r="E36" s="386">
        <v>0</v>
      </c>
      <c r="F36" s="386">
        <f>D36*C36+E36</f>
        <v>1235</v>
      </c>
      <c r="G36" s="384">
        <v>42436</v>
      </c>
      <c r="H36" s="389">
        <v>10</v>
      </c>
      <c r="I36" s="386">
        <v>140.65</v>
      </c>
      <c r="J36" s="386">
        <v>0.03</v>
      </c>
      <c r="K36" s="385">
        <f>I36*H36-J36</f>
        <v>1406.47</v>
      </c>
      <c r="L36" s="384"/>
      <c r="M36" s="386"/>
      <c r="W36" s="133">
        <v>42558</v>
      </c>
      <c r="X36" s="10">
        <v>148.84</v>
      </c>
      <c r="Y36" s="10">
        <v>149.72999999999999</v>
      </c>
      <c r="Z36" s="10">
        <v>148.44999999999999</v>
      </c>
      <c r="AA36" s="10">
        <v>149.06</v>
      </c>
      <c r="AB36" s="95">
        <v>1331900</v>
      </c>
      <c r="AC36" s="10">
        <v>149.06</v>
      </c>
      <c r="AD36" s="2"/>
      <c r="AE36" s="138"/>
    </row>
    <row r="37" spans="1:31" x14ac:dyDescent="0.25">
      <c r="A37" s="395" t="s">
        <v>71</v>
      </c>
      <c r="B37" s="384"/>
      <c r="C37" s="385"/>
      <c r="D37" s="386"/>
      <c r="E37" s="386"/>
      <c r="F37" s="386"/>
      <c r="G37" s="384"/>
      <c r="H37" s="389"/>
      <c r="I37" s="386"/>
      <c r="J37" s="386"/>
      <c r="K37" s="385"/>
      <c r="L37" s="384"/>
      <c r="M37" s="386"/>
      <c r="W37" s="133">
        <v>42557</v>
      </c>
      <c r="X37" s="10">
        <v>146.4</v>
      </c>
      <c r="Y37" s="10">
        <v>149.38</v>
      </c>
      <c r="Z37" s="10">
        <v>145.75</v>
      </c>
      <c r="AA37" s="10">
        <v>149.11000000000001</v>
      </c>
      <c r="AB37" s="95">
        <v>1869400</v>
      </c>
      <c r="AC37" s="10">
        <v>149.11000000000001</v>
      </c>
      <c r="AD37" s="2"/>
      <c r="AE37" s="138"/>
    </row>
    <row r="38" spans="1:31" x14ac:dyDescent="0.25">
      <c r="A38" s="385"/>
      <c r="B38" s="384"/>
      <c r="C38" s="385"/>
      <c r="D38" s="386"/>
      <c r="E38" s="386"/>
      <c r="F38" s="386"/>
      <c r="G38" s="384"/>
      <c r="H38" s="389"/>
      <c r="I38" s="385"/>
      <c r="J38" s="386"/>
      <c r="K38" s="385"/>
      <c r="L38" s="385"/>
      <c r="M38" s="385"/>
      <c r="W38" s="133">
        <v>42556</v>
      </c>
      <c r="X38" s="10">
        <v>148.19999999999999</v>
      </c>
      <c r="Y38" s="10">
        <v>148.74</v>
      </c>
      <c r="Z38" s="10">
        <v>146.63999999999999</v>
      </c>
      <c r="AA38" s="10">
        <v>147.25</v>
      </c>
      <c r="AB38" s="95">
        <v>1878200</v>
      </c>
      <c r="AC38" s="10">
        <v>147.25</v>
      </c>
      <c r="AD38" s="2"/>
      <c r="AE38" s="138"/>
    </row>
    <row r="39" spans="1:31" x14ac:dyDescent="0.25">
      <c r="A39" s="385"/>
      <c r="B39" s="384"/>
      <c r="C39" s="385"/>
      <c r="D39" s="386"/>
      <c r="E39" s="386"/>
      <c r="F39" s="386"/>
      <c r="G39" s="385"/>
      <c r="H39" s="389"/>
      <c r="I39" s="386"/>
      <c r="J39" s="386"/>
      <c r="K39" s="385"/>
      <c r="L39" s="385"/>
      <c r="M39" s="385"/>
      <c r="W39" s="133">
        <v>42552</v>
      </c>
      <c r="X39" s="10">
        <v>147.94</v>
      </c>
      <c r="Y39" s="10">
        <v>149.85</v>
      </c>
      <c r="Z39" s="10">
        <v>147.47</v>
      </c>
      <c r="AA39" s="10">
        <v>149.22999999999999</v>
      </c>
      <c r="AB39" s="95">
        <v>1433100</v>
      </c>
      <c r="AC39" s="10">
        <v>149.22999999999999</v>
      </c>
      <c r="AD39" s="2"/>
      <c r="AE39" s="138"/>
    </row>
    <row r="40" spans="1:31" x14ac:dyDescent="0.25">
      <c r="A40" s="385"/>
      <c r="B40" s="384"/>
      <c r="C40" s="385"/>
      <c r="D40" s="386"/>
      <c r="E40" s="386"/>
      <c r="F40" s="386"/>
      <c r="G40" s="385"/>
      <c r="H40" s="385"/>
      <c r="I40" s="385"/>
      <c r="J40" s="385"/>
      <c r="K40" s="385"/>
      <c r="L40" s="385"/>
      <c r="M40" s="385"/>
      <c r="W40" s="133">
        <v>42551</v>
      </c>
      <c r="X40" s="10">
        <v>145.59</v>
      </c>
      <c r="Y40" s="10">
        <v>147.78</v>
      </c>
      <c r="Z40" s="10">
        <v>145.13</v>
      </c>
      <c r="AA40" s="10">
        <v>147.76</v>
      </c>
      <c r="AB40" s="95">
        <v>2419800</v>
      </c>
      <c r="AC40" s="10">
        <v>147.76</v>
      </c>
      <c r="AD40" s="2"/>
      <c r="AE40" s="138"/>
    </row>
    <row r="41" spans="1:31" x14ac:dyDescent="0.25">
      <c r="A41" s="385"/>
      <c r="B41" s="384"/>
      <c r="C41" s="385"/>
      <c r="D41" s="386"/>
      <c r="E41" s="386"/>
      <c r="F41" s="386"/>
      <c r="G41" s="385"/>
      <c r="H41" s="385"/>
      <c r="I41" s="385"/>
      <c r="J41" s="385"/>
      <c r="K41" s="385"/>
      <c r="L41" s="385"/>
      <c r="M41" s="385"/>
      <c r="W41" s="133">
        <v>42550</v>
      </c>
      <c r="X41" s="10">
        <v>144.47</v>
      </c>
      <c r="Y41" s="10">
        <v>145.65</v>
      </c>
      <c r="Z41" s="10">
        <v>143.09</v>
      </c>
      <c r="AA41" s="10">
        <v>145.16</v>
      </c>
      <c r="AB41" s="95">
        <v>1998800</v>
      </c>
      <c r="AC41" s="10">
        <v>145.16</v>
      </c>
      <c r="AD41" s="2"/>
      <c r="AE41" s="138"/>
    </row>
    <row r="42" spans="1:31" ht="20.25" thickBot="1" x14ac:dyDescent="0.35">
      <c r="A42" s="385"/>
      <c r="B42" s="384"/>
      <c r="C42" s="385"/>
      <c r="D42" s="386"/>
      <c r="E42" s="386"/>
      <c r="F42" s="386"/>
      <c r="G42" s="385"/>
      <c r="H42" s="385"/>
      <c r="I42" s="385"/>
      <c r="J42" s="385"/>
      <c r="K42" s="385"/>
      <c r="L42" s="385"/>
      <c r="M42" s="385"/>
      <c r="T42" s="91" t="s">
        <v>113</v>
      </c>
      <c r="W42" s="133">
        <v>42549</v>
      </c>
      <c r="X42" s="10">
        <v>142.37</v>
      </c>
      <c r="Y42" s="10">
        <v>143.27000000000001</v>
      </c>
      <c r="Z42" s="10">
        <v>141.5</v>
      </c>
      <c r="AA42" s="10">
        <v>143.15</v>
      </c>
      <c r="AB42" s="95">
        <v>2075100</v>
      </c>
      <c r="AC42" s="10">
        <v>143.15</v>
      </c>
      <c r="AD42" s="2"/>
      <c r="AE42" s="138"/>
    </row>
    <row r="43" spans="1:31" ht="15.75" thickTop="1" x14ac:dyDescent="0.25">
      <c r="A43" s="385"/>
      <c r="B43" s="384"/>
      <c r="C43" s="385"/>
      <c r="D43" s="386"/>
      <c r="E43" s="386"/>
      <c r="F43" s="386"/>
      <c r="G43" s="385"/>
      <c r="H43" s="385"/>
      <c r="I43" s="385"/>
      <c r="J43" s="385"/>
      <c r="K43" s="385"/>
      <c r="L43" s="385"/>
      <c r="M43" s="385"/>
      <c r="T43" s="341" t="s">
        <v>98</v>
      </c>
      <c r="U43" s="341">
        <v>154.55000000000001</v>
      </c>
      <c r="W43" s="133">
        <v>42548</v>
      </c>
      <c r="X43" s="10">
        <v>143.84</v>
      </c>
      <c r="Y43" s="10">
        <v>144.65</v>
      </c>
      <c r="Z43" s="10">
        <v>140.21</v>
      </c>
      <c r="AA43" s="10">
        <v>140.93</v>
      </c>
      <c r="AB43" s="95">
        <v>2842400</v>
      </c>
      <c r="AC43" s="10">
        <v>140.93</v>
      </c>
      <c r="AD43" s="2"/>
      <c r="AE43" s="138"/>
    </row>
    <row r="44" spans="1:31" x14ac:dyDescent="0.25">
      <c r="A44" s="385"/>
      <c r="B44" s="385"/>
      <c r="C44" s="385"/>
      <c r="D44" s="385"/>
      <c r="E44" s="386"/>
      <c r="F44" s="385"/>
      <c r="G44" s="385"/>
      <c r="H44" s="385"/>
      <c r="I44" s="385"/>
      <c r="J44" s="385"/>
      <c r="K44" s="385"/>
      <c r="L44" s="385"/>
      <c r="M44" s="385"/>
      <c r="T44" s="100" t="s">
        <v>99</v>
      </c>
      <c r="U44" s="100">
        <v>154.36000000000001</v>
      </c>
      <c r="W44" s="133">
        <v>42545</v>
      </c>
      <c r="X44" s="10">
        <v>146.63</v>
      </c>
      <c r="Y44" s="10">
        <v>148.84</v>
      </c>
      <c r="Z44" s="10">
        <v>144.62</v>
      </c>
      <c r="AA44" s="10">
        <v>145.35</v>
      </c>
      <c r="AB44" s="95">
        <v>3149400</v>
      </c>
      <c r="AC44" s="10">
        <v>145.35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5" t="s">
        <v>78</v>
      </c>
      <c r="P45" s="535"/>
      <c r="T45" s="100" t="s">
        <v>100</v>
      </c>
      <c r="U45" s="100" t="s">
        <v>507</v>
      </c>
      <c r="W45" s="133">
        <v>42544</v>
      </c>
      <c r="X45" s="10">
        <v>151.5</v>
      </c>
      <c r="Y45" s="10">
        <v>152.19</v>
      </c>
      <c r="Z45" s="10">
        <v>150.80000000000001</v>
      </c>
      <c r="AA45" s="10">
        <v>152.13999999999999</v>
      </c>
      <c r="AB45" s="95">
        <v>1136900</v>
      </c>
      <c r="AC45" s="10">
        <v>152.13999999999999</v>
      </c>
      <c r="AD45" s="2"/>
      <c r="AE45" s="138"/>
    </row>
    <row r="46" spans="1:31" ht="15.75" thickTop="1" x14ac:dyDescent="0.25">
      <c r="A46" s="385"/>
      <c r="B46" s="385"/>
      <c r="C46" s="385"/>
      <c r="D46" s="385"/>
      <c r="E46" s="386"/>
      <c r="F46" s="385"/>
      <c r="G46" s="385"/>
      <c r="H46" s="385"/>
      <c r="I46" s="385"/>
      <c r="J46" s="385"/>
      <c r="K46" s="385"/>
      <c r="L46" s="385"/>
      <c r="M46" s="385"/>
      <c r="O46" s="83">
        <v>1.1000000000000001</v>
      </c>
      <c r="P46" s="83">
        <f>O46*$Q$4</f>
        <v>166.386</v>
      </c>
      <c r="Q46" s="2"/>
      <c r="T46" s="100" t="s">
        <v>101</v>
      </c>
      <c r="U46" s="100" t="s">
        <v>508</v>
      </c>
      <c r="W46" s="133">
        <v>42543</v>
      </c>
      <c r="X46" s="10">
        <v>149.1</v>
      </c>
      <c r="Y46" s="10">
        <v>151.5</v>
      </c>
      <c r="Z46" s="10">
        <v>149.05000000000001</v>
      </c>
      <c r="AA46" s="10">
        <v>149.85</v>
      </c>
      <c r="AB46" s="95">
        <v>936000</v>
      </c>
      <c r="AC46" s="10">
        <v>149.85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164.8734</v>
      </c>
      <c r="Q47" s="2"/>
      <c r="T47" s="100" t="s">
        <v>102</v>
      </c>
      <c r="U47" s="100">
        <v>172.06</v>
      </c>
      <c r="W47" s="133">
        <v>42542</v>
      </c>
      <c r="X47" s="10">
        <v>148.94999999999999</v>
      </c>
      <c r="Y47" s="10">
        <v>150.09</v>
      </c>
      <c r="Z47" s="10">
        <v>148.38999999999999</v>
      </c>
      <c r="AA47" s="10">
        <v>148.91</v>
      </c>
      <c r="AB47" s="95">
        <v>1257900</v>
      </c>
      <c r="AC47" s="10">
        <v>148.91</v>
      </c>
      <c r="AD47" s="2"/>
      <c r="AE47" s="138"/>
    </row>
    <row r="48" spans="1:31" x14ac:dyDescent="0.25">
      <c r="O48" s="83">
        <v>1.08</v>
      </c>
      <c r="P48" s="83">
        <f t="shared" si="0"/>
        <v>163.36080000000001</v>
      </c>
      <c r="Q48" s="2"/>
      <c r="T48" s="100" t="s">
        <v>103</v>
      </c>
      <c r="U48" s="100">
        <v>0.98223099999999997</v>
      </c>
      <c r="W48" s="133">
        <v>42541</v>
      </c>
      <c r="X48" s="10">
        <v>147.72</v>
      </c>
      <c r="Y48" s="10">
        <v>149.19999999999999</v>
      </c>
      <c r="Z48" s="10">
        <v>147.55000000000001</v>
      </c>
      <c r="AA48" s="10">
        <v>148.37</v>
      </c>
      <c r="AB48" s="95">
        <v>1264400</v>
      </c>
      <c r="AC48" s="10">
        <v>148.37</v>
      </c>
      <c r="AD48" s="2"/>
      <c r="AE48" s="138"/>
    </row>
    <row r="49" spans="15:31" x14ac:dyDescent="0.25">
      <c r="O49" s="83">
        <v>1.07</v>
      </c>
      <c r="P49" s="83">
        <f t="shared" si="0"/>
        <v>161.84819999999999</v>
      </c>
      <c r="Q49" s="2"/>
      <c r="T49" s="100" t="s">
        <v>123</v>
      </c>
      <c r="U49" s="100" t="s">
        <v>314</v>
      </c>
      <c r="W49" s="133">
        <v>42538</v>
      </c>
      <c r="X49" s="10">
        <v>147.11000000000001</v>
      </c>
      <c r="Y49" s="10">
        <v>147.38</v>
      </c>
      <c r="Z49" s="10">
        <v>145.83000000000001</v>
      </c>
      <c r="AA49" s="10">
        <v>146.24</v>
      </c>
      <c r="AB49" s="95">
        <v>1418500</v>
      </c>
      <c r="AC49" s="10">
        <v>146.24</v>
      </c>
      <c r="AD49" s="2"/>
      <c r="AE49" s="138"/>
    </row>
    <row r="50" spans="15:31" x14ac:dyDescent="0.25">
      <c r="O50" s="83">
        <v>1.06</v>
      </c>
      <c r="P50" s="83">
        <f t="shared" si="0"/>
        <v>160.3356</v>
      </c>
      <c r="Q50" s="2"/>
      <c r="T50" s="100"/>
      <c r="U50" s="100"/>
      <c r="W50" s="133">
        <v>42537</v>
      </c>
      <c r="X50" s="10">
        <v>146.63999999999999</v>
      </c>
      <c r="Y50" s="10">
        <v>147.4</v>
      </c>
      <c r="Z50" s="10">
        <v>145.22999999999999</v>
      </c>
      <c r="AA50" s="10">
        <v>147.22999999999999</v>
      </c>
      <c r="AB50" s="95">
        <v>1335100</v>
      </c>
      <c r="AC50" s="10">
        <v>147.22999999999999</v>
      </c>
      <c r="AD50" s="2"/>
      <c r="AE50" s="138"/>
    </row>
    <row r="51" spans="15:31" x14ac:dyDescent="0.25">
      <c r="O51" s="83">
        <v>1.05</v>
      </c>
      <c r="P51" s="83">
        <f t="shared" si="0"/>
        <v>158.82300000000001</v>
      </c>
      <c r="Q51" s="2"/>
      <c r="T51" s="100" t="s">
        <v>105</v>
      </c>
      <c r="U51" s="100" t="s">
        <v>509</v>
      </c>
      <c r="W51" s="133">
        <v>42536</v>
      </c>
      <c r="X51" s="10">
        <v>148.38999999999999</v>
      </c>
      <c r="Y51" s="10">
        <v>148.66</v>
      </c>
      <c r="Z51" s="10">
        <v>147.26</v>
      </c>
      <c r="AA51" s="10">
        <v>147.41</v>
      </c>
      <c r="AB51" s="95">
        <v>1131800</v>
      </c>
      <c r="AC51" s="10">
        <v>147.41</v>
      </c>
      <c r="AD51" s="2"/>
      <c r="AE51" s="138"/>
    </row>
    <row r="52" spans="15:31" x14ac:dyDescent="0.25">
      <c r="O52" s="83">
        <v>1.04</v>
      </c>
      <c r="P52" s="83">
        <f t="shared" si="0"/>
        <v>157.31039999999999</v>
      </c>
      <c r="Q52" s="2"/>
      <c r="T52" s="100" t="s">
        <v>106</v>
      </c>
      <c r="U52" s="100" t="s">
        <v>335</v>
      </c>
      <c r="W52" s="133">
        <v>42535</v>
      </c>
      <c r="X52" s="10">
        <v>149.74</v>
      </c>
      <c r="Y52" s="10">
        <v>149.82</v>
      </c>
      <c r="Z52" s="10">
        <v>147.12</v>
      </c>
      <c r="AA52" s="10">
        <v>147.97999999999999</v>
      </c>
      <c r="AB52" s="95">
        <v>1755900</v>
      </c>
      <c r="AC52" s="10">
        <v>147.97999999999999</v>
      </c>
      <c r="AD52" s="2"/>
      <c r="AE52" s="138"/>
    </row>
    <row r="53" spans="15:31" x14ac:dyDescent="0.25">
      <c r="O53" s="83">
        <v>1.03</v>
      </c>
      <c r="P53" s="83">
        <f t="shared" si="0"/>
        <v>155.7978</v>
      </c>
      <c r="Q53" s="2"/>
      <c r="T53" s="100" t="s">
        <v>107</v>
      </c>
      <c r="U53" s="101">
        <v>1513662</v>
      </c>
      <c r="W53" s="133">
        <v>42534</v>
      </c>
      <c r="X53" s="10">
        <v>151.5</v>
      </c>
      <c r="Y53" s="10">
        <v>152.34</v>
      </c>
      <c r="Z53" s="10">
        <v>150.44</v>
      </c>
      <c r="AA53" s="10">
        <v>150.52000000000001</v>
      </c>
      <c r="AB53" s="95">
        <v>956800</v>
      </c>
      <c r="AC53" s="10">
        <v>150.52000000000001</v>
      </c>
      <c r="AD53" s="2"/>
      <c r="AE53" s="138"/>
    </row>
    <row r="54" spans="15:31" x14ac:dyDescent="0.25">
      <c r="O54" s="83">
        <v>1.02</v>
      </c>
      <c r="P54" s="83">
        <f t="shared" si="0"/>
        <v>154.2852</v>
      </c>
      <c r="Q54" s="2"/>
      <c r="T54" s="100" t="s">
        <v>110</v>
      </c>
      <c r="U54" s="101">
        <v>1331580</v>
      </c>
      <c r="W54" s="133">
        <v>42534</v>
      </c>
      <c r="X54" s="10" t="s">
        <v>185</v>
      </c>
      <c r="Y54" s="10"/>
      <c r="Z54" s="10"/>
      <c r="AA54" s="10"/>
      <c r="AB54" s="95"/>
      <c r="AC54" s="10"/>
      <c r="AD54" s="2"/>
      <c r="AE54" s="138"/>
    </row>
    <row r="55" spans="15:31" x14ac:dyDescent="0.25">
      <c r="O55" s="83">
        <v>1.01</v>
      </c>
      <c r="P55" s="83">
        <f t="shared" si="0"/>
        <v>152.77259999999998</v>
      </c>
      <c r="Q55" s="2"/>
      <c r="T55" s="100" t="s">
        <v>108</v>
      </c>
      <c r="U55" s="100" t="s">
        <v>510</v>
      </c>
      <c r="W55" s="133">
        <v>42531</v>
      </c>
      <c r="X55" s="10">
        <v>153.04</v>
      </c>
      <c r="Y55" s="10">
        <v>153.28</v>
      </c>
      <c r="Z55" s="10">
        <v>151.41999999999999</v>
      </c>
      <c r="AA55" s="10">
        <v>151.80000000000001</v>
      </c>
      <c r="AB55" s="95">
        <v>1303100</v>
      </c>
      <c r="AC55" s="10">
        <v>151.65</v>
      </c>
      <c r="AD55" s="2"/>
      <c r="AE55" s="138"/>
    </row>
    <row r="56" spans="15:31" x14ac:dyDescent="0.25">
      <c r="O56" s="83">
        <v>1</v>
      </c>
      <c r="P56" s="83">
        <f t="shared" si="0"/>
        <v>151.26</v>
      </c>
      <c r="Q56" s="2"/>
      <c r="T56" s="100" t="s">
        <v>111</v>
      </c>
      <c r="U56" s="100">
        <v>30.26</v>
      </c>
      <c r="W56" s="133">
        <v>42530</v>
      </c>
      <c r="X56" s="10">
        <v>153.6</v>
      </c>
      <c r="Y56" s="10">
        <v>154.81</v>
      </c>
      <c r="Z56" s="10">
        <v>153.01</v>
      </c>
      <c r="AA56" s="10">
        <v>154.15</v>
      </c>
      <c r="AB56" s="95">
        <v>1002600</v>
      </c>
      <c r="AC56" s="10">
        <v>154</v>
      </c>
      <c r="AD56" s="2"/>
      <c r="AE56" s="138"/>
    </row>
    <row r="57" spans="15:31" x14ac:dyDescent="0.25">
      <c r="O57" s="83">
        <v>0.99</v>
      </c>
      <c r="P57" s="83">
        <f t="shared" si="0"/>
        <v>149.7474</v>
      </c>
      <c r="Q57" s="2"/>
      <c r="T57" s="100" t="s">
        <v>112</v>
      </c>
      <c r="U57" s="100">
        <v>5</v>
      </c>
      <c r="W57" s="133">
        <v>42529</v>
      </c>
      <c r="X57" s="10">
        <v>152.96</v>
      </c>
      <c r="Y57" s="10">
        <v>154.30000000000001</v>
      </c>
      <c r="Z57" s="10">
        <v>151.99</v>
      </c>
      <c r="AA57" s="10">
        <v>154.13999999999999</v>
      </c>
      <c r="AB57" s="95">
        <v>1395000</v>
      </c>
      <c r="AC57" s="10">
        <v>153.99</v>
      </c>
      <c r="AD57" s="2"/>
      <c r="AE57" s="138"/>
    </row>
    <row r="58" spans="15:31" x14ac:dyDescent="0.25">
      <c r="O58" s="83">
        <v>0.98</v>
      </c>
      <c r="P58" s="83">
        <f t="shared" si="0"/>
        <v>148.23479999999998</v>
      </c>
      <c r="Q58" s="2"/>
      <c r="T58" s="100" t="s">
        <v>109</v>
      </c>
      <c r="U58" s="100" t="s">
        <v>369</v>
      </c>
      <c r="W58" s="133">
        <v>42528</v>
      </c>
      <c r="X58" s="10">
        <v>153.19999999999999</v>
      </c>
      <c r="Y58" s="10">
        <v>153.61000000000001</v>
      </c>
      <c r="Z58" s="10">
        <v>152.53</v>
      </c>
      <c r="AA58" s="10">
        <v>152.69</v>
      </c>
      <c r="AB58" s="95">
        <v>1415600</v>
      </c>
      <c r="AC58" s="10">
        <v>152.54</v>
      </c>
      <c r="AD58" s="2"/>
      <c r="AE58" s="138"/>
    </row>
    <row r="59" spans="15:31" x14ac:dyDescent="0.25">
      <c r="O59" s="83">
        <v>0.97</v>
      </c>
      <c r="P59" s="83">
        <f t="shared" si="0"/>
        <v>146.72219999999999</v>
      </c>
      <c r="W59" s="133">
        <v>42527</v>
      </c>
      <c r="X59" s="10">
        <v>152.80000000000001</v>
      </c>
      <c r="Y59" s="10">
        <v>153.9</v>
      </c>
      <c r="Z59" s="10">
        <v>152.03</v>
      </c>
      <c r="AA59" s="10">
        <v>153.19</v>
      </c>
      <c r="AB59" s="95">
        <v>1015000</v>
      </c>
      <c r="AC59" s="10">
        <v>153.04</v>
      </c>
      <c r="AD59" s="2"/>
      <c r="AE59" s="138"/>
    </row>
    <row r="60" spans="15:31" x14ac:dyDescent="0.25">
      <c r="O60" s="83">
        <v>0.96</v>
      </c>
      <c r="P60" s="83">
        <f t="shared" si="0"/>
        <v>145.20959999999999</v>
      </c>
      <c r="W60" s="133">
        <v>42524</v>
      </c>
      <c r="X60" s="10">
        <v>152.71</v>
      </c>
      <c r="Y60" s="10">
        <v>153.28</v>
      </c>
      <c r="Z60" s="10">
        <v>151.29</v>
      </c>
      <c r="AA60" s="10">
        <v>152.87</v>
      </c>
      <c r="AB60" s="95">
        <v>831700</v>
      </c>
      <c r="AC60" s="10">
        <v>152.72</v>
      </c>
      <c r="AD60" s="2"/>
      <c r="AE60" s="138"/>
    </row>
    <row r="61" spans="15:31" x14ac:dyDescent="0.25">
      <c r="O61" s="83">
        <v>0.95</v>
      </c>
      <c r="P61" s="83">
        <f t="shared" si="0"/>
        <v>143.69699999999997</v>
      </c>
      <c r="W61" s="133">
        <v>42523</v>
      </c>
      <c r="X61" s="10">
        <v>152.58000000000001</v>
      </c>
      <c r="Y61" s="10">
        <v>153.69999999999999</v>
      </c>
      <c r="Z61" s="10">
        <v>152.31</v>
      </c>
      <c r="AA61" s="10">
        <v>153.55000000000001</v>
      </c>
      <c r="AB61" s="95">
        <v>809600</v>
      </c>
      <c r="AC61" s="10">
        <v>153.4</v>
      </c>
      <c r="AD61" s="2"/>
      <c r="AE61" s="138"/>
    </row>
    <row r="62" spans="15:31" x14ac:dyDescent="0.25">
      <c r="O62" s="83">
        <v>0.94</v>
      </c>
      <c r="P62" s="83">
        <f t="shared" si="0"/>
        <v>142.18439999999998</v>
      </c>
      <c r="W62" s="133">
        <v>42522</v>
      </c>
      <c r="X62" s="10">
        <v>151.29</v>
      </c>
      <c r="Y62" s="10">
        <v>153.44999999999999</v>
      </c>
      <c r="Z62" s="10">
        <v>150.63</v>
      </c>
      <c r="AA62" s="10">
        <v>153.06</v>
      </c>
      <c r="AB62" s="95">
        <v>1730000</v>
      </c>
      <c r="AC62" s="10">
        <v>152.91</v>
      </c>
      <c r="AD62" s="2"/>
      <c r="AE62" s="138"/>
    </row>
    <row r="63" spans="15:31" x14ac:dyDescent="0.25">
      <c r="O63" s="83">
        <v>0.93</v>
      </c>
      <c r="P63" s="83">
        <f t="shared" si="0"/>
        <v>140.67179999999999</v>
      </c>
      <c r="W63" s="133">
        <v>42521</v>
      </c>
      <c r="X63" s="10">
        <v>152</v>
      </c>
      <c r="Y63" s="10">
        <v>152.12</v>
      </c>
      <c r="Z63" s="10">
        <v>150.52000000000001</v>
      </c>
      <c r="AA63" s="10">
        <v>151.77000000000001</v>
      </c>
      <c r="AB63" s="95">
        <v>2177300</v>
      </c>
      <c r="AC63" s="10">
        <v>151.62</v>
      </c>
      <c r="AD63" s="2"/>
      <c r="AE63" s="138"/>
    </row>
    <row r="64" spans="15:31" x14ac:dyDescent="0.25">
      <c r="O64" s="83">
        <v>0.92</v>
      </c>
      <c r="P64" s="83">
        <f t="shared" si="0"/>
        <v>139.1592</v>
      </c>
      <c r="W64" s="133">
        <v>42517</v>
      </c>
      <c r="X64" s="10">
        <v>151.52000000000001</v>
      </c>
      <c r="Y64" s="10">
        <v>152.16999999999999</v>
      </c>
      <c r="Z64" s="10">
        <v>150.35</v>
      </c>
      <c r="AA64" s="10">
        <v>152.13</v>
      </c>
      <c r="AB64" s="95">
        <v>1847600</v>
      </c>
      <c r="AC64" s="10">
        <v>151.97999999999999</v>
      </c>
      <c r="AD64" s="2"/>
      <c r="AE64" s="138"/>
    </row>
    <row r="65" spans="15:31" x14ac:dyDescent="0.25">
      <c r="O65" s="83">
        <v>0.91</v>
      </c>
      <c r="P65" s="83">
        <f t="shared" si="0"/>
        <v>137.64660000000001</v>
      </c>
      <c r="W65" s="133">
        <v>42516</v>
      </c>
      <c r="X65" s="10">
        <v>150.93</v>
      </c>
      <c r="Y65" s="10">
        <v>151.85</v>
      </c>
      <c r="Z65" s="10">
        <v>150.51</v>
      </c>
      <c r="AA65" s="10">
        <v>151.19999999999999</v>
      </c>
      <c r="AB65" s="95">
        <v>914300</v>
      </c>
      <c r="AC65" s="10">
        <v>151.05000000000001</v>
      </c>
      <c r="AD65" s="2"/>
      <c r="AE65" s="138"/>
    </row>
    <row r="66" spans="15:31" x14ac:dyDescent="0.25">
      <c r="O66" s="83">
        <v>0.9</v>
      </c>
      <c r="P66" s="83">
        <f t="shared" si="0"/>
        <v>136.13399999999999</v>
      </c>
      <c r="W66" s="133">
        <v>42515</v>
      </c>
      <c r="X66" s="10">
        <v>150.84</v>
      </c>
      <c r="Y66" s="10">
        <v>151.68</v>
      </c>
      <c r="Z66" s="10">
        <v>150.6</v>
      </c>
      <c r="AA66" s="10">
        <v>151.16</v>
      </c>
      <c r="AB66" s="95">
        <v>1311800</v>
      </c>
      <c r="AC66" s="10">
        <v>151.01</v>
      </c>
      <c r="AD66" s="2"/>
      <c r="AE66" s="138"/>
    </row>
    <row r="67" spans="15:31" x14ac:dyDescent="0.25">
      <c r="W67" s="133">
        <v>42514</v>
      </c>
      <c r="X67" s="10">
        <v>149.24</v>
      </c>
      <c r="Y67" s="10">
        <v>151.06</v>
      </c>
      <c r="Z67" s="10">
        <v>148.79</v>
      </c>
      <c r="AA67" s="10">
        <v>150.68</v>
      </c>
      <c r="AB67" s="95">
        <v>1097600</v>
      </c>
      <c r="AC67" s="10">
        <v>150.53</v>
      </c>
      <c r="AD67" s="2"/>
      <c r="AE67" s="138"/>
    </row>
    <row r="68" spans="15:31" x14ac:dyDescent="0.25">
      <c r="W68" s="133">
        <v>42513</v>
      </c>
      <c r="X68" s="10">
        <v>148.85</v>
      </c>
      <c r="Y68" s="10">
        <v>149.44</v>
      </c>
      <c r="Z68" s="10">
        <v>147.87</v>
      </c>
      <c r="AA68" s="10">
        <v>148.84</v>
      </c>
      <c r="AB68" s="95">
        <v>994100</v>
      </c>
      <c r="AC68" s="10">
        <v>148.69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42606</v>
      </c>
      <c r="X2" s="10">
        <v>34.17</v>
      </c>
      <c r="Y2" s="10">
        <v>34.409999999999997</v>
      </c>
      <c r="Z2" s="10">
        <v>34.01</v>
      </c>
      <c r="AA2" s="10">
        <v>34.07</v>
      </c>
      <c r="AB2" s="95">
        <v>472900</v>
      </c>
      <c r="AC2" s="10">
        <v>34.07</v>
      </c>
      <c r="AD2" s="2">
        <f>Y2-Z2</f>
        <v>0.39999999999999858</v>
      </c>
      <c r="AE2" s="138">
        <f>AC2/AC3-1</f>
        <v>-6.7055393586005207E-3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34.07</v>
      </c>
      <c r="W3" s="133">
        <v>42605</v>
      </c>
      <c r="X3" s="10">
        <v>33.82</v>
      </c>
      <c r="Y3" s="10">
        <v>34.380000000000003</v>
      </c>
      <c r="Z3" s="10">
        <v>33.82</v>
      </c>
      <c r="AA3" s="10">
        <v>34.299999999999997</v>
      </c>
      <c r="AB3" s="95">
        <v>491200</v>
      </c>
      <c r="AC3" s="10">
        <v>34.299999999999997</v>
      </c>
      <c r="AD3" s="2">
        <f t="shared" ref="AD3:AD66" si="0">Y3-Z3</f>
        <v>0.56000000000000227</v>
      </c>
      <c r="AE3" s="138">
        <f t="shared" ref="AE3:AE66" si="1">AC3/AC4-1</f>
        <v>1.9619500594530326E-2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34.07</v>
      </c>
      <c r="W4" s="133">
        <v>42604</v>
      </c>
      <c r="X4" s="10">
        <v>33.24</v>
      </c>
      <c r="Y4" s="10">
        <v>33.659999999999997</v>
      </c>
      <c r="Z4" s="10">
        <v>33.229999999999997</v>
      </c>
      <c r="AA4" s="10">
        <v>33.64</v>
      </c>
      <c r="AB4" s="95">
        <v>266900</v>
      </c>
      <c r="AC4" s="10">
        <v>33.64</v>
      </c>
      <c r="AD4" s="2">
        <f t="shared" si="0"/>
        <v>0.42999999999999972</v>
      </c>
      <c r="AE4" s="138">
        <f t="shared" si="1"/>
        <v>-2.3724792408066353E-3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42601</v>
      </c>
      <c r="X5" s="10">
        <v>33.36</v>
      </c>
      <c r="Y5" s="10">
        <v>33.81</v>
      </c>
      <c r="Z5" s="10">
        <v>33.159999999999997</v>
      </c>
      <c r="AA5" s="10">
        <v>33.72</v>
      </c>
      <c r="AB5" s="95">
        <v>281600</v>
      </c>
      <c r="AC5" s="10">
        <v>33.72</v>
      </c>
      <c r="AD5" s="2">
        <f t="shared" si="0"/>
        <v>0.65000000000000568</v>
      </c>
      <c r="AE5" s="138">
        <f t="shared" si="1"/>
        <v>3.5714285714285587E-3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42600</v>
      </c>
      <c r="X6" s="10">
        <v>33.590000000000003</v>
      </c>
      <c r="Y6" s="10">
        <v>33.72</v>
      </c>
      <c r="Z6" s="10">
        <v>33.5</v>
      </c>
      <c r="AA6" s="10">
        <v>33.6</v>
      </c>
      <c r="AB6" s="95">
        <v>328700</v>
      </c>
      <c r="AC6" s="10">
        <v>33.6</v>
      </c>
      <c r="AD6" s="2">
        <f t="shared" si="0"/>
        <v>0.21999999999999886</v>
      </c>
      <c r="AE6" s="138">
        <f t="shared" si="1"/>
        <v>-8.9206066012492702E-4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42599</v>
      </c>
      <c r="X7" s="10">
        <v>33.5</v>
      </c>
      <c r="Y7" s="10">
        <v>33.67</v>
      </c>
      <c r="Z7" s="10">
        <v>33.33</v>
      </c>
      <c r="AA7" s="10">
        <v>33.630000000000003</v>
      </c>
      <c r="AB7" s="95">
        <v>324900</v>
      </c>
      <c r="AC7" s="10">
        <v>33.630000000000003</v>
      </c>
      <c r="AD7" s="2">
        <f t="shared" si="0"/>
        <v>0.34000000000000341</v>
      </c>
      <c r="AE7" s="138">
        <f t="shared" si="1"/>
        <v>2.6833631484795006E-3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33.700000000000003</v>
      </c>
      <c r="Y8" s="10">
        <v>33.770000000000003</v>
      </c>
      <c r="Z8" s="10">
        <v>33.42</v>
      </c>
      <c r="AA8" s="10">
        <v>33.54</v>
      </c>
      <c r="AB8" s="95">
        <v>251900</v>
      </c>
      <c r="AC8" s="10">
        <v>33.54</v>
      </c>
      <c r="AD8" s="2">
        <f t="shared" si="0"/>
        <v>0.35000000000000142</v>
      </c>
      <c r="AE8" s="138">
        <f t="shared" si="1"/>
        <v>-5.3380782918149849E-3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225</v>
      </c>
      <c r="Q9" s="138">
        <f>IF(Q2=0, 0, Q8/Q6)</f>
        <v>0</v>
      </c>
      <c r="W9" s="133">
        <v>42597</v>
      </c>
      <c r="X9" s="10">
        <v>33.659999999999997</v>
      </c>
      <c r="Y9" s="10">
        <v>33.840000000000003</v>
      </c>
      <c r="Z9" s="10">
        <v>33.53</v>
      </c>
      <c r="AA9" s="10">
        <v>33.72</v>
      </c>
      <c r="AB9" s="95">
        <v>416800</v>
      </c>
      <c r="AC9" s="10">
        <v>33.72</v>
      </c>
      <c r="AD9" s="2">
        <f t="shared" si="0"/>
        <v>0.31000000000000227</v>
      </c>
      <c r="AE9" s="138">
        <f t="shared" si="1"/>
        <v>5.966587112171684E-3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224</v>
      </c>
      <c r="P10" s="34"/>
      <c r="Q10" s="2">
        <f>M36</f>
        <v>529.88000000000284</v>
      </c>
      <c r="W10" s="133">
        <v>42594</v>
      </c>
      <c r="X10" s="10">
        <v>33.74</v>
      </c>
      <c r="Y10" s="10">
        <v>33.89</v>
      </c>
      <c r="Z10" s="10">
        <v>33.43</v>
      </c>
      <c r="AA10" s="10">
        <v>33.520000000000003</v>
      </c>
      <c r="AB10" s="95">
        <v>300900</v>
      </c>
      <c r="AC10" s="10">
        <v>33.520000000000003</v>
      </c>
      <c r="AD10" s="2">
        <f t="shared" si="0"/>
        <v>0.46000000000000085</v>
      </c>
      <c r="AE10" s="138">
        <f t="shared" si="1"/>
        <v>-1.0625737898465104E-2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3.0800000000000001E-2</v>
      </c>
      <c r="W11" s="133">
        <v>42593</v>
      </c>
      <c r="X11" s="10">
        <v>33.659999999999997</v>
      </c>
      <c r="Y11" s="10">
        <v>34.06</v>
      </c>
      <c r="Z11" s="10">
        <v>33.659999999999997</v>
      </c>
      <c r="AA11" s="10">
        <v>33.880000000000003</v>
      </c>
      <c r="AB11" s="95">
        <v>398400</v>
      </c>
      <c r="AC11" s="10">
        <v>33.880000000000003</v>
      </c>
      <c r="AD11" s="2">
        <f t="shared" si="0"/>
        <v>0.40000000000000568</v>
      </c>
      <c r="AE11" s="138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42593</v>
      </c>
      <c r="X12" s="10" t="s">
        <v>142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42592</v>
      </c>
      <c r="X13" s="10">
        <v>34.01</v>
      </c>
      <c r="Y13" s="10">
        <v>34.07</v>
      </c>
      <c r="Z13" s="10">
        <v>33.67</v>
      </c>
      <c r="AA13" s="10">
        <v>33.729999999999997</v>
      </c>
      <c r="AB13" s="95">
        <v>319300</v>
      </c>
      <c r="AC13" s="10">
        <v>33.47</v>
      </c>
      <c r="AD13" s="2">
        <f t="shared" si="0"/>
        <v>0.39999999999999858</v>
      </c>
      <c r="AE13" s="138">
        <f t="shared" si="1"/>
        <v>-4.4616299821534922E-3</v>
      </c>
    </row>
    <row r="14" spans="1:43" x14ac:dyDescent="0.25">
      <c r="W14" s="133">
        <v>42591</v>
      </c>
      <c r="X14" s="10">
        <v>34.049999999999997</v>
      </c>
      <c r="Y14" s="10">
        <v>34.21</v>
      </c>
      <c r="Z14" s="10">
        <v>33.79</v>
      </c>
      <c r="AA14" s="10">
        <v>33.880000000000003</v>
      </c>
      <c r="AB14" s="95">
        <v>346800</v>
      </c>
      <c r="AC14" s="10">
        <v>33.619999999999997</v>
      </c>
      <c r="AD14" s="2">
        <f t="shared" si="0"/>
        <v>0.42000000000000171</v>
      </c>
      <c r="AE14" s="138">
        <f t="shared" si="1"/>
        <v>-8.2595870206489952E-3</v>
      </c>
    </row>
    <row r="15" spans="1:43" x14ac:dyDescent="0.25">
      <c r="W15" s="133">
        <v>42590</v>
      </c>
      <c r="X15" s="10">
        <v>34.130000000000003</v>
      </c>
      <c r="Y15" s="10">
        <v>34.369999999999997</v>
      </c>
      <c r="Z15" s="10">
        <v>34.03</v>
      </c>
      <c r="AA15" s="10">
        <v>34.159999999999997</v>
      </c>
      <c r="AB15" s="95">
        <v>517700</v>
      </c>
      <c r="AC15" s="10">
        <v>33.9</v>
      </c>
      <c r="AD15" s="2">
        <f t="shared" si="0"/>
        <v>0.33999999999999631</v>
      </c>
      <c r="AE15" s="138">
        <f t="shared" si="1"/>
        <v>4.4444444444444731E-3</v>
      </c>
    </row>
    <row r="16" spans="1:43" x14ac:dyDescent="0.25">
      <c r="W16" s="133">
        <v>42587</v>
      </c>
      <c r="X16" s="10">
        <v>33.57</v>
      </c>
      <c r="Y16" s="10">
        <v>34.119999999999997</v>
      </c>
      <c r="Z16" s="10">
        <v>33.520000000000003</v>
      </c>
      <c r="AA16" s="10">
        <v>34.01</v>
      </c>
      <c r="AB16" s="95">
        <v>482500</v>
      </c>
      <c r="AC16" s="10">
        <v>33.75</v>
      </c>
      <c r="AD16" s="2">
        <f t="shared" si="0"/>
        <v>0.59999999999999432</v>
      </c>
      <c r="AE16" s="138">
        <f t="shared" si="1"/>
        <v>1.9637462235649439E-2</v>
      </c>
    </row>
    <row r="17" spans="1:31" x14ac:dyDescent="0.25">
      <c r="W17" s="133">
        <v>42586</v>
      </c>
      <c r="X17" s="10">
        <v>33.35</v>
      </c>
      <c r="Y17" s="10">
        <v>33.69</v>
      </c>
      <c r="Z17" s="10">
        <v>33.33</v>
      </c>
      <c r="AA17" s="10">
        <v>33.36</v>
      </c>
      <c r="AB17" s="95">
        <v>665800</v>
      </c>
      <c r="AC17" s="10">
        <v>33.1</v>
      </c>
      <c r="AD17" s="2">
        <f t="shared" si="0"/>
        <v>0.35999999999999943</v>
      </c>
      <c r="AE17" s="138">
        <f t="shared" si="1"/>
        <v>-1.8094089264172331E-3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42585</v>
      </c>
      <c r="X18" s="10">
        <v>33.28</v>
      </c>
      <c r="Y18" s="10">
        <v>33.590000000000003</v>
      </c>
      <c r="Z18" s="10">
        <v>33.14</v>
      </c>
      <c r="AA18" s="10">
        <v>33.42</v>
      </c>
      <c r="AB18" s="95">
        <v>838600</v>
      </c>
      <c r="AC18" s="10">
        <v>33.159999999999997</v>
      </c>
      <c r="AD18" s="2">
        <f t="shared" si="0"/>
        <v>0.45000000000000284</v>
      </c>
      <c r="AE18" s="138">
        <f t="shared" si="1"/>
        <v>2.4183796856105388E-3</v>
      </c>
    </row>
    <row r="19" spans="1:31" x14ac:dyDescent="0.25">
      <c r="W19" s="133">
        <v>42584</v>
      </c>
      <c r="X19" s="10">
        <v>33.57</v>
      </c>
      <c r="Y19" s="10">
        <v>33.770000000000003</v>
      </c>
      <c r="Z19" s="10">
        <v>33.159999999999997</v>
      </c>
      <c r="AA19" s="10">
        <v>33.340000000000003</v>
      </c>
      <c r="AB19" s="95">
        <v>876700</v>
      </c>
      <c r="AC19" s="10">
        <v>33.08</v>
      </c>
      <c r="AD19" s="2">
        <f t="shared" si="0"/>
        <v>0.61000000000000654</v>
      </c>
      <c r="AE19" s="138">
        <f t="shared" si="1"/>
        <v>-8.0959520239880511E-3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42583</v>
      </c>
      <c r="X20" s="10">
        <v>33.36</v>
      </c>
      <c r="Y20" s="10">
        <v>33.81</v>
      </c>
      <c r="Z20" s="10">
        <v>33.159999999999997</v>
      </c>
      <c r="AA20" s="10">
        <v>33.61</v>
      </c>
      <c r="AB20" s="95">
        <v>1048400</v>
      </c>
      <c r="AC20" s="10">
        <v>33.35</v>
      </c>
      <c r="AD20" s="2">
        <f t="shared" si="0"/>
        <v>0.65000000000000568</v>
      </c>
      <c r="AE20" s="138">
        <f t="shared" si="1"/>
        <v>4.8207291352817538E-3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42580</v>
      </c>
      <c r="X21" s="10">
        <v>33.28</v>
      </c>
      <c r="Y21" s="10">
        <v>33.619999999999997</v>
      </c>
      <c r="Z21" s="10">
        <v>32.729999999999997</v>
      </c>
      <c r="AA21" s="10">
        <v>33.450000000000003</v>
      </c>
      <c r="AB21" s="95">
        <v>928400</v>
      </c>
      <c r="AC21" s="10">
        <v>33.19</v>
      </c>
      <c r="AD21" s="2">
        <f t="shared" si="0"/>
        <v>0.89000000000000057</v>
      </c>
      <c r="AE21" s="138">
        <f t="shared" si="1"/>
        <v>3.0220610456328512E-3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42579</v>
      </c>
      <c r="X22" s="10">
        <v>31.54</v>
      </c>
      <c r="Y22" s="10">
        <v>33.590000000000003</v>
      </c>
      <c r="Z22" s="10">
        <v>31.54</v>
      </c>
      <c r="AA22" s="10">
        <v>33.35</v>
      </c>
      <c r="AB22" s="95">
        <v>1388000</v>
      </c>
      <c r="AC22" s="10">
        <v>33.090000000000003</v>
      </c>
      <c r="AD22" s="2">
        <f t="shared" si="0"/>
        <v>2.0500000000000043</v>
      </c>
      <c r="AE22" s="138">
        <f t="shared" si="1"/>
        <v>2.8917910447761486E-2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42578</v>
      </c>
      <c r="X23" s="10">
        <v>32.08</v>
      </c>
      <c r="Y23" s="10">
        <v>32.85</v>
      </c>
      <c r="Z23" s="10">
        <v>32.020000000000003</v>
      </c>
      <c r="AA23" s="10">
        <v>32.409999999999997</v>
      </c>
      <c r="AB23" s="95">
        <v>1261000</v>
      </c>
      <c r="AC23" s="10">
        <v>32.159999999999997</v>
      </c>
      <c r="AD23" s="2">
        <f t="shared" si="0"/>
        <v>0.82999999999999829</v>
      </c>
      <c r="AE23" s="138">
        <f t="shared" si="1"/>
        <v>1.3232514177693666E-2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42577</v>
      </c>
      <c r="X24" s="10">
        <v>31.2</v>
      </c>
      <c r="Y24" s="10">
        <v>32.03</v>
      </c>
      <c r="Z24" s="10">
        <v>31.04</v>
      </c>
      <c r="AA24" s="10">
        <v>31.99</v>
      </c>
      <c r="AB24" s="95">
        <v>530400</v>
      </c>
      <c r="AC24" s="10">
        <v>31.74</v>
      </c>
      <c r="AD24" s="2">
        <f t="shared" si="0"/>
        <v>0.99000000000000199</v>
      </c>
      <c r="AE24" s="138">
        <f t="shared" si="1"/>
        <v>2.7516995791518228E-2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42576</v>
      </c>
      <c r="X25" s="10">
        <v>31.04</v>
      </c>
      <c r="Y25" s="10">
        <v>31.19</v>
      </c>
      <c r="Z25" s="10">
        <v>30.84</v>
      </c>
      <c r="AA25" s="10">
        <v>31.13</v>
      </c>
      <c r="AB25" s="95">
        <v>477100</v>
      </c>
      <c r="AC25" s="10">
        <v>30.89</v>
      </c>
      <c r="AD25" s="2">
        <f t="shared" si="0"/>
        <v>0.35000000000000142</v>
      </c>
      <c r="AE25" s="138">
        <f t="shared" si="1"/>
        <v>2.271252433484694E-3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42573</v>
      </c>
      <c r="X26" s="10">
        <v>30.51</v>
      </c>
      <c r="Y26" s="10">
        <v>31.16</v>
      </c>
      <c r="Z26" s="10">
        <v>30.47</v>
      </c>
      <c r="AA26" s="10">
        <v>31.06</v>
      </c>
      <c r="AB26" s="95">
        <v>561600</v>
      </c>
      <c r="AC26" s="10">
        <v>30.82</v>
      </c>
      <c r="AD26" s="2">
        <f t="shared" si="0"/>
        <v>0.69000000000000128</v>
      </c>
      <c r="AE26" s="138">
        <f t="shared" si="1"/>
        <v>5.8746736292427659E-3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42572</v>
      </c>
      <c r="X27" s="10">
        <v>31.38</v>
      </c>
      <c r="Y27" s="10">
        <v>31.4</v>
      </c>
      <c r="Z27" s="10">
        <v>30.61</v>
      </c>
      <c r="AA27" s="10">
        <v>30.88</v>
      </c>
      <c r="AB27" s="95">
        <v>991600</v>
      </c>
      <c r="AC27" s="10">
        <v>30.64</v>
      </c>
      <c r="AD27" s="2">
        <f t="shared" si="0"/>
        <v>0.78999999999999915</v>
      </c>
      <c r="AE27" s="138">
        <f t="shared" si="1"/>
        <v>-2.2959183673469385E-2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42571</v>
      </c>
      <c r="X28" s="10">
        <v>31.45</v>
      </c>
      <c r="Y28" s="10">
        <v>31.84</v>
      </c>
      <c r="Z28" s="10">
        <v>31.38</v>
      </c>
      <c r="AA28" s="10">
        <v>31.6</v>
      </c>
      <c r="AB28" s="95">
        <v>443800</v>
      </c>
      <c r="AC28" s="10">
        <v>31.36</v>
      </c>
      <c r="AD28" s="2">
        <f t="shared" si="0"/>
        <v>0.46000000000000085</v>
      </c>
      <c r="AE28" s="138">
        <f t="shared" si="1"/>
        <v>2.2371364653244186E-3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42570</v>
      </c>
      <c r="X29" s="10">
        <v>31.46</v>
      </c>
      <c r="Y29" s="10">
        <v>31.7</v>
      </c>
      <c r="Z29" s="10">
        <v>31.42</v>
      </c>
      <c r="AA29" s="10">
        <v>31.53</v>
      </c>
      <c r="AB29" s="95">
        <v>439400</v>
      </c>
      <c r="AC29" s="10">
        <v>31.29</v>
      </c>
      <c r="AD29" s="2">
        <f t="shared" si="0"/>
        <v>0.27999999999999758</v>
      </c>
      <c r="AE29" s="138">
        <f t="shared" si="1"/>
        <v>-5.4036872218691245E-3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42569</v>
      </c>
      <c r="X30" s="10">
        <v>31.36</v>
      </c>
      <c r="Y30" s="10">
        <v>31.81</v>
      </c>
      <c r="Z30" s="10">
        <v>31.36</v>
      </c>
      <c r="AA30" s="10">
        <v>31.7</v>
      </c>
      <c r="AB30" s="95">
        <v>330000</v>
      </c>
      <c r="AC30" s="10">
        <v>31.46</v>
      </c>
      <c r="AD30" s="2">
        <f t="shared" si="0"/>
        <v>0.44999999999999929</v>
      </c>
      <c r="AE30" s="138">
        <f t="shared" si="1"/>
        <v>-9.526833915527444E-4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42566</v>
      </c>
      <c r="X31" s="10">
        <v>31.56</v>
      </c>
      <c r="Y31" s="10">
        <v>31.78</v>
      </c>
      <c r="Z31" s="10">
        <v>31.35</v>
      </c>
      <c r="AA31" s="10">
        <v>31.73</v>
      </c>
      <c r="AB31" s="95">
        <v>658000</v>
      </c>
      <c r="AC31" s="10">
        <v>31.49</v>
      </c>
      <c r="AD31" s="2">
        <f t="shared" si="0"/>
        <v>0.42999999999999972</v>
      </c>
      <c r="AE31" s="138">
        <f t="shared" si="1"/>
        <v>6.7135549872121558E-3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42565</v>
      </c>
      <c r="X32" s="10">
        <v>31.86</v>
      </c>
      <c r="Y32" s="10">
        <v>32.03</v>
      </c>
      <c r="Z32" s="10">
        <v>31.5</v>
      </c>
      <c r="AA32" s="10">
        <v>31.52</v>
      </c>
      <c r="AB32" s="95">
        <v>568400</v>
      </c>
      <c r="AC32" s="10">
        <v>31.28</v>
      </c>
      <c r="AD32" s="2">
        <f t="shared" si="0"/>
        <v>0.53000000000000114</v>
      </c>
      <c r="AE32" s="138">
        <f t="shared" si="1"/>
        <v>-3.1959092361766306E-4</v>
      </c>
    </row>
    <row r="33" spans="1:31" x14ac:dyDescent="0.25">
      <c r="W33" s="133">
        <v>42564</v>
      </c>
      <c r="X33" s="10">
        <v>32.06</v>
      </c>
      <c r="Y33" s="10">
        <v>32.06</v>
      </c>
      <c r="Z33" s="10">
        <v>31.25</v>
      </c>
      <c r="AA33" s="10">
        <v>31.53</v>
      </c>
      <c r="AB33" s="95">
        <v>607500</v>
      </c>
      <c r="AC33" s="10">
        <v>31.29</v>
      </c>
      <c r="AD33" s="2">
        <f t="shared" si="0"/>
        <v>0.81000000000000227</v>
      </c>
      <c r="AE33" s="138">
        <f t="shared" si="1"/>
        <v>-8.8691796008869561E-3</v>
      </c>
    </row>
    <row r="34" spans="1:31" x14ac:dyDescent="0.25">
      <c r="W34" s="133">
        <v>42563</v>
      </c>
      <c r="X34" s="10">
        <v>31.76</v>
      </c>
      <c r="Y34" s="10">
        <v>31.89</v>
      </c>
      <c r="Z34" s="10">
        <v>31.35</v>
      </c>
      <c r="AA34" s="10">
        <v>31.82</v>
      </c>
      <c r="AB34" s="95">
        <v>738300</v>
      </c>
      <c r="AC34" s="10">
        <v>31.57</v>
      </c>
      <c r="AD34" s="2">
        <f t="shared" si="0"/>
        <v>0.53999999999999915</v>
      </c>
      <c r="AE34" s="138">
        <f t="shared" si="1"/>
        <v>1.7074742268041287E-2</v>
      </c>
    </row>
    <row r="35" spans="1:31" x14ac:dyDescent="0.25">
      <c r="W35" s="133">
        <v>42562</v>
      </c>
      <c r="X35" s="10">
        <v>31.5</v>
      </c>
      <c r="Y35" s="10">
        <v>31.62</v>
      </c>
      <c r="Z35" s="10">
        <v>31.02</v>
      </c>
      <c r="AA35" s="10">
        <v>31.28</v>
      </c>
      <c r="AB35" s="95">
        <v>700700</v>
      </c>
      <c r="AC35" s="10">
        <v>31.04</v>
      </c>
      <c r="AD35" s="2">
        <f t="shared" si="0"/>
        <v>0.60000000000000142</v>
      </c>
      <c r="AE35" s="138">
        <f t="shared" si="1"/>
        <v>1.9041365725541715E-2</v>
      </c>
    </row>
    <row r="36" spans="1:31" x14ac:dyDescent="0.25">
      <c r="L36" t="s">
        <v>224</v>
      </c>
      <c r="M36" s="2">
        <f>M47+K47-F47</f>
        <v>529.88000000000284</v>
      </c>
      <c r="W36" s="133">
        <v>42559</v>
      </c>
      <c r="X36" s="10">
        <v>30.5</v>
      </c>
      <c r="Y36" s="10">
        <v>30.99</v>
      </c>
      <c r="Z36" s="10">
        <v>30.44</v>
      </c>
      <c r="AA36" s="10">
        <v>30.7</v>
      </c>
      <c r="AB36" s="95">
        <v>1109000</v>
      </c>
      <c r="AC36" s="10">
        <v>30.46</v>
      </c>
      <c r="AD36" s="2">
        <f t="shared" si="0"/>
        <v>0.54999999999999716</v>
      </c>
      <c r="AE36" s="138">
        <f t="shared" si="1"/>
        <v>2.317769566677863E-2</v>
      </c>
    </row>
    <row r="37" spans="1:31" x14ac:dyDescent="0.25">
      <c r="A37" s="391" t="s">
        <v>1</v>
      </c>
      <c r="B37" s="391" t="s">
        <v>2</v>
      </c>
      <c r="C37" s="391" t="s">
        <v>4</v>
      </c>
      <c r="D37" s="391" t="s">
        <v>5</v>
      </c>
      <c r="E37" s="393" t="s">
        <v>94</v>
      </c>
      <c r="F37" s="391" t="s">
        <v>60</v>
      </c>
      <c r="G37" s="391" t="s">
        <v>3</v>
      </c>
      <c r="H37" s="391" t="s">
        <v>6</v>
      </c>
      <c r="I37" s="391" t="s">
        <v>7</v>
      </c>
      <c r="J37" s="391" t="s">
        <v>95</v>
      </c>
      <c r="K37" s="391" t="s">
        <v>61</v>
      </c>
      <c r="L37" s="391" t="s">
        <v>77</v>
      </c>
      <c r="M37" s="391" t="s">
        <v>38</v>
      </c>
      <c r="W37" s="133">
        <v>42558</v>
      </c>
      <c r="X37" s="10">
        <v>30.16</v>
      </c>
      <c r="Y37" s="10">
        <v>30.63</v>
      </c>
      <c r="Z37" s="10">
        <v>29.65</v>
      </c>
      <c r="AA37" s="10">
        <v>30</v>
      </c>
      <c r="AB37" s="95">
        <v>804900</v>
      </c>
      <c r="AC37" s="10">
        <v>29.77</v>
      </c>
      <c r="AD37" s="2">
        <f t="shared" si="0"/>
        <v>0.98000000000000043</v>
      </c>
      <c r="AE37" s="138">
        <f t="shared" si="1"/>
        <v>-3.6813922356090378E-3</v>
      </c>
    </row>
    <row r="38" spans="1:31" x14ac:dyDescent="0.25">
      <c r="A38" s="394" t="s">
        <v>39</v>
      </c>
      <c r="B38" s="384">
        <v>42179</v>
      </c>
      <c r="C38" s="385">
        <v>10</v>
      </c>
      <c r="D38" s="386">
        <v>37.799999999999997</v>
      </c>
      <c r="E38" s="386">
        <v>0</v>
      </c>
      <c r="F38" s="386">
        <f t="shared" ref="F38:F45" si="4">C38*D38</f>
        <v>378</v>
      </c>
      <c r="G38" s="384">
        <v>42310</v>
      </c>
      <c r="H38" s="389">
        <v>170</v>
      </c>
      <c r="I38" s="386">
        <v>30.28</v>
      </c>
      <c r="J38" s="386">
        <v>7.04</v>
      </c>
      <c r="K38" s="385">
        <f>H38*I38-J38</f>
        <v>5140.5600000000004</v>
      </c>
      <c r="L38" s="384">
        <v>42250</v>
      </c>
      <c r="M38" s="386">
        <v>20.8</v>
      </c>
      <c r="W38" s="133">
        <v>42557</v>
      </c>
      <c r="X38" s="10">
        <v>29.85</v>
      </c>
      <c r="Y38" s="10">
        <v>30.22</v>
      </c>
      <c r="Z38" s="10">
        <v>29.31</v>
      </c>
      <c r="AA38" s="10">
        <v>30.11</v>
      </c>
      <c r="AB38" s="95">
        <v>1179700</v>
      </c>
      <c r="AC38" s="10">
        <v>29.88</v>
      </c>
      <c r="AD38" s="2">
        <f t="shared" si="0"/>
        <v>0.91000000000000014</v>
      </c>
      <c r="AE38" s="138">
        <f t="shared" si="1"/>
        <v>3.0211480362538623E-3</v>
      </c>
    </row>
    <row r="39" spans="1:31" x14ac:dyDescent="0.25">
      <c r="A39" s="395" t="s">
        <v>71</v>
      </c>
      <c r="B39" s="384">
        <v>42194</v>
      </c>
      <c r="C39" s="385">
        <v>10</v>
      </c>
      <c r="D39" s="386">
        <v>35.5</v>
      </c>
      <c r="E39" s="386">
        <v>0</v>
      </c>
      <c r="F39" s="386">
        <f t="shared" si="4"/>
        <v>355</v>
      </c>
      <c r="G39" s="384">
        <v>42314</v>
      </c>
      <c r="H39" s="389">
        <v>80</v>
      </c>
      <c r="I39" s="386">
        <v>32.5</v>
      </c>
      <c r="J39" s="386">
        <v>0.05</v>
      </c>
      <c r="K39" s="385">
        <f>H39*I39-J39</f>
        <v>2599.9499999999998</v>
      </c>
      <c r="L39" s="384">
        <v>42345</v>
      </c>
      <c r="M39" s="386">
        <v>23.4</v>
      </c>
      <c r="W39" s="133">
        <v>42556</v>
      </c>
      <c r="X39" s="10">
        <v>30.57</v>
      </c>
      <c r="Y39" s="10">
        <v>30.76</v>
      </c>
      <c r="Z39" s="10">
        <v>29.75</v>
      </c>
      <c r="AA39" s="10">
        <v>30.02</v>
      </c>
      <c r="AB39" s="95">
        <v>645800</v>
      </c>
      <c r="AC39" s="10">
        <v>29.79</v>
      </c>
      <c r="AD39" s="2">
        <f t="shared" si="0"/>
        <v>1.0100000000000016</v>
      </c>
      <c r="AE39" s="138">
        <f t="shared" si="1"/>
        <v>-2.8375733855185992E-2</v>
      </c>
    </row>
    <row r="40" spans="1:31" x14ac:dyDescent="0.25">
      <c r="A40" s="385"/>
      <c r="B40" s="384">
        <v>42230</v>
      </c>
      <c r="C40" s="385">
        <v>20</v>
      </c>
      <c r="D40" s="386">
        <v>32.9</v>
      </c>
      <c r="E40" s="386">
        <v>0</v>
      </c>
      <c r="F40" s="386">
        <f t="shared" si="4"/>
        <v>658</v>
      </c>
      <c r="G40" s="384">
        <v>42010</v>
      </c>
      <c r="H40" s="389">
        <v>40</v>
      </c>
      <c r="I40" s="385">
        <v>28.92</v>
      </c>
      <c r="J40" s="386">
        <v>0.02</v>
      </c>
      <c r="K40" s="385">
        <f>H40*I40-J40</f>
        <v>1156.7800000000002</v>
      </c>
      <c r="L40" s="385"/>
      <c r="M40" s="385"/>
      <c r="W40" s="133">
        <v>42552</v>
      </c>
      <c r="X40" s="10">
        <v>30.59</v>
      </c>
      <c r="Y40" s="10">
        <v>31.18</v>
      </c>
      <c r="Z40" s="10">
        <v>30.51</v>
      </c>
      <c r="AA40" s="10">
        <v>30.9</v>
      </c>
      <c r="AB40" s="95">
        <v>513500</v>
      </c>
      <c r="AC40" s="10">
        <v>30.66</v>
      </c>
      <c r="AD40" s="2">
        <f t="shared" si="0"/>
        <v>0.66999999999999815</v>
      </c>
      <c r="AE40" s="138">
        <f t="shared" si="1"/>
        <v>7.8895463510848529E-3</v>
      </c>
    </row>
    <row r="41" spans="1:31" x14ac:dyDescent="0.25">
      <c r="A41" s="385"/>
      <c r="B41" s="384">
        <v>42240</v>
      </c>
      <c r="C41" s="385">
        <v>40</v>
      </c>
      <c r="D41" s="386">
        <v>32.4</v>
      </c>
      <c r="E41" s="386">
        <v>0</v>
      </c>
      <c r="F41" s="386">
        <f t="shared" si="4"/>
        <v>1296</v>
      </c>
      <c r="G41" s="384">
        <v>42404</v>
      </c>
      <c r="H41" s="389">
        <v>90</v>
      </c>
      <c r="I41" s="386">
        <v>28.55</v>
      </c>
      <c r="J41" s="386">
        <v>0.05</v>
      </c>
      <c r="K41" s="385">
        <f>H41*I41-J41</f>
        <v>2569.4499999999998</v>
      </c>
      <c r="L41" s="385"/>
      <c r="M41" s="385"/>
      <c r="W41" s="133">
        <v>42551</v>
      </c>
      <c r="X41" s="10">
        <v>29.94</v>
      </c>
      <c r="Y41" s="10">
        <v>30.68</v>
      </c>
      <c r="Z41" s="10">
        <v>29.76</v>
      </c>
      <c r="AA41" s="10">
        <v>30.66</v>
      </c>
      <c r="AB41" s="95">
        <v>803700</v>
      </c>
      <c r="AC41" s="10">
        <v>30.42</v>
      </c>
      <c r="AD41" s="2">
        <f t="shared" si="0"/>
        <v>0.91999999999999815</v>
      </c>
      <c r="AE41" s="138">
        <f t="shared" si="1"/>
        <v>3.1536113936927901E-2</v>
      </c>
    </row>
    <row r="42" spans="1:31" ht="20.25" thickBot="1" x14ac:dyDescent="0.35">
      <c r="A42" s="385"/>
      <c r="B42" s="384">
        <v>42275</v>
      </c>
      <c r="C42" s="385">
        <v>90</v>
      </c>
      <c r="D42" s="386">
        <v>29.2</v>
      </c>
      <c r="E42" s="386">
        <v>0</v>
      </c>
      <c r="F42" s="386">
        <f t="shared" si="4"/>
        <v>2628</v>
      </c>
      <c r="G42" s="384">
        <v>42412</v>
      </c>
      <c r="H42" s="389">
        <v>90</v>
      </c>
      <c r="I42" s="386">
        <v>29.55</v>
      </c>
      <c r="J42" s="386">
        <v>0.06</v>
      </c>
      <c r="K42" s="385">
        <f>H42*I42-J42</f>
        <v>2659.44</v>
      </c>
      <c r="L42" s="385"/>
      <c r="M42" s="385"/>
      <c r="O42" s="422" t="s">
        <v>78</v>
      </c>
      <c r="P42" s="422"/>
      <c r="T42" s="91" t="s">
        <v>113</v>
      </c>
      <c r="W42" s="133">
        <v>42550</v>
      </c>
      <c r="X42" s="10">
        <v>30</v>
      </c>
      <c r="Y42" s="10">
        <v>30.19</v>
      </c>
      <c r="Z42" s="10">
        <v>29.5</v>
      </c>
      <c r="AA42" s="10">
        <v>29.72</v>
      </c>
      <c r="AB42" s="95">
        <v>910500</v>
      </c>
      <c r="AC42" s="10">
        <v>29.49</v>
      </c>
      <c r="AD42" s="2">
        <f t="shared" si="0"/>
        <v>0.69000000000000128</v>
      </c>
      <c r="AE42" s="138">
        <f t="shared" si="1"/>
        <v>4.7700170357749538E-3</v>
      </c>
    </row>
    <row r="43" spans="1:31" ht="15.75" thickTop="1" x14ac:dyDescent="0.25">
      <c r="A43" s="385"/>
      <c r="B43" s="384">
        <v>42298</v>
      </c>
      <c r="C43" s="385">
        <v>170</v>
      </c>
      <c r="D43" s="386">
        <v>28.4</v>
      </c>
      <c r="E43" s="386">
        <v>0</v>
      </c>
      <c r="F43" s="386">
        <f t="shared" si="4"/>
        <v>4828</v>
      </c>
      <c r="G43" s="385"/>
      <c r="H43" s="385"/>
      <c r="I43" s="385"/>
      <c r="J43" s="385"/>
      <c r="K43" s="385"/>
      <c r="L43" s="385"/>
      <c r="M43" s="385"/>
      <c r="O43" s="83">
        <v>1.1000000000000001</v>
      </c>
      <c r="P43" s="83">
        <f>O43*$Q$4</f>
        <v>37.477000000000004</v>
      </c>
      <c r="T43" s="93" t="s">
        <v>98</v>
      </c>
      <c r="U43" s="440">
        <v>34.299999999999997</v>
      </c>
      <c r="W43" s="133">
        <v>42549</v>
      </c>
      <c r="X43" s="10">
        <v>29.44</v>
      </c>
      <c r="Y43" s="10">
        <v>29.72</v>
      </c>
      <c r="Z43" s="10">
        <v>29.17</v>
      </c>
      <c r="AA43" s="10">
        <v>29.58</v>
      </c>
      <c r="AB43" s="95">
        <v>1352500</v>
      </c>
      <c r="AC43" s="10">
        <v>29.35</v>
      </c>
      <c r="AD43" s="2">
        <f t="shared" si="0"/>
        <v>0.54999999999999716</v>
      </c>
      <c r="AE43" s="138">
        <f t="shared" si="1"/>
        <v>2.0869565217391362E-2</v>
      </c>
    </row>
    <row r="44" spans="1:31" x14ac:dyDescent="0.25">
      <c r="A44" s="385"/>
      <c r="B44" s="384">
        <v>42360</v>
      </c>
      <c r="C44" s="385">
        <v>40</v>
      </c>
      <c r="D44" s="386">
        <v>27.25</v>
      </c>
      <c r="E44" s="386">
        <v>0</v>
      </c>
      <c r="F44" s="386">
        <f t="shared" si="4"/>
        <v>1090</v>
      </c>
      <c r="G44" s="385"/>
      <c r="H44" s="385"/>
      <c r="I44" s="385"/>
      <c r="J44" s="385"/>
      <c r="K44" s="385"/>
      <c r="L44" s="385"/>
      <c r="M44" s="385"/>
      <c r="O44" s="83">
        <v>1.0900000000000001</v>
      </c>
      <c r="P44" s="83">
        <f t="shared" ref="P44:P63" si="5">O44*$Q$4</f>
        <v>37.136300000000006</v>
      </c>
      <c r="T44" s="93" t="s">
        <v>99</v>
      </c>
      <c r="U44" s="440">
        <v>34.17</v>
      </c>
      <c r="W44" s="133">
        <v>42548</v>
      </c>
      <c r="X44" s="10">
        <v>29.98</v>
      </c>
      <c r="Y44" s="10">
        <v>30</v>
      </c>
      <c r="Z44" s="10">
        <v>28.72</v>
      </c>
      <c r="AA44" s="10">
        <v>28.97</v>
      </c>
      <c r="AB44" s="95">
        <v>1003800</v>
      </c>
      <c r="AC44" s="10">
        <v>28.75</v>
      </c>
      <c r="AD44" s="2">
        <f t="shared" si="0"/>
        <v>1.2800000000000011</v>
      </c>
      <c r="AE44" s="138">
        <f t="shared" si="1"/>
        <v>-4.8328368090036489E-2</v>
      </c>
    </row>
    <row r="45" spans="1:31" x14ac:dyDescent="0.25">
      <c r="A45" s="385"/>
      <c r="B45" s="384">
        <v>42376</v>
      </c>
      <c r="C45" s="385">
        <v>90</v>
      </c>
      <c r="D45" s="386">
        <v>26.75</v>
      </c>
      <c r="E45" s="386">
        <v>0</v>
      </c>
      <c r="F45" s="386">
        <f t="shared" si="4"/>
        <v>2407.5</v>
      </c>
      <c r="G45" s="385"/>
      <c r="H45" s="385"/>
      <c r="I45" s="385"/>
      <c r="J45" s="385"/>
      <c r="K45" s="385"/>
      <c r="L45" s="385"/>
      <c r="M45" s="385"/>
      <c r="O45" s="83">
        <v>1.08</v>
      </c>
      <c r="P45" s="83">
        <f t="shared" si="5"/>
        <v>36.7956</v>
      </c>
      <c r="T45" s="93" t="s">
        <v>100</v>
      </c>
      <c r="U45" s="440" t="s">
        <v>377</v>
      </c>
      <c r="W45" s="133">
        <v>42545</v>
      </c>
      <c r="X45" s="10">
        <v>31.91</v>
      </c>
      <c r="Y45" s="10">
        <v>32.01</v>
      </c>
      <c r="Z45" s="10">
        <v>30.42</v>
      </c>
      <c r="AA45" s="10">
        <v>30.44</v>
      </c>
      <c r="AB45" s="95">
        <v>1182600</v>
      </c>
      <c r="AC45" s="10">
        <v>30.21</v>
      </c>
      <c r="AD45" s="2">
        <f t="shared" si="0"/>
        <v>1.5899999999999963</v>
      </c>
      <c r="AE45" s="138">
        <f t="shared" si="1"/>
        <v>-9.0060240963855454E-2</v>
      </c>
    </row>
    <row r="46" spans="1:31" x14ac:dyDescent="0.25">
      <c r="A46" s="385"/>
      <c r="B46" s="385"/>
      <c r="C46" s="385"/>
      <c r="D46" s="385"/>
      <c r="E46" s="386"/>
      <c r="F46" s="385"/>
      <c r="G46" s="385"/>
      <c r="H46" s="385"/>
      <c r="I46" s="385"/>
      <c r="J46" s="385"/>
      <c r="K46" s="385"/>
      <c r="L46" s="385"/>
      <c r="M46" s="385"/>
      <c r="O46" s="83">
        <v>1.07</v>
      </c>
      <c r="P46" s="83">
        <f t="shared" si="5"/>
        <v>36.454900000000002</v>
      </c>
      <c r="Q46" s="2"/>
      <c r="T46" s="93" t="s">
        <v>101</v>
      </c>
      <c r="U46" s="440" t="s">
        <v>378</v>
      </c>
      <c r="W46" s="133">
        <v>42544</v>
      </c>
      <c r="X46" s="10">
        <v>33.17</v>
      </c>
      <c r="Y46" s="10">
        <v>33.47</v>
      </c>
      <c r="Z46" s="10">
        <v>33.17</v>
      </c>
      <c r="AA46" s="10">
        <v>33.46</v>
      </c>
      <c r="AB46" s="95">
        <v>462100</v>
      </c>
      <c r="AC46" s="10">
        <v>33.200000000000003</v>
      </c>
      <c r="AD46" s="2">
        <f t="shared" si="0"/>
        <v>0.29999999999999716</v>
      </c>
      <c r="AE46" s="138">
        <f t="shared" si="1"/>
        <v>2.5324274243360145E-2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36.114200000000004</v>
      </c>
      <c r="Q47" s="2"/>
      <c r="T47" s="93" t="s">
        <v>102</v>
      </c>
      <c r="U47" s="440">
        <v>34.33</v>
      </c>
      <c r="W47" s="133">
        <v>42543</v>
      </c>
      <c r="X47" s="10">
        <v>32.85</v>
      </c>
      <c r="Y47" s="10">
        <v>32.9</v>
      </c>
      <c r="Z47" s="10">
        <v>32.49</v>
      </c>
      <c r="AA47" s="10">
        <v>32.630000000000003</v>
      </c>
      <c r="AB47" s="95">
        <v>484300</v>
      </c>
      <c r="AC47" s="10">
        <v>32.380000000000003</v>
      </c>
      <c r="AD47" s="2">
        <f t="shared" si="0"/>
        <v>0.40999999999999659</v>
      </c>
      <c r="AE47" s="138">
        <f t="shared" si="1"/>
        <v>-9.2564023449537292E-4</v>
      </c>
    </row>
    <row r="48" spans="1:31" x14ac:dyDescent="0.25">
      <c r="A48" s="385"/>
      <c r="B48" s="385"/>
      <c r="C48" s="385"/>
      <c r="D48" s="385"/>
      <c r="E48" s="386"/>
      <c r="F48" s="385"/>
      <c r="G48" s="385"/>
      <c r="H48" s="385"/>
      <c r="I48" s="385"/>
      <c r="J48" s="385"/>
      <c r="K48" s="385"/>
      <c r="L48" s="385"/>
      <c r="M48" s="385"/>
      <c r="O48" s="83">
        <v>1.05</v>
      </c>
      <c r="P48" s="83">
        <f t="shared" si="5"/>
        <v>35.773499999999999</v>
      </c>
      <c r="Q48" s="2"/>
      <c r="T48" s="93" t="s">
        <v>103</v>
      </c>
      <c r="U48" s="440">
        <v>1.4225300000000001</v>
      </c>
      <c r="W48" s="133">
        <v>42542</v>
      </c>
      <c r="X48" s="10">
        <v>33.340000000000003</v>
      </c>
      <c r="Y48" s="10">
        <v>33.42</v>
      </c>
      <c r="Z48" s="10">
        <v>32.53</v>
      </c>
      <c r="AA48" s="10">
        <v>32.659999999999997</v>
      </c>
      <c r="AB48" s="95">
        <v>747400</v>
      </c>
      <c r="AC48" s="10">
        <v>32.409999999999997</v>
      </c>
      <c r="AD48" s="2">
        <f t="shared" si="0"/>
        <v>0.89000000000000057</v>
      </c>
      <c r="AE48" s="138">
        <f t="shared" si="1"/>
        <v>-2.0845921450151184E-2</v>
      </c>
    </row>
    <row r="49" spans="15:31" x14ac:dyDescent="0.25">
      <c r="O49" s="83">
        <v>1.04</v>
      </c>
      <c r="P49" s="83">
        <f t="shared" si="5"/>
        <v>35.4328</v>
      </c>
      <c r="Q49" s="2"/>
      <c r="T49" s="93" t="s">
        <v>123</v>
      </c>
      <c r="U49" s="440" t="s">
        <v>332</v>
      </c>
      <c r="W49" s="133">
        <v>42541</v>
      </c>
      <c r="X49" s="10">
        <v>33.479999999999997</v>
      </c>
      <c r="Y49" s="10">
        <v>33.72</v>
      </c>
      <c r="Z49" s="10">
        <v>33.26</v>
      </c>
      <c r="AA49" s="10">
        <v>33.36</v>
      </c>
      <c r="AB49" s="95">
        <v>406600</v>
      </c>
      <c r="AC49" s="10">
        <v>33.1</v>
      </c>
      <c r="AD49" s="2">
        <f t="shared" si="0"/>
        <v>0.46000000000000085</v>
      </c>
      <c r="AE49" s="138">
        <f t="shared" si="1"/>
        <v>1.3161922252831415E-2</v>
      </c>
    </row>
    <row r="50" spans="15:31" x14ac:dyDescent="0.25">
      <c r="O50" s="83">
        <v>1.03</v>
      </c>
      <c r="P50" s="83">
        <f t="shared" si="5"/>
        <v>35.092100000000002</v>
      </c>
      <c r="Q50" s="2"/>
      <c r="T50" s="93"/>
      <c r="U50" s="440"/>
      <c r="W50" s="133">
        <v>42538</v>
      </c>
      <c r="X50" s="10">
        <v>32.6</v>
      </c>
      <c r="Y50" s="10">
        <v>33.07</v>
      </c>
      <c r="Z50" s="10">
        <v>32.409999999999997</v>
      </c>
      <c r="AA50" s="10">
        <v>32.92</v>
      </c>
      <c r="AB50" s="95">
        <v>893300</v>
      </c>
      <c r="AC50" s="10">
        <v>32.67</v>
      </c>
      <c r="AD50" s="2">
        <f t="shared" si="0"/>
        <v>0.66000000000000369</v>
      </c>
      <c r="AE50" s="138">
        <f t="shared" si="1"/>
        <v>1.3337468982630218E-2</v>
      </c>
    </row>
    <row r="51" spans="15:31" x14ac:dyDescent="0.25">
      <c r="O51" s="83">
        <v>1.02</v>
      </c>
      <c r="P51" s="83">
        <f t="shared" si="5"/>
        <v>34.751400000000004</v>
      </c>
      <c r="Q51" s="2"/>
      <c r="T51" s="93" t="s">
        <v>105</v>
      </c>
      <c r="U51" s="440" t="s">
        <v>511</v>
      </c>
      <c r="W51" s="133">
        <v>42537</v>
      </c>
      <c r="X51" s="10">
        <v>32.22</v>
      </c>
      <c r="Y51" s="10">
        <v>32.619999999999997</v>
      </c>
      <c r="Z51" s="10">
        <v>31.8</v>
      </c>
      <c r="AA51" s="10">
        <v>32.49</v>
      </c>
      <c r="AB51" s="95">
        <v>568600</v>
      </c>
      <c r="AC51" s="10">
        <v>32.24</v>
      </c>
      <c r="AD51" s="2">
        <f t="shared" si="0"/>
        <v>0.81999999999999673</v>
      </c>
      <c r="AE51" s="138">
        <f t="shared" si="1"/>
        <v>1.55327741534661E-3</v>
      </c>
    </row>
    <row r="52" spans="15:31" x14ac:dyDescent="0.25">
      <c r="O52" s="83">
        <v>1.01</v>
      </c>
      <c r="P52" s="83">
        <f t="shared" si="5"/>
        <v>34.410699999999999</v>
      </c>
      <c r="Q52" s="2"/>
      <c r="T52" s="93" t="s">
        <v>106</v>
      </c>
      <c r="U52" s="440" t="s">
        <v>271</v>
      </c>
      <c r="W52" s="133">
        <v>42536</v>
      </c>
      <c r="X52" s="10">
        <v>32.770000000000003</v>
      </c>
      <c r="Y52" s="10">
        <v>32.97</v>
      </c>
      <c r="Z52" s="10">
        <v>32.409999999999997</v>
      </c>
      <c r="AA52" s="10">
        <v>32.44</v>
      </c>
      <c r="AB52" s="95">
        <v>415100</v>
      </c>
      <c r="AC52" s="10">
        <v>32.19</v>
      </c>
      <c r="AD52" s="2">
        <f t="shared" si="0"/>
        <v>0.56000000000000227</v>
      </c>
      <c r="AE52" s="138">
        <f t="shared" si="1"/>
        <v>-2.4790827393865733E-3</v>
      </c>
    </row>
    <row r="53" spans="15:31" x14ac:dyDescent="0.25">
      <c r="O53" s="83">
        <v>1</v>
      </c>
      <c r="P53" s="83">
        <f t="shared" si="5"/>
        <v>34.07</v>
      </c>
      <c r="Q53" s="2"/>
      <c r="T53" s="93" t="s">
        <v>107</v>
      </c>
      <c r="U53" s="441">
        <v>472916</v>
      </c>
      <c r="W53" s="133">
        <v>42535</v>
      </c>
      <c r="X53" s="10">
        <v>32.72</v>
      </c>
      <c r="Y53" s="10">
        <v>33.130000000000003</v>
      </c>
      <c r="Z53" s="10">
        <v>32.33</v>
      </c>
      <c r="AA53" s="10">
        <v>32.520000000000003</v>
      </c>
      <c r="AB53" s="95">
        <v>879400</v>
      </c>
      <c r="AC53" s="10">
        <v>32.270000000000003</v>
      </c>
      <c r="AD53" s="2">
        <f t="shared" si="0"/>
        <v>0.80000000000000426</v>
      </c>
      <c r="AE53" s="138">
        <f t="shared" si="1"/>
        <v>-1.1941212492345143E-2</v>
      </c>
    </row>
    <row r="54" spans="15:31" x14ac:dyDescent="0.25">
      <c r="O54" s="83">
        <v>0.99</v>
      </c>
      <c r="P54" s="83">
        <f t="shared" si="5"/>
        <v>33.729300000000002</v>
      </c>
      <c r="Q54" s="2"/>
      <c r="T54" s="93" t="s">
        <v>110</v>
      </c>
      <c r="U54" s="441">
        <v>650880</v>
      </c>
      <c r="W54" s="133">
        <v>42534</v>
      </c>
      <c r="X54" s="10">
        <v>33.369999999999997</v>
      </c>
      <c r="Y54" s="10">
        <v>33.5</v>
      </c>
      <c r="Z54" s="10">
        <v>32.89</v>
      </c>
      <c r="AA54" s="10">
        <v>32.909999999999997</v>
      </c>
      <c r="AB54" s="95">
        <v>448200</v>
      </c>
      <c r="AC54" s="10">
        <v>32.659999999999997</v>
      </c>
      <c r="AD54" s="2">
        <f t="shared" si="0"/>
        <v>0.60999999999999943</v>
      </c>
      <c r="AE54" s="138">
        <f t="shared" si="1"/>
        <v>-1.5672091621458772E-2</v>
      </c>
    </row>
    <row r="55" spans="15:31" x14ac:dyDescent="0.25">
      <c r="O55" s="83">
        <v>0.98</v>
      </c>
      <c r="P55" s="83">
        <f t="shared" si="5"/>
        <v>33.388599999999997</v>
      </c>
      <c r="Q55" s="2"/>
      <c r="T55" s="93" t="s">
        <v>108</v>
      </c>
      <c r="U55" s="440" t="s">
        <v>512</v>
      </c>
      <c r="W55" s="133">
        <v>42531</v>
      </c>
      <c r="X55" s="10">
        <v>33.61</v>
      </c>
      <c r="Y55" s="10">
        <v>33.630000000000003</v>
      </c>
      <c r="Z55" s="10">
        <v>33.07</v>
      </c>
      <c r="AA55" s="10">
        <v>33.44</v>
      </c>
      <c r="AB55" s="95">
        <v>877900</v>
      </c>
      <c r="AC55" s="10">
        <v>33.18</v>
      </c>
      <c r="AD55" s="2">
        <f t="shared" si="0"/>
        <v>0.56000000000000227</v>
      </c>
      <c r="AE55" s="138">
        <f t="shared" si="1"/>
        <v>-1.9213715637008577E-2</v>
      </c>
    </row>
    <row r="56" spans="15:31" x14ac:dyDescent="0.25">
      <c r="O56" s="83">
        <v>0.97</v>
      </c>
      <c r="P56" s="83">
        <f t="shared" si="5"/>
        <v>33.047899999999998</v>
      </c>
      <c r="Q56" s="2"/>
      <c r="T56" s="93" t="s">
        <v>111</v>
      </c>
      <c r="U56" s="440">
        <v>20.46</v>
      </c>
      <c r="W56" s="133">
        <v>42530</v>
      </c>
      <c r="X56" s="10">
        <v>33.96</v>
      </c>
      <c r="Y56" s="10">
        <v>34.14</v>
      </c>
      <c r="Z56" s="10">
        <v>33.74</v>
      </c>
      <c r="AA56" s="10">
        <v>34.090000000000003</v>
      </c>
      <c r="AB56" s="95">
        <v>247800</v>
      </c>
      <c r="AC56" s="10">
        <v>33.83</v>
      </c>
      <c r="AD56" s="2">
        <f t="shared" si="0"/>
        <v>0.39999999999999858</v>
      </c>
      <c r="AE56" s="138">
        <f t="shared" si="1"/>
        <v>-8.2087364409264563E-3</v>
      </c>
    </row>
    <row r="57" spans="15:31" x14ac:dyDescent="0.25">
      <c r="O57" s="83">
        <v>0.96</v>
      </c>
      <c r="P57" s="83">
        <f t="shared" si="5"/>
        <v>32.7072</v>
      </c>
      <c r="Q57" s="2"/>
      <c r="T57" s="93" t="s">
        <v>112</v>
      </c>
      <c r="U57" s="440">
        <v>1.67</v>
      </c>
      <c r="W57" s="133">
        <v>42529</v>
      </c>
      <c r="X57" s="10">
        <v>34.5</v>
      </c>
      <c r="Y57" s="10">
        <v>34.57</v>
      </c>
      <c r="Z57" s="10">
        <v>34.25</v>
      </c>
      <c r="AA57" s="10">
        <v>34.380000000000003</v>
      </c>
      <c r="AB57" s="95">
        <v>740900</v>
      </c>
      <c r="AC57" s="10">
        <v>34.11</v>
      </c>
      <c r="AD57" s="2">
        <f t="shared" si="0"/>
        <v>0.32000000000000028</v>
      </c>
      <c r="AE57" s="138">
        <f t="shared" si="1"/>
        <v>2.9403116730373213E-3</v>
      </c>
    </row>
    <row r="58" spans="15:31" x14ac:dyDescent="0.25">
      <c r="O58" s="83">
        <v>0.95</v>
      </c>
      <c r="P58" s="83">
        <f t="shared" si="5"/>
        <v>32.366500000000002</v>
      </c>
      <c r="Q58" s="2"/>
      <c r="T58" s="93" t="s">
        <v>109</v>
      </c>
      <c r="U58" s="440" t="s">
        <v>401</v>
      </c>
      <c r="W58" s="133">
        <v>42528</v>
      </c>
      <c r="X58" s="10">
        <v>33.950000000000003</v>
      </c>
      <c r="Y58" s="10">
        <v>34.369999999999997</v>
      </c>
      <c r="Z58" s="10">
        <v>33.869999999999997</v>
      </c>
      <c r="AA58" s="10">
        <v>34.270000000000003</v>
      </c>
      <c r="AB58" s="95">
        <v>376500</v>
      </c>
      <c r="AC58" s="10">
        <v>34.01</v>
      </c>
      <c r="AD58" s="2">
        <f t="shared" si="0"/>
        <v>0.5</v>
      </c>
      <c r="AE58" s="138">
        <f t="shared" si="1"/>
        <v>9.7980997624702582E-3</v>
      </c>
    </row>
    <row r="59" spans="15:31" x14ac:dyDescent="0.25">
      <c r="O59" s="83">
        <v>0.94</v>
      </c>
      <c r="P59" s="83">
        <f t="shared" si="5"/>
        <v>32.025799999999997</v>
      </c>
      <c r="W59" s="133">
        <v>42527</v>
      </c>
      <c r="X59" s="10">
        <v>33.79</v>
      </c>
      <c r="Y59" s="10">
        <v>34.07</v>
      </c>
      <c r="Z59" s="10">
        <v>33.49</v>
      </c>
      <c r="AA59" s="10">
        <v>33.94</v>
      </c>
      <c r="AB59" s="95">
        <v>704000</v>
      </c>
      <c r="AC59" s="10">
        <v>33.68</v>
      </c>
      <c r="AD59" s="2">
        <f t="shared" si="0"/>
        <v>0.57999999999999829</v>
      </c>
      <c r="AE59" s="138">
        <f t="shared" si="1"/>
        <v>1.1411411411411443E-2</v>
      </c>
    </row>
    <row r="60" spans="15:31" x14ac:dyDescent="0.25">
      <c r="O60" s="83">
        <v>0.93</v>
      </c>
      <c r="P60" s="83">
        <f t="shared" si="5"/>
        <v>31.685100000000002</v>
      </c>
      <c r="W60" s="133">
        <v>42524</v>
      </c>
      <c r="X60" s="10">
        <v>33.96</v>
      </c>
      <c r="Y60" s="10">
        <v>33.96</v>
      </c>
      <c r="Z60" s="10">
        <v>33.31</v>
      </c>
      <c r="AA60" s="10">
        <v>33.56</v>
      </c>
      <c r="AB60" s="95">
        <v>655300</v>
      </c>
      <c r="AC60" s="10">
        <v>33.299999999999997</v>
      </c>
      <c r="AD60" s="2">
        <f t="shared" si="0"/>
        <v>0.64999999999999858</v>
      </c>
      <c r="AE60" s="138">
        <f t="shared" si="1"/>
        <v>-7.1556350626118537E-3</v>
      </c>
    </row>
    <row r="61" spans="15:31" x14ac:dyDescent="0.25">
      <c r="O61" s="83">
        <v>0.92</v>
      </c>
      <c r="P61" s="83">
        <f t="shared" si="5"/>
        <v>31.3444</v>
      </c>
      <c r="W61" s="133">
        <v>42523</v>
      </c>
      <c r="X61" s="10">
        <v>33.090000000000003</v>
      </c>
      <c r="Y61" s="10">
        <v>33.840000000000003</v>
      </c>
      <c r="Z61" s="10">
        <v>33.090000000000003</v>
      </c>
      <c r="AA61" s="10">
        <v>33.799999999999997</v>
      </c>
      <c r="AB61" s="95">
        <v>635100</v>
      </c>
      <c r="AC61" s="10">
        <v>33.54</v>
      </c>
      <c r="AD61" s="2">
        <f t="shared" si="0"/>
        <v>0.75</v>
      </c>
      <c r="AE61" s="138">
        <f t="shared" si="1"/>
        <v>1.6363636363636358E-2</v>
      </c>
    </row>
    <row r="62" spans="15:31" x14ac:dyDescent="0.25">
      <c r="O62" s="83">
        <v>0.91</v>
      </c>
      <c r="P62" s="83">
        <f t="shared" si="5"/>
        <v>31.003700000000002</v>
      </c>
      <c r="W62" s="133">
        <v>42522</v>
      </c>
      <c r="X62" s="10">
        <v>32.96</v>
      </c>
      <c r="Y62" s="10">
        <v>33.42</v>
      </c>
      <c r="Z62" s="10">
        <v>32.6</v>
      </c>
      <c r="AA62" s="10">
        <v>33.26</v>
      </c>
      <c r="AB62" s="95">
        <v>778600</v>
      </c>
      <c r="AC62" s="10">
        <v>33</v>
      </c>
      <c r="AD62" s="2">
        <f t="shared" si="0"/>
        <v>0.82000000000000028</v>
      </c>
      <c r="AE62" s="138">
        <f t="shared" si="1"/>
        <v>3.0312215822969613E-4</v>
      </c>
    </row>
    <row r="63" spans="15:31" x14ac:dyDescent="0.25">
      <c r="O63" s="83">
        <v>0.9</v>
      </c>
      <c r="P63" s="83">
        <f t="shared" si="5"/>
        <v>30.663</v>
      </c>
      <c r="W63" s="133">
        <v>42521</v>
      </c>
      <c r="X63" s="10">
        <v>33.520000000000003</v>
      </c>
      <c r="Y63" s="10">
        <v>33.979999999999997</v>
      </c>
      <c r="Z63" s="10">
        <v>33.14</v>
      </c>
      <c r="AA63" s="10">
        <v>33.25</v>
      </c>
      <c r="AB63" s="95">
        <v>966600</v>
      </c>
      <c r="AC63" s="10">
        <v>32.99</v>
      </c>
      <c r="AD63" s="2">
        <f t="shared" si="0"/>
        <v>0.83999999999999631</v>
      </c>
      <c r="AE63" s="138">
        <f t="shared" si="1"/>
        <v>-5.72634116937909E-3</v>
      </c>
    </row>
    <row r="64" spans="15:31" x14ac:dyDescent="0.25">
      <c r="W64" s="133">
        <v>42517</v>
      </c>
      <c r="X64" s="10">
        <v>33.590000000000003</v>
      </c>
      <c r="Y64" s="10">
        <v>33.9</v>
      </c>
      <c r="Z64" s="10">
        <v>33.26</v>
      </c>
      <c r="AA64" s="10">
        <v>33.44</v>
      </c>
      <c r="AB64" s="95">
        <v>579700</v>
      </c>
      <c r="AC64" s="10">
        <v>33.18</v>
      </c>
      <c r="AD64" s="2">
        <f t="shared" si="0"/>
        <v>0.64000000000000057</v>
      </c>
      <c r="AE64" s="138">
        <f t="shared" si="1"/>
        <v>-7.1813285457810183E-3</v>
      </c>
    </row>
    <row r="65" spans="23:31" x14ac:dyDescent="0.25">
      <c r="W65" s="133">
        <v>42516</v>
      </c>
      <c r="X65" s="10">
        <v>34.229999999999997</v>
      </c>
      <c r="Y65" s="10">
        <v>34.43</v>
      </c>
      <c r="Z65" s="10">
        <v>33.57</v>
      </c>
      <c r="AA65" s="10">
        <v>33.68</v>
      </c>
      <c r="AB65" s="95">
        <v>522000</v>
      </c>
      <c r="AC65" s="10">
        <v>33.42</v>
      </c>
      <c r="AD65" s="2">
        <f t="shared" si="0"/>
        <v>0.85999999999999943</v>
      </c>
      <c r="AE65" s="138">
        <f t="shared" si="1"/>
        <v>-1.0657193605683846E-2</v>
      </c>
    </row>
    <row r="66" spans="23:31" x14ac:dyDescent="0.25">
      <c r="W66" s="133">
        <v>42515</v>
      </c>
      <c r="X66" s="10">
        <v>33.47</v>
      </c>
      <c r="Y66" s="10">
        <v>34.159999999999997</v>
      </c>
      <c r="Z66" s="10">
        <v>33.25</v>
      </c>
      <c r="AA66" s="10">
        <v>34.04</v>
      </c>
      <c r="AB66" s="95">
        <v>506700</v>
      </c>
      <c r="AC66" s="10">
        <v>33.78</v>
      </c>
      <c r="AD66" s="2">
        <f t="shared" si="0"/>
        <v>0.90999999999999659</v>
      </c>
      <c r="AE66" s="138">
        <f t="shared" si="1"/>
        <v>2.487864077669899E-2</v>
      </c>
    </row>
    <row r="67" spans="23:31" x14ac:dyDescent="0.25">
      <c r="W67" s="133">
        <v>42514</v>
      </c>
      <c r="X67" s="10">
        <v>32.85</v>
      </c>
      <c r="Y67" s="10">
        <v>33.36</v>
      </c>
      <c r="Z67" s="10">
        <v>32.6</v>
      </c>
      <c r="AA67" s="10">
        <v>33.22</v>
      </c>
      <c r="AB67" s="95">
        <v>510300</v>
      </c>
      <c r="AC67" s="10">
        <v>32.96</v>
      </c>
      <c r="AD67" s="2">
        <f>Y67-Z67</f>
        <v>0.75999999999999801</v>
      </c>
      <c r="AE67" s="138">
        <f>AC67/AC68-1</f>
        <v>1.6342892383595542E-2</v>
      </c>
    </row>
    <row r="68" spans="23:31" x14ac:dyDescent="0.25">
      <c r="W68" s="133">
        <v>42513</v>
      </c>
      <c r="X68" s="10">
        <v>32.42</v>
      </c>
      <c r="Y68" s="10">
        <v>32.729999999999997</v>
      </c>
      <c r="Z68" s="10">
        <v>32.26</v>
      </c>
      <c r="AA68" s="10">
        <v>32.68</v>
      </c>
      <c r="AB68" s="95">
        <v>467600</v>
      </c>
      <c r="AC68" s="10">
        <v>32.43</v>
      </c>
      <c r="AD68" s="2">
        <f>Y68-Z68</f>
        <v>0.46999999999999886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42606</v>
      </c>
      <c r="X2" s="10">
        <v>108.02</v>
      </c>
      <c r="Y2" s="10">
        <v>108.32</v>
      </c>
      <c r="Z2" s="10">
        <v>107.6</v>
      </c>
      <c r="AA2" s="10">
        <v>107.96</v>
      </c>
      <c r="AB2" s="95">
        <v>2410100</v>
      </c>
      <c r="AC2" s="10">
        <v>107.96</v>
      </c>
      <c r="AD2" s="2">
        <f>Y2-Z2</f>
        <v>0.71999999999999886</v>
      </c>
      <c r="AE2" s="138">
        <f>AC2/AC3-1</f>
        <v>-3.7037037037046527E-4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107.96</v>
      </c>
      <c r="W3" s="133">
        <v>42605</v>
      </c>
      <c r="X3" s="10">
        <v>109</v>
      </c>
      <c r="Y3" s="10">
        <v>109.35</v>
      </c>
      <c r="Z3" s="10">
        <v>108</v>
      </c>
      <c r="AA3" s="10">
        <v>108</v>
      </c>
      <c r="AB3" s="95">
        <v>3061500</v>
      </c>
      <c r="AC3" s="10">
        <v>108</v>
      </c>
      <c r="AD3" s="2">
        <f t="shared" ref="AD3:AD66" si="0">Y3-Z3</f>
        <v>1.3499999999999943</v>
      </c>
      <c r="AE3" s="138">
        <f t="shared" ref="AE3:AE66" si="1">AC3/AC4-1</f>
        <v>-4.6082949308755561E-3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107.96</v>
      </c>
      <c r="W4" s="133">
        <v>42604</v>
      </c>
      <c r="X4" s="10">
        <v>108.52</v>
      </c>
      <c r="Y4" s="10">
        <v>108.99</v>
      </c>
      <c r="Z4" s="10">
        <v>108.14</v>
      </c>
      <c r="AA4" s="10">
        <v>108.5</v>
      </c>
      <c r="AB4" s="95">
        <v>2450500</v>
      </c>
      <c r="AC4" s="10">
        <v>108.5</v>
      </c>
      <c r="AD4" s="2">
        <f t="shared" si="0"/>
        <v>0.84999999999999432</v>
      </c>
      <c r="AE4" s="138">
        <f t="shared" si="1"/>
        <v>-5.8640278541323143E-3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42601</v>
      </c>
      <c r="X5" s="10">
        <v>109.01</v>
      </c>
      <c r="Y5" s="10">
        <v>109.42</v>
      </c>
      <c r="Z5" s="10">
        <v>108.9</v>
      </c>
      <c r="AA5" s="10">
        <v>109.14</v>
      </c>
      <c r="AB5" s="95">
        <v>2388800</v>
      </c>
      <c r="AC5" s="10">
        <v>109.14</v>
      </c>
      <c r="AD5" s="2">
        <f t="shared" si="0"/>
        <v>0.51999999999999602</v>
      </c>
      <c r="AE5" s="138">
        <f t="shared" si="1"/>
        <v>-1.7378578615201423E-3</v>
      </c>
    </row>
    <row r="6" spans="1:31" x14ac:dyDescent="0.25">
      <c r="O6" s="11" t="s">
        <v>64</v>
      </c>
      <c r="Q6" s="2">
        <f>Q3*Q2</f>
        <v>0</v>
      </c>
      <c r="W6" s="133">
        <v>42600</v>
      </c>
      <c r="X6" s="10">
        <v>109.05</v>
      </c>
      <c r="Y6" s="10">
        <v>109.42</v>
      </c>
      <c r="Z6" s="10">
        <v>108.85</v>
      </c>
      <c r="AA6" s="10">
        <v>109.33</v>
      </c>
      <c r="AB6" s="95">
        <v>1959800</v>
      </c>
      <c r="AC6" s="10">
        <v>109.33</v>
      </c>
      <c r="AD6" s="2">
        <f t="shared" si="0"/>
        <v>0.57000000000000739</v>
      </c>
      <c r="AE6" s="138">
        <f t="shared" si="1"/>
        <v>3.5799522673030104E-3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42599</v>
      </c>
      <c r="X7" s="10">
        <v>108.55</v>
      </c>
      <c r="Y7" s="10">
        <v>109.01</v>
      </c>
      <c r="Z7" s="10">
        <v>108.2</v>
      </c>
      <c r="AA7" s="10">
        <v>108.94</v>
      </c>
      <c r="AB7" s="95">
        <v>2208000</v>
      </c>
      <c r="AC7" s="10">
        <v>108.94</v>
      </c>
      <c r="AD7" s="2">
        <f t="shared" si="0"/>
        <v>0.81000000000000227</v>
      </c>
      <c r="AE7" s="138" t="e">
        <f t="shared" si="1"/>
        <v>#DIV/0!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42599</v>
      </c>
      <c r="X8" s="10" t="s">
        <v>229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O9" s="11" t="s">
        <v>225</v>
      </c>
      <c r="Q9" s="138">
        <f>IF(Q2=0, 0, Q8/Q6)</f>
        <v>0</v>
      </c>
      <c r="W9" s="133">
        <v>42598</v>
      </c>
      <c r="X9" s="10">
        <v>109.21</v>
      </c>
      <c r="Y9" s="10">
        <v>109.62</v>
      </c>
      <c r="Z9" s="10">
        <v>109</v>
      </c>
      <c r="AA9" s="10">
        <v>109.16</v>
      </c>
      <c r="AB9" s="95">
        <v>2413700</v>
      </c>
      <c r="AC9" s="10">
        <v>108.5</v>
      </c>
      <c r="AD9" s="2">
        <f t="shared" si="0"/>
        <v>0.62000000000000455</v>
      </c>
      <c r="AE9" s="138">
        <f t="shared" si="1"/>
        <v>-4.8610474181418617E-3</v>
      </c>
    </row>
    <row r="10" spans="1:31" x14ac:dyDescent="0.25">
      <c r="O10" s="11" t="s">
        <v>224</v>
      </c>
      <c r="P10" s="34"/>
      <c r="Q10" s="2">
        <f>M27</f>
        <v>114.84999999999991</v>
      </c>
      <c r="W10" s="133">
        <v>42597</v>
      </c>
      <c r="X10" s="10">
        <v>109.17</v>
      </c>
      <c r="Y10" s="10">
        <v>109.83</v>
      </c>
      <c r="Z10" s="10">
        <v>109.17</v>
      </c>
      <c r="AA10" s="10">
        <v>109.69</v>
      </c>
      <c r="AB10" s="95">
        <v>2044500</v>
      </c>
      <c r="AC10" s="10">
        <v>109.03</v>
      </c>
      <c r="AD10" s="2">
        <f t="shared" si="0"/>
        <v>0.65999999999999659</v>
      </c>
      <c r="AE10" s="138">
        <f t="shared" si="1"/>
        <v>7.5778578689584819E-3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2.4199999999999999E-2</v>
      </c>
      <c r="W11" s="133">
        <v>42594</v>
      </c>
      <c r="X11" s="10">
        <v>109.02</v>
      </c>
      <c r="Y11" s="10">
        <v>109.18</v>
      </c>
      <c r="Z11" s="10">
        <v>108.55</v>
      </c>
      <c r="AA11" s="10">
        <v>108.87</v>
      </c>
      <c r="AB11" s="95">
        <v>1808400</v>
      </c>
      <c r="AC11" s="10">
        <v>108.21</v>
      </c>
      <c r="AD11" s="2">
        <f t="shared" si="0"/>
        <v>0.63000000000000966</v>
      </c>
      <c r="AE11" s="138">
        <f t="shared" si="1"/>
        <v>-2.8566162919277938E-3</v>
      </c>
    </row>
    <row r="12" spans="1:31" x14ac:dyDescent="0.25">
      <c r="W12" s="133">
        <v>42593</v>
      </c>
      <c r="X12" s="10">
        <v>108.5</v>
      </c>
      <c r="Y12" s="10">
        <v>109.29</v>
      </c>
      <c r="Z12" s="10">
        <v>108.46</v>
      </c>
      <c r="AA12" s="10">
        <v>109.18</v>
      </c>
      <c r="AB12" s="95">
        <v>2005200</v>
      </c>
      <c r="AC12" s="10">
        <v>108.52</v>
      </c>
      <c r="AD12" s="2">
        <f t="shared" si="0"/>
        <v>0.83000000000001251</v>
      </c>
      <c r="AE12" s="138">
        <f t="shared" si="1"/>
        <v>9.7701684190936167E-3</v>
      </c>
    </row>
    <row r="13" spans="1:31" x14ac:dyDescent="0.25">
      <c r="W13" s="133">
        <v>42592</v>
      </c>
      <c r="X13" s="10">
        <v>108.46</v>
      </c>
      <c r="Y13" s="10">
        <v>108.5</v>
      </c>
      <c r="Z13" s="10">
        <v>107.78</v>
      </c>
      <c r="AA13" s="10">
        <v>108.12</v>
      </c>
      <c r="AB13" s="95">
        <v>1658700</v>
      </c>
      <c r="AC13" s="10">
        <v>107.47</v>
      </c>
      <c r="AD13" s="2">
        <f t="shared" si="0"/>
        <v>0.71999999999999886</v>
      </c>
      <c r="AE13" s="138">
        <f t="shared" si="1"/>
        <v>-1.9502228826152601E-3</v>
      </c>
    </row>
    <row r="14" spans="1:31" x14ac:dyDescent="0.25">
      <c r="W14" s="133">
        <v>42591</v>
      </c>
      <c r="X14" s="10">
        <v>108.01</v>
      </c>
      <c r="Y14" s="10">
        <v>108.4</v>
      </c>
      <c r="Z14" s="10">
        <v>107.87</v>
      </c>
      <c r="AA14" s="10">
        <v>108.34</v>
      </c>
      <c r="AB14" s="95">
        <v>2213100</v>
      </c>
      <c r="AC14" s="10">
        <v>107.68</v>
      </c>
      <c r="AD14" s="2">
        <f t="shared" si="0"/>
        <v>0.53000000000000114</v>
      </c>
      <c r="AE14" s="138">
        <f t="shared" si="1"/>
        <v>5.0401344035841955E-3</v>
      </c>
    </row>
    <row r="15" spans="1:31" x14ac:dyDescent="0.25">
      <c r="W15" s="133">
        <v>42590</v>
      </c>
      <c r="X15" s="10">
        <v>107.74</v>
      </c>
      <c r="Y15" s="10">
        <v>108.34</v>
      </c>
      <c r="Z15" s="10">
        <v>107.49</v>
      </c>
      <c r="AA15" s="10">
        <v>107.79</v>
      </c>
      <c r="AB15" s="95">
        <v>3020900</v>
      </c>
      <c r="AC15" s="10">
        <v>107.14</v>
      </c>
      <c r="AD15" s="2">
        <f t="shared" si="0"/>
        <v>0.85000000000000853</v>
      </c>
      <c r="AE15" s="138">
        <f t="shared" si="1"/>
        <v>4.6689700252122712E-4</v>
      </c>
    </row>
    <row r="16" spans="1:31" x14ac:dyDescent="0.25">
      <c r="W16" s="133">
        <v>42587</v>
      </c>
      <c r="X16" s="10">
        <v>106.85</v>
      </c>
      <c r="Y16" s="10">
        <v>107.74</v>
      </c>
      <c r="Z16" s="10">
        <v>106.68</v>
      </c>
      <c r="AA16" s="10">
        <v>107.74</v>
      </c>
      <c r="AB16" s="95">
        <v>2676100</v>
      </c>
      <c r="AC16" s="10">
        <v>107.09</v>
      </c>
      <c r="AD16" s="2">
        <f t="shared" si="0"/>
        <v>1.0599999999999881</v>
      </c>
      <c r="AE16" s="138">
        <f t="shared" si="1"/>
        <v>1.295875898600074E-2</v>
      </c>
    </row>
    <row r="17" spans="1:31" x14ac:dyDescent="0.25">
      <c r="W17" s="133">
        <v>42586</v>
      </c>
      <c r="X17" s="10">
        <v>106.55</v>
      </c>
      <c r="Y17" s="10">
        <v>107.07</v>
      </c>
      <c r="Z17" s="10">
        <v>106.32</v>
      </c>
      <c r="AA17" s="10">
        <v>106.36</v>
      </c>
      <c r="AB17" s="95">
        <v>1862900</v>
      </c>
      <c r="AC17" s="10">
        <v>105.72</v>
      </c>
      <c r="AD17" s="2">
        <f t="shared" si="0"/>
        <v>0.75</v>
      </c>
      <c r="AE17" s="138">
        <f t="shared" si="1"/>
        <v>6.6256507335538117E-4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42585</v>
      </c>
      <c r="X18" s="10">
        <v>106.27</v>
      </c>
      <c r="Y18" s="10">
        <v>106.52</v>
      </c>
      <c r="Z18" s="10">
        <v>106.02</v>
      </c>
      <c r="AA18" s="10">
        <v>106.29</v>
      </c>
      <c r="AB18" s="95">
        <v>2985400</v>
      </c>
      <c r="AC18" s="10">
        <v>105.65</v>
      </c>
      <c r="AD18" s="2">
        <f t="shared" si="0"/>
        <v>0.5</v>
      </c>
      <c r="AE18" s="138">
        <f t="shared" si="1"/>
        <v>1.8934014957872058E-4</v>
      </c>
    </row>
    <row r="19" spans="1:31" x14ac:dyDescent="0.25">
      <c r="W19" s="133">
        <v>42584</v>
      </c>
      <c r="X19" s="10">
        <v>106.49</v>
      </c>
      <c r="Y19" s="10">
        <v>106.73</v>
      </c>
      <c r="Z19" s="10">
        <v>105.89</v>
      </c>
      <c r="AA19" s="10">
        <v>106.27</v>
      </c>
      <c r="AB19" s="95">
        <v>2384100</v>
      </c>
      <c r="AC19" s="10">
        <v>105.63</v>
      </c>
      <c r="AD19" s="2">
        <f t="shared" si="0"/>
        <v>0.84000000000000341</v>
      </c>
      <c r="AE19" s="138">
        <f t="shared" si="1"/>
        <v>-6.2094270392324402E-3</v>
      </c>
    </row>
    <row r="20" spans="1:31" x14ac:dyDescent="0.25">
      <c r="W20" s="133">
        <v>42583</v>
      </c>
      <c r="X20" s="10">
        <v>107.46</v>
      </c>
      <c r="Y20" s="10">
        <v>107.65</v>
      </c>
      <c r="Z20" s="10">
        <v>106.5</v>
      </c>
      <c r="AA20" s="10">
        <v>106.94</v>
      </c>
      <c r="AB20" s="95">
        <v>3061600</v>
      </c>
      <c r="AC20" s="10">
        <v>106.29</v>
      </c>
      <c r="AD20" s="2">
        <f t="shared" si="0"/>
        <v>1.1500000000000057</v>
      </c>
      <c r="AE20" s="138">
        <f t="shared" si="1"/>
        <v>-6.6355140186915573E-3</v>
      </c>
    </row>
    <row r="21" spans="1:31" x14ac:dyDescent="0.25">
      <c r="W21" s="133">
        <v>42580</v>
      </c>
      <c r="X21" s="10">
        <v>107.5</v>
      </c>
      <c r="Y21" s="10">
        <v>108.08</v>
      </c>
      <c r="Z21" s="10">
        <v>107.19</v>
      </c>
      <c r="AA21" s="10">
        <v>107.65</v>
      </c>
      <c r="AB21" s="95">
        <v>3232600</v>
      </c>
      <c r="AC21" s="10">
        <v>107</v>
      </c>
      <c r="AD21" s="2">
        <f t="shared" si="0"/>
        <v>0.89000000000000057</v>
      </c>
      <c r="AE21" s="138">
        <f t="shared" si="1"/>
        <v>6.5463387262698625E-4</v>
      </c>
    </row>
    <row r="22" spans="1:31" x14ac:dyDescent="0.25">
      <c r="W22" s="133">
        <v>42579</v>
      </c>
      <c r="X22" s="10">
        <v>107.69</v>
      </c>
      <c r="Y22" s="10">
        <v>107.99</v>
      </c>
      <c r="Z22" s="10">
        <v>107.1</v>
      </c>
      <c r="AA22" s="10">
        <v>107.58</v>
      </c>
      <c r="AB22" s="95">
        <v>2806700</v>
      </c>
      <c r="AC22" s="10">
        <v>106.93</v>
      </c>
      <c r="AD22" s="2">
        <f t="shared" si="0"/>
        <v>0.89000000000000057</v>
      </c>
      <c r="AE22" s="138">
        <f t="shared" si="1"/>
        <v>-1.0276532137518668E-3</v>
      </c>
    </row>
    <row r="23" spans="1:31" x14ac:dyDescent="0.25">
      <c r="W23" s="133">
        <v>42578</v>
      </c>
      <c r="X23" s="10">
        <v>108.06</v>
      </c>
      <c r="Y23" s="10">
        <v>108.49</v>
      </c>
      <c r="Z23" s="10">
        <v>107.48</v>
      </c>
      <c r="AA23" s="10">
        <v>107.69</v>
      </c>
      <c r="AB23" s="95">
        <v>3995400</v>
      </c>
      <c r="AC23" s="10">
        <v>107.04</v>
      </c>
      <c r="AD23" s="2">
        <f t="shared" si="0"/>
        <v>1.0099999999999909</v>
      </c>
      <c r="AE23" s="138">
        <f t="shared" si="1"/>
        <v>-1.8649757553150792E-3</v>
      </c>
    </row>
    <row r="24" spans="1:31" x14ac:dyDescent="0.25">
      <c r="W24" s="133">
        <v>42577</v>
      </c>
      <c r="X24" s="10">
        <v>107.04</v>
      </c>
      <c r="Y24" s="10">
        <v>107.96</v>
      </c>
      <c r="Z24" s="10">
        <v>106.5</v>
      </c>
      <c r="AA24" s="10">
        <v>107.89</v>
      </c>
      <c r="AB24" s="95">
        <v>4414400</v>
      </c>
      <c r="AC24" s="10">
        <v>107.24</v>
      </c>
      <c r="AD24" s="2">
        <f t="shared" si="0"/>
        <v>1.4599999999999937</v>
      </c>
      <c r="AE24" s="138">
        <f t="shared" si="1"/>
        <v>3.0955585464333746E-2</v>
      </c>
    </row>
    <row r="25" spans="1:31" x14ac:dyDescent="0.25">
      <c r="W25" s="133">
        <v>42576</v>
      </c>
      <c r="X25" s="10">
        <v>105.05</v>
      </c>
      <c r="Y25" s="10">
        <v>105.2</v>
      </c>
      <c r="Z25" s="10">
        <v>104.42</v>
      </c>
      <c r="AA25" s="10">
        <v>104.65</v>
      </c>
      <c r="AB25" s="95">
        <v>3461300</v>
      </c>
      <c r="AC25" s="10">
        <v>104.02</v>
      </c>
      <c r="AD25" s="2">
        <f t="shared" si="0"/>
        <v>0.78000000000000114</v>
      </c>
      <c r="AE25" s="138">
        <f t="shared" si="1"/>
        <v>-4.4980380897693406E-3</v>
      </c>
    </row>
    <row r="26" spans="1:31" x14ac:dyDescent="0.25">
      <c r="W26" s="133">
        <v>42573</v>
      </c>
      <c r="X26" s="10">
        <v>104.77</v>
      </c>
      <c r="Y26" s="10">
        <v>105.2</v>
      </c>
      <c r="Z26" s="10">
        <v>104.5</v>
      </c>
      <c r="AA26" s="10">
        <v>105.13</v>
      </c>
      <c r="AB26" s="95">
        <v>3513900</v>
      </c>
      <c r="AC26" s="10">
        <v>104.49</v>
      </c>
      <c r="AD26" s="2">
        <f t="shared" si="0"/>
        <v>0.70000000000000284</v>
      </c>
      <c r="AE26" s="138">
        <f t="shared" si="1"/>
        <v>-6.8434559452523747E-3</v>
      </c>
    </row>
    <row r="27" spans="1:31" x14ac:dyDescent="0.25">
      <c r="L27" t="s">
        <v>224</v>
      </c>
      <c r="M27" s="2">
        <f>M35+K35-F35</f>
        <v>114.84999999999991</v>
      </c>
      <c r="W27" s="133">
        <v>42572</v>
      </c>
      <c r="X27" s="10">
        <v>106.37</v>
      </c>
      <c r="Y27" s="10">
        <v>106.74</v>
      </c>
      <c r="Z27" s="10">
        <v>105.61</v>
      </c>
      <c r="AA27" s="10">
        <v>105.85</v>
      </c>
      <c r="AB27" s="95">
        <v>3808900</v>
      </c>
      <c r="AC27" s="10">
        <v>105.21</v>
      </c>
      <c r="AD27" s="2">
        <f t="shared" si="0"/>
        <v>1.1299999999999955</v>
      </c>
      <c r="AE27" s="138">
        <f t="shared" si="1"/>
        <v>-1.8026565464897004E-3</v>
      </c>
    </row>
    <row r="28" spans="1:31" x14ac:dyDescent="0.25">
      <c r="A28" s="264" t="s">
        <v>1</v>
      </c>
      <c r="B28" s="264" t="s">
        <v>2</v>
      </c>
      <c r="C28" s="264" t="s">
        <v>4</v>
      </c>
      <c r="D28" s="265" t="s">
        <v>5</v>
      </c>
      <c r="E28" s="265" t="s">
        <v>94</v>
      </c>
      <c r="F28" s="265" t="s">
        <v>60</v>
      </c>
      <c r="G28" s="264" t="s">
        <v>3</v>
      </c>
      <c r="H28" s="264" t="s">
        <v>6</v>
      </c>
      <c r="I28" s="264" t="s">
        <v>7</v>
      </c>
      <c r="J28" s="264" t="s">
        <v>95</v>
      </c>
      <c r="K28" s="264" t="s">
        <v>61</v>
      </c>
      <c r="L28" s="264" t="s">
        <v>77</v>
      </c>
      <c r="M28" s="264" t="s">
        <v>38</v>
      </c>
      <c r="W28" s="133">
        <v>42571</v>
      </c>
      <c r="X28" s="10">
        <v>105.69</v>
      </c>
      <c r="Y28" s="10">
        <v>106.28</v>
      </c>
      <c r="Z28" s="10">
        <v>105.56</v>
      </c>
      <c r="AA28" s="10">
        <v>106.04</v>
      </c>
      <c r="AB28" s="95">
        <v>2987400</v>
      </c>
      <c r="AC28" s="10">
        <v>105.4</v>
      </c>
      <c r="AD28" s="2">
        <f t="shared" si="0"/>
        <v>0.71999999999999886</v>
      </c>
      <c r="AE28" s="138">
        <f t="shared" si="1"/>
        <v>4.000762049914286E-3</v>
      </c>
    </row>
    <row r="29" spans="1:31" x14ac:dyDescent="0.25">
      <c r="A29" s="266" t="s">
        <v>54</v>
      </c>
      <c r="B29" s="267">
        <v>42214</v>
      </c>
      <c r="C29" s="262">
        <v>10</v>
      </c>
      <c r="D29" s="263">
        <v>99.58</v>
      </c>
      <c r="E29" s="263">
        <v>0</v>
      </c>
      <c r="F29" s="263">
        <f>C29*D29</f>
        <v>995.8</v>
      </c>
      <c r="G29" s="267">
        <v>42237</v>
      </c>
      <c r="H29" s="262">
        <v>10</v>
      </c>
      <c r="I29" s="262">
        <v>99.56</v>
      </c>
      <c r="J29" s="263">
        <v>0.02</v>
      </c>
      <c r="K29" s="262">
        <f>I29*H29-J29</f>
        <v>995.58</v>
      </c>
      <c r="L29" s="267">
        <v>42257</v>
      </c>
      <c r="M29" s="263">
        <v>9.6</v>
      </c>
      <c r="W29" s="133">
        <v>42570</v>
      </c>
      <c r="X29" s="10">
        <v>104.99</v>
      </c>
      <c r="Y29" s="10">
        <v>105.94</v>
      </c>
      <c r="Z29" s="10">
        <v>104.89</v>
      </c>
      <c r="AA29" s="10">
        <v>105.62</v>
      </c>
      <c r="AB29" s="95">
        <v>3493900</v>
      </c>
      <c r="AC29" s="10">
        <v>104.98</v>
      </c>
      <c r="AD29" s="2">
        <f t="shared" si="0"/>
        <v>1.0499999999999972</v>
      </c>
      <c r="AE29" s="138">
        <f t="shared" si="1"/>
        <v>1.2398664759181166E-3</v>
      </c>
    </row>
    <row r="30" spans="1:31" x14ac:dyDescent="0.25">
      <c r="A30" s="269" t="s">
        <v>71</v>
      </c>
      <c r="B30" s="267">
        <v>42219</v>
      </c>
      <c r="C30" s="262">
        <v>5</v>
      </c>
      <c r="D30" s="263">
        <v>97.95</v>
      </c>
      <c r="E30" s="263">
        <v>0</v>
      </c>
      <c r="F30" s="263">
        <f>C30*D30</f>
        <v>489.75</v>
      </c>
      <c r="G30" s="267">
        <v>42304</v>
      </c>
      <c r="H30" s="268">
        <v>15</v>
      </c>
      <c r="I30" s="263">
        <v>98.75</v>
      </c>
      <c r="J30" s="263">
        <v>0.03</v>
      </c>
      <c r="K30" s="262">
        <f>I30*H30-J30</f>
        <v>1481.22</v>
      </c>
      <c r="L30" s="262"/>
      <c r="M30" s="262"/>
      <c r="W30" s="133">
        <v>42569</v>
      </c>
      <c r="X30" s="10">
        <v>105.48</v>
      </c>
      <c r="Y30" s="10">
        <v>105.93</v>
      </c>
      <c r="Z30" s="10">
        <v>104.88</v>
      </c>
      <c r="AA30" s="10">
        <v>105.49</v>
      </c>
      <c r="AB30" s="95">
        <v>2185300</v>
      </c>
      <c r="AC30" s="10">
        <v>104.85</v>
      </c>
      <c r="AD30" s="2">
        <f t="shared" si="0"/>
        <v>1.0500000000000114</v>
      </c>
      <c r="AE30" s="138">
        <f t="shared" si="1"/>
        <v>-9.5365248903300781E-5</v>
      </c>
    </row>
    <row r="31" spans="1:31" x14ac:dyDescent="0.25">
      <c r="A31" s="262"/>
      <c r="B31" s="267">
        <v>42272</v>
      </c>
      <c r="C31" s="262">
        <v>10</v>
      </c>
      <c r="D31" s="263">
        <v>88.6</v>
      </c>
      <c r="E31" s="263">
        <v>0</v>
      </c>
      <c r="F31" s="263">
        <f>C31*D31</f>
        <v>886</v>
      </c>
      <c r="G31" s="262"/>
      <c r="H31" s="262"/>
      <c r="I31" s="262"/>
      <c r="J31" s="262"/>
      <c r="K31" s="262"/>
      <c r="L31" s="262"/>
      <c r="M31" s="262"/>
      <c r="W31" s="133">
        <v>42566</v>
      </c>
      <c r="X31" s="10">
        <v>105.35</v>
      </c>
      <c r="Y31" s="10">
        <v>105.65</v>
      </c>
      <c r="Z31" s="10">
        <v>104.87</v>
      </c>
      <c r="AA31" s="10">
        <v>105.5</v>
      </c>
      <c r="AB31" s="95">
        <v>2836900</v>
      </c>
      <c r="AC31" s="10">
        <v>104.86</v>
      </c>
      <c r="AD31" s="2">
        <f t="shared" si="0"/>
        <v>0.78000000000000114</v>
      </c>
      <c r="AE31" s="138">
        <f t="shared" si="1"/>
        <v>3.4449760765549176E-3</v>
      </c>
    </row>
    <row r="32" spans="1:31" x14ac:dyDescent="0.25">
      <c r="A32" s="262"/>
      <c r="B32" s="262"/>
      <c r="C32" s="262"/>
      <c r="D32" s="263"/>
      <c r="E32" s="263"/>
      <c r="F32" s="263"/>
      <c r="G32" s="262"/>
      <c r="H32" s="262"/>
      <c r="I32" s="262"/>
      <c r="J32" s="262"/>
      <c r="K32" s="262"/>
      <c r="L32" s="262"/>
      <c r="M32" s="262"/>
      <c r="W32" s="133">
        <v>42565</v>
      </c>
      <c r="X32" s="10">
        <v>105.98</v>
      </c>
      <c r="Y32" s="10">
        <v>105.99</v>
      </c>
      <c r="Z32" s="10">
        <v>104.94</v>
      </c>
      <c r="AA32" s="10">
        <v>105.14</v>
      </c>
      <c r="AB32" s="95">
        <v>3307400</v>
      </c>
      <c r="AC32" s="10">
        <v>104.5</v>
      </c>
      <c r="AD32" s="2">
        <f t="shared" si="0"/>
        <v>1.0499999999999972</v>
      </c>
      <c r="AE32" s="138">
        <f t="shared" si="1"/>
        <v>4.7869794159871581E-4</v>
      </c>
    </row>
    <row r="33" spans="1:31" x14ac:dyDescent="0.25">
      <c r="A33" s="262"/>
      <c r="B33" s="262"/>
      <c r="C33" s="262"/>
      <c r="D33" s="263"/>
      <c r="E33" s="263"/>
      <c r="F33" s="263"/>
      <c r="G33" s="262"/>
      <c r="H33" s="262"/>
      <c r="I33" s="262"/>
      <c r="J33" s="262"/>
      <c r="K33" s="262"/>
      <c r="L33" s="262"/>
      <c r="M33" s="262"/>
      <c r="W33" s="133">
        <v>42564</v>
      </c>
      <c r="X33" s="10">
        <v>105.07</v>
      </c>
      <c r="Y33" s="10">
        <v>105.21</v>
      </c>
      <c r="Z33" s="10">
        <v>104.59</v>
      </c>
      <c r="AA33" s="10">
        <v>105.09</v>
      </c>
      <c r="AB33" s="95">
        <v>2950100</v>
      </c>
      <c r="AC33" s="10">
        <v>104.45</v>
      </c>
      <c r="AD33" s="2">
        <f t="shared" si="0"/>
        <v>0.61999999999999034</v>
      </c>
      <c r="AE33" s="138">
        <f t="shared" si="1"/>
        <v>5.5839029556175035E-3</v>
      </c>
    </row>
    <row r="34" spans="1:31" x14ac:dyDescent="0.25">
      <c r="A34" s="262"/>
      <c r="B34" s="262"/>
      <c r="C34" s="262"/>
      <c r="D34" s="263"/>
      <c r="E34" s="263"/>
      <c r="F34" s="263"/>
      <c r="G34" s="262"/>
      <c r="H34" s="262"/>
      <c r="I34" s="262"/>
      <c r="J34" s="262"/>
      <c r="K34" s="262"/>
      <c r="L34" s="262"/>
      <c r="M34" s="262"/>
      <c r="W34" s="133">
        <v>42563</v>
      </c>
      <c r="X34" s="10">
        <v>104.23</v>
      </c>
      <c r="Y34" s="10">
        <v>105.06</v>
      </c>
      <c r="Z34" s="10">
        <v>104.09</v>
      </c>
      <c r="AA34" s="10">
        <v>104.5</v>
      </c>
      <c r="AB34" s="95">
        <v>3741400</v>
      </c>
      <c r="AC34" s="10">
        <v>103.87</v>
      </c>
      <c r="AD34" s="2">
        <f t="shared" si="0"/>
        <v>0.96999999999999886</v>
      </c>
      <c r="AE34" s="138">
        <f t="shared" si="1"/>
        <v>5.2259750314527231E-3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42562</v>
      </c>
      <c r="X35" s="10">
        <v>103.66</v>
      </c>
      <c r="Y35" s="10">
        <v>104.49</v>
      </c>
      <c r="Z35" s="10">
        <v>103.6</v>
      </c>
      <c r="AA35" s="10">
        <v>103.96</v>
      </c>
      <c r="AB35" s="95">
        <v>3317100</v>
      </c>
      <c r="AC35" s="10">
        <v>103.33</v>
      </c>
      <c r="AD35" s="2">
        <f t="shared" si="0"/>
        <v>0.89000000000000057</v>
      </c>
      <c r="AE35" s="138">
        <f t="shared" si="1"/>
        <v>2.9117732699213139E-3</v>
      </c>
    </row>
    <row r="36" spans="1:31" x14ac:dyDescent="0.25">
      <c r="A36" s="262"/>
      <c r="B36" s="262"/>
      <c r="C36" s="262"/>
      <c r="D36" s="263"/>
      <c r="E36" s="263"/>
      <c r="F36" s="263"/>
      <c r="G36" s="262"/>
      <c r="H36" s="262"/>
      <c r="I36" s="262"/>
      <c r="J36" s="262"/>
      <c r="K36" s="262"/>
      <c r="L36" s="262"/>
      <c r="M36" s="262"/>
      <c r="W36" s="133">
        <v>42559</v>
      </c>
      <c r="X36" s="10">
        <v>102.91</v>
      </c>
      <c r="Y36" s="10">
        <v>103.74</v>
      </c>
      <c r="Z36" s="10">
        <v>102.57</v>
      </c>
      <c r="AA36" s="10">
        <v>103.66</v>
      </c>
      <c r="AB36" s="95">
        <v>3502900</v>
      </c>
      <c r="AC36" s="10">
        <v>103.03</v>
      </c>
      <c r="AD36" s="2">
        <f t="shared" si="0"/>
        <v>1.1700000000000017</v>
      </c>
      <c r="AE36" s="138">
        <f t="shared" si="1"/>
        <v>1.6576221016280313E-2</v>
      </c>
    </row>
    <row r="37" spans="1:31" x14ac:dyDescent="0.25">
      <c r="A37" s="262"/>
      <c r="B37" s="262"/>
      <c r="C37" s="262"/>
      <c r="D37" s="263"/>
      <c r="E37" s="263"/>
      <c r="F37" s="263"/>
      <c r="G37" s="262"/>
      <c r="H37" s="262"/>
      <c r="I37" s="262"/>
      <c r="J37" s="262"/>
      <c r="K37" s="262"/>
      <c r="L37" s="262"/>
      <c r="M37" s="262"/>
      <c r="W37" s="133">
        <v>42558</v>
      </c>
      <c r="X37" s="10">
        <v>101.53</v>
      </c>
      <c r="Y37" s="10">
        <v>102.14</v>
      </c>
      <c r="Z37" s="10">
        <v>101.37</v>
      </c>
      <c r="AA37" s="10">
        <v>101.97</v>
      </c>
      <c r="AB37" s="95">
        <v>3051600</v>
      </c>
      <c r="AC37" s="10">
        <v>101.35</v>
      </c>
      <c r="AD37" s="2">
        <f t="shared" si="0"/>
        <v>0.76999999999999602</v>
      </c>
      <c r="AE37" s="138">
        <f t="shared" si="1"/>
        <v>5.7556812543415603E-3</v>
      </c>
    </row>
    <row r="38" spans="1:31" x14ac:dyDescent="0.25">
      <c r="W38" s="133">
        <v>42557</v>
      </c>
      <c r="X38" s="10">
        <v>100.55</v>
      </c>
      <c r="Y38" s="10">
        <v>101.49</v>
      </c>
      <c r="Z38" s="10">
        <v>99.31</v>
      </c>
      <c r="AA38" s="10">
        <v>101.38</v>
      </c>
      <c r="AB38" s="95">
        <v>5227500</v>
      </c>
      <c r="AC38" s="10">
        <v>100.77</v>
      </c>
      <c r="AD38" s="2">
        <f t="shared" si="0"/>
        <v>2.1799999999999926</v>
      </c>
      <c r="AE38" s="138">
        <f t="shared" si="1"/>
        <v>7.5992400759923306E-3</v>
      </c>
    </row>
    <row r="39" spans="1:31" ht="20.25" thickBot="1" x14ac:dyDescent="0.35">
      <c r="P39" s="535" t="s">
        <v>78</v>
      </c>
      <c r="Q39" s="535"/>
      <c r="W39" s="133">
        <v>42556</v>
      </c>
      <c r="X39" s="10">
        <v>102.1</v>
      </c>
      <c r="Y39" s="10">
        <v>102.34</v>
      </c>
      <c r="Z39" s="10">
        <v>100.21</v>
      </c>
      <c r="AA39" s="10">
        <v>100.62</v>
      </c>
      <c r="AB39" s="95">
        <v>4311100</v>
      </c>
      <c r="AC39" s="10">
        <v>100.01</v>
      </c>
      <c r="AD39" s="2">
        <f t="shared" si="0"/>
        <v>2.1300000000000097</v>
      </c>
      <c r="AE39" s="138">
        <f t="shared" si="1"/>
        <v>-2.0566056213886963E-2</v>
      </c>
    </row>
    <row r="40" spans="1:31" ht="15.75" thickTop="1" x14ac:dyDescent="0.25">
      <c r="O40" s="2"/>
      <c r="P40" s="83">
        <v>1.1000000000000001</v>
      </c>
      <c r="Q40" s="83">
        <f>P40*$Q$4</f>
        <v>118.756</v>
      </c>
      <c r="W40" s="133">
        <v>42552</v>
      </c>
      <c r="X40" s="10">
        <v>102.48</v>
      </c>
      <c r="Y40" s="10">
        <v>104.19</v>
      </c>
      <c r="Z40" s="10">
        <v>102.34</v>
      </c>
      <c r="AA40" s="10">
        <v>102.73</v>
      </c>
      <c r="AB40" s="95">
        <v>6578900</v>
      </c>
      <c r="AC40" s="10">
        <v>102.11</v>
      </c>
      <c r="AD40" s="2">
        <f t="shared" si="0"/>
        <v>1.8499999999999943</v>
      </c>
      <c r="AE40" s="138">
        <f t="shared" si="1"/>
        <v>1.7659177867161979E-3</v>
      </c>
    </row>
    <row r="41" spans="1:31" x14ac:dyDescent="0.25">
      <c r="O41" s="2"/>
      <c r="P41" s="83">
        <v>1.0900000000000001</v>
      </c>
      <c r="Q41" s="83">
        <f t="shared" ref="Q41:Q60" si="2">P41*$Q$4</f>
        <v>117.6764</v>
      </c>
      <c r="W41" s="133">
        <v>42551</v>
      </c>
      <c r="X41" s="10">
        <v>100.87</v>
      </c>
      <c r="Y41" s="10">
        <v>102.57</v>
      </c>
      <c r="Z41" s="10">
        <v>100.57</v>
      </c>
      <c r="AA41" s="10">
        <v>102.55</v>
      </c>
      <c r="AB41" s="95">
        <v>5837700</v>
      </c>
      <c r="AC41" s="10">
        <v>101.93</v>
      </c>
      <c r="AD41" s="2">
        <f t="shared" si="0"/>
        <v>2</v>
      </c>
      <c r="AE41" s="138">
        <f t="shared" si="1"/>
        <v>2.0729020628880601E-2</v>
      </c>
    </row>
    <row r="42" spans="1:31" ht="20.25" thickBot="1" x14ac:dyDescent="0.35">
      <c r="O42" s="2"/>
      <c r="P42" s="83">
        <v>1.08</v>
      </c>
      <c r="Q42" s="83">
        <f t="shared" si="2"/>
        <v>116.5968</v>
      </c>
      <c r="T42" s="91" t="s">
        <v>113</v>
      </c>
      <c r="W42" s="133">
        <v>42550</v>
      </c>
      <c r="X42" s="10">
        <v>99.98</v>
      </c>
      <c r="Y42" s="10">
        <v>100.7</v>
      </c>
      <c r="Z42" s="10">
        <v>99.46</v>
      </c>
      <c r="AA42" s="10">
        <v>100.47</v>
      </c>
      <c r="AB42" s="95">
        <v>4737300</v>
      </c>
      <c r="AC42" s="10">
        <v>99.86</v>
      </c>
      <c r="AD42" s="2">
        <f t="shared" si="0"/>
        <v>1.2400000000000091</v>
      </c>
      <c r="AE42" s="138">
        <f t="shared" si="1"/>
        <v>1.4528091029157642E-2</v>
      </c>
    </row>
    <row r="43" spans="1:31" ht="15.75" thickTop="1" x14ac:dyDescent="0.25">
      <c r="O43" s="2"/>
      <c r="P43" s="83">
        <v>1.07</v>
      </c>
      <c r="Q43" s="83">
        <f t="shared" si="2"/>
        <v>115.5172</v>
      </c>
      <c r="T43" s="128" t="s">
        <v>98</v>
      </c>
      <c r="U43" s="98">
        <v>108</v>
      </c>
      <c r="W43" s="133">
        <v>42549</v>
      </c>
      <c r="X43" s="10">
        <v>98.15</v>
      </c>
      <c r="Y43" s="10">
        <v>99.12</v>
      </c>
      <c r="Z43" s="10">
        <v>97.93</v>
      </c>
      <c r="AA43" s="10">
        <v>99.03</v>
      </c>
      <c r="AB43" s="95">
        <v>5583200</v>
      </c>
      <c r="AC43" s="10">
        <v>98.43</v>
      </c>
      <c r="AD43" s="2">
        <f t="shared" si="0"/>
        <v>1.1899999999999977</v>
      </c>
      <c r="AE43" s="138">
        <f t="shared" si="1"/>
        <v>1.8733181535913968E-2</v>
      </c>
    </row>
    <row r="44" spans="1:31" x14ac:dyDescent="0.25">
      <c r="O44" s="2"/>
      <c r="P44" s="83">
        <v>1.06</v>
      </c>
      <c r="Q44" s="83">
        <f t="shared" si="2"/>
        <v>114.4376</v>
      </c>
      <c r="T44" s="93" t="s">
        <v>99</v>
      </c>
      <c r="U44" s="88">
        <v>108.02</v>
      </c>
      <c r="W44" s="133">
        <v>42548</v>
      </c>
      <c r="X44" s="10">
        <v>98</v>
      </c>
      <c r="Y44" s="10">
        <v>98.21</v>
      </c>
      <c r="Z44" s="10">
        <v>96.89</v>
      </c>
      <c r="AA44" s="10">
        <v>97.21</v>
      </c>
      <c r="AB44" s="95">
        <v>6236500</v>
      </c>
      <c r="AC44" s="10">
        <v>96.62</v>
      </c>
      <c r="AD44" s="2">
        <f t="shared" si="0"/>
        <v>1.3199999999999932</v>
      </c>
      <c r="AE44" s="138">
        <f t="shared" si="1"/>
        <v>-1.6990538203276007E-2</v>
      </c>
    </row>
    <row r="45" spans="1:31" x14ac:dyDescent="0.25">
      <c r="O45" s="2"/>
      <c r="P45" s="83">
        <v>1.05</v>
      </c>
      <c r="Q45" s="83">
        <f t="shared" si="2"/>
        <v>113.358</v>
      </c>
      <c r="T45" s="93" t="s">
        <v>100</v>
      </c>
      <c r="U45" s="88" t="s">
        <v>513</v>
      </c>
      <c r="W45" s="133">
        <v>42545</v>
      </c>
      <c r="X45" s="10">
        <v>99.42</v>
      </c>
      <c r="Y45" s="10">
        <v>100.41</v>
      </c>
      <c r="Z45" s="10">
        <v>98.76</v>
      </c>
      <c r="AA45" s="10">
        <v>98.89</v>
      </c>
      <c r="AB45" s="95">
        <v>7446400</v>
      </c>
      <c r="AC45" s="10">
        <v>98.29</v>
      </c>
      <c r="AD45" s="2">
        <f t="shared" si="0"/>
        <v>1.6499999999999915</v>
      </c>
      <c r="AE45" s="138">
        <f t="shared" si="1"/>
        <v>-3.3625012289843603E-2</v>
      </c>
    </row>
    <row r="46" spans="1:31" x14ac:dyDescent="0.25">
      <c r="O46" s="2"/>
      <c r="P46" s="83">
        <v>1.04</v>
      </c>
      <c r="Q46" s="83">
        <f t="shared" si="2"/>
        <v>112.27839999999999</v>
      </c>
      <c r="T46" s="93" t="s">
        <v>101</v>
      </c>
      <c r="U46" s="88" t="s">
        <v>514</v>
      </c>
      <c r="W46" s="133">
        <v>42544</v>
      </c>
      <c r="X46" s="10">
        <v>102.5</v>
      </c>
      <c r="Y46" s="10">
        <v>102.5</v>
      </c>
      <c r="Z46" s="10">
        <v>101.73</v>
      </c>
      <c r="AA46" s="10">
        <v>102.33</v>
      </c>
      <c r="AB46" s="95">
        <v>3074800</v>
      </c>
      <c r="AC46" s="10">
        <v>101.71</v>
      </c>
      <c r="AD46" s="2">
        <f t="shared" si="0"/>
        <v>0.76999999999999602</v>
      </c>
      <c r="AE46" s="138">
        <f t="shared" si="1"/>
        <v>9.6287472702005772E-3</v>
      </c>
    </row>
    <row r="47" spans="1:31" x14ac:dyDescent="0.25">
      <c r="O47" s="2"/>
      <c r="P47" s="83">
        <v>1.03</v>
      </c>
      <c r="Q47" s="83">
        <f t="shared" si="2"/>
        <v>111.19879999999999</v>
      </c>
      <c r="T47" s="93" t="s">
        <v>102</v>
      </c>
      <c r="U47" s="88">
        <v>114.25</v>
      </c>
      <c r="W47" s="133">
        <v>42543</v>
      </c>
      <c r="X47" s="10">
        <v>101.77</v>
      </c>
      <c r="Y47" s="10">
        <v>101.97</v>
      </c>
      <c r="Z47" s="10">
        <v>101.1</v>
      </c>
      <c r="AA47" s="10">
        <v>101.35</v>
      </c>
      <c r="AB47" s="95">
        <v>2634500</v>
      </c>
      <c r="AC47" s="10">
        <v>100.74</v>
      </c>
      <c r="AD47" s="2">
        <f t="shared" si="0"/>
        <v>0.87000000000000455</v>
      </c>
      <c r="AE47" s="138">
        <f t="shared" si="1"/>
        <v>-2.1790808240886861E-3</v>
      </c>
    </row>
    <row r="48" spans="1:31" x14ac:dyDescent="0.25">
      <c r="O48" s="2"/>
      <c r="P48" s="83">
        <v>1.02</v>
      </c>
      <c r="Q48" s="83">
        <f t="shared" si="2"/>
        <v>110.11919999999999</v>
      </c>
      <c r="T48" s="93" t="s">
        <v>103</v>
      </c>
      <c r="U48" s="88">
        <v>0.98120799999999997</v>
      </c>
      <c r="W48" s="133">
        <v>42542</v>
      </c>
      <c r="X48" s="10">
        <v>101.99</v>
      </c>
      <c r="Y48" s="10">
        <v>102.1</v>
      </c>
      <c r="Z48" s="10">
        <v>101.4</v>
      </c>
      <c r="AA48" s="10">
        <v>101.57</v>
      </c>
      <c r="AB48" s="95">
        <v>3318900</v>
      </c>
      <c r="AC48" s="10">
        <v>100.96</v>
      </c>
      <c r="AD48" s="2">
        <f t="shared" si="0"/>
        <v>0.69999999999998863</v>
      </c>
      <c r="AE48" s="138">
        <f t="shared" si="1"/>
        <v>-1.2859827876150476E-3</v>
      </c>
    </row>
    <row r="49" spans="15:31" x14ac:dyDescent="0.25">
      <c r="O49" s="2"/>
      <c r="P49" s="83">
        <v>1.01</v>
      </c>
      <c r="Q49" s="83">
        <f t="shared" si="2"/>
        <v>109.03959999999999</v>
      </c>
      <c r="T49" s="93" t="s">
        <v>123</v>
      </c>
      <c r="U49" s="88" t="s">
        <v>336</v>
      </c>
      <c r="W49" s="133">
        <v>42541</v>
      </c>
      <c r="X49" s="10">
        <v>102.02</v>
      </c>
      <c r="Y49" s="10">
        <v>102.86</v>
      </c>
      <c r="Z49" s="10">
        <v>101.66</v>
      </c>
      <c r="AA49" s="10">
        <v>101.7</v>
      </c>
      <c r="AB49" s="95">
        <v>4447900</v>
      </c>
      <c r="AC49" s="10">
        <v>101.09</v>
      </c>
      <c r="AD49" s="2">
        <f t="shared" si="0"/>
        <v>1.2000000000000028</v>
      </c>
      <c r="AE49" s="138">
        <f t="shared" si="1"/>
        <v>4.9706730291281254E-3</v>
      </c>
    </row>
    <row r="50" spans="15:31" x14ac:dyDescent="0.25">
      <c r="O50" s="2"/>
      <c r="P50" s="83">
        <v>1</v>
      </c>
      <c r="Q50" s="83">
        <f t="shared" si="2"/>
        <v>107.96</v>
      </c>
      <c r="T50" s="93"/>
      <c r="U50" s="88"/>
      <c r="W50" s="133">
        <v>42538</v>
      </c>
      <c r="X50" s="10">
        <v>100.85</v>
      </c>
      <c r="Y50" s="10">
        <v>101.69</v>
      </c>
      <c r="Z50" s="10">
        <v>100.33</v>
      </c>
      <c r="AA50" s="10">
        <v>101.2</v>
      </c>
      <c r="AB50" s="95">
        <v>5691900</v>
      </c>
      <c r="AC50" s="10">
        <v>100.59</v>
      </c>
      <c r="AD50" s="2">
        <f t="shared" si="0"/>
        <v>1.3599999999999994</v>
      </c>
      <c r="AE50" s="138">
        <f t="shared" si="1"/>
        <v>7.9594070241761905E-4</v>
      </c>
    </row>
    <row r="51" spans="15:31" x14ac:dyDescent="0.25">
      <c r="O51" s="2"/>
      <c r="P51" s="83">
        <v>0.99</v>
      </c>
      <c r="Q51" s="83">
        <f t="shared" si="2"/>
        <v>106.88039999999999</v>
      </c>
      <c r="T51" s="93" t="s">
        <v>105</v>
      </c>
      <c r="U51" s="88" t="s">
        <v>515</v>
      </c>
      <c r="W51" s="133">
        <v>42537</v>
      </c>
      <c r="X51" s="10">
        <v>100.29</v>
      </c>
      <c r="Y51" s="10">
        <v>101.54</v>
      </c>
      <c r="Z51" s="10">
        <v>99.35</v>
      </c>
      <c r="AA51" s="10">
        <v>101.12</v>
      </c>
      <c r="AB51" s="95">
        <v>4549900</v>
      </c>
      <c r="AC51" s="10">
        <v>100.51</v>
      </c>
      <c r="AD51" s="2">
        <f t="shared" si="0"/>
        <v>2.1900000000000119</v>
      </c>
      <c r="AE51" s="138">
        <f t="shared" si="1"/>
        <v>5.8040628439908204E-3</v>
      </c>
    </row>
    <row r="52" spans="15:31" x14ac:dyDescent="0.25">
      <c r="O52" s="2"/>
      <c r="P52" s="83">
        <v>0.98</v>
      </c>
      <c r="Q52" s="83">
        <f t="shared" si="2"/>
        <v>105.8008</v>
      </c>
      <c r="T52" s="93" t="s">
        <v>106</v>
      </c>
      <c r="U52" s="88" t="s">
        <v>363</v>
      </c>
      <c r="W52" s="133">
        <v>42536</v>
      </c>
      <c r="X52" s="10">
        <v>101.5</v>
      </c>
      <c r="Y52" s="10">
        <v>101.74</v>
      </c>
      <c r="Z52" s="10">
        <v>100.54</v>
      </c>
      <c r="AA52" s="10">
        <v>100.54</v>
      </c>
      <c r="AB52" s="95">
        <v>4480000</v>
      </c>
      <c r="AC52" s="10">
        <v>99.93</v>
      </c>
      <c r="AD52" s="2">
        <f t="shared" si="0"/>
        <v>1.1999999999999886</v>
      </c>
      <c r="AE52" s="138">
        <f t="shared" si="1"/>
        <v>-6.4625173990852103E-3</v>
      </c>
    </row>
    <row r="53" spans="15:31" x14ac:dyDescent="0.25">
      <c r="P53" s="83">
        <v>0.97</v>
      </c>
      <c r="Q53" s="83">
        <f t="shared" si="2"/>
        <v>104.7212</v>
      </c>
      <c r="T53" s="93" t="s">
        <v>107</v>
      </c>
      <c r="U53" s="90">
        <v>2444669</v>
      </c>
      <c r="W53" s="133">
        <v>42535</v>
      </c>
      <c r="X53" s="10">
        <v>101.21</v>
      </c>
      <c r="Y53" s="10">
        <v>101.91</v>
      </c>
      <c r="Z53" s="10">
        <v>100.51</v>
      </c>
      <c r="AA53" s="10">
        <v>101.19</v>
      </c>
      <c r="AB53" s="95">
        <v>3705200</v>
      </c>
      <c r="AC53" s="10">
        <v>100.58</v>
      </c>
      <c r="AD53" s="2">
        <f t="shared" si="0"/>
        <v>1.3999999999999915</v>
      </c>
      <c r="AE53" s="138">
        <f t="shared" si="1"/>
        <v>-1.9880715705766772E-4</v>
      </c>
    </row>
    <row r="54" spans="15:31" x14ac:dyDescent="0.25">
      <c r="P54" s="83">
        <v>0.96</v>
      </c>
      <c r="Q54" s="83">
        <f t="shared" si="2"/>
        <v>103.6416</v>
      </c>
      <c r="T54" s="93" t="s">
        <v>110</v>
      </c>
      <c r="U54" s="90">
        <v>3406050</v>
      </c>
      <c r="W54" s="133">
        <v>42534</v>
      </c>
      <c r="X54" s="10">
        <v>101.98</v>
      </c>
      <c r="Y54" s="10">
        <v>102.4</v>
      </c>
      <c r="Z54" s="10">
        <v>101.19</v>
      </c>
      <c r="AA54" s="10">
        <v>101.21</v>
      </c>
      <c r="AB54" s="95">
        <v>4494500</v>
      </c>
      <c r="AC54" s="10">
        <v>100.6</v>
      </c>
      <c r="AD54" s="2">
        <f t="shared" si="0"/>
        <v>1.210000000000008</v>
      </c>
      <c r="AE54" s="138">
        <f t="shared" si="1"/>
        <v>-7.6938252120734019E-3</v>
      </c>
    </row>
    <row r="55" spans="15:31" x14ac:dyDescent="0.25">
      <c r="P55" s="83">
        <v>0.95</v>
      </c>
      <c r="Q55" s="83">
        <f t="shared" si="2"/>
        <v>102.56199999999998</v>
      </c>
      <c r="T55" s="93" t="s">
        <v>108</v>
      </c>
      <c r="U55" s="88" t="s">
        <v>516</v>
      </c>
      <c r="W55" s="133">
        <v>42531</v>
      </c>
      <c r="X55" s="10">
        <v>101.55</v>
      </c>
      <c r="Y55" s="10">
        <v>102.39</v>
      </c>
      <c r="Z55" s="10">
        <v>101.21</v>
      </c>
      <c r="AA55" s="10">
        <v>102</v>
      </c>
      <c r="AB55" s="95">
        <v>3601700</v>
      </c>
      <c r="AC55" s="10">
        <v>101.38</v>
      </c>
      <c r="AD55" s="2">
        <f t="shared" si="0"/>
        <v>1.1800000000000068</v>
      </c>
      <c r="AE55" s="138">
        <f t="shared" si="1"/>
        <v>-3.1465093411996437E-3</v>
      </c>
    </row>
    <row r="56" spans="15:31" x14ac:dyDescent="0.25">
      <c r="P56" s="83">
        <v>0.94</v>
      </c>
      <c r="Q56" s="83">
        <f t="shared" si="2"/>
        <v>101.48239999999998</v>
      </c>
      <c r="T56" s="93" t="s">
        <v>111</v>
      </c>
      <c r="U56" s="88">
        <v>12.73</v>
      </c>
      <c r="W56" s="133">
        <v>42530</v>
      </c>
      <c r="X56" s="10">
        <v>101.57</v>
      </c>
      <c r="Y56" s="10">
        <v>102.35</v>
      </c>
      <c r="Z56" s="10">
        <v>101.49</v>
      </c>
      <c r="AA56" s="10">
        <v>102.32</v>
      </c>
      <c r="AB56" s="95">
        <v>3608400</v>
      </c>
      <c r="AC56" s="10">
        <v>101.7</v>
      </c>
      <c r="AD56" s="2">
        <f t="shared" si="0"/>
        <v>0.85999999999999943</v>
      </c>
      <c r="AE56" s="138">
        <f t="shared" si="1"/>
        <v>2.464268112370549E-3</v>
      </c>
    </row>
    <row r="57" spans="15:31" x14ac:dyDescent="0.25">
      <c r="P57" s="83">
        <v>0.93</v>
      </c>
      <c r="Q57" s="83">
        <f t="shared" si="2"/>
        <v>100.4028</v>
      </c>
      <c r="T57" s="93" t="s">
        <v>112</v>
      </c>
      <c r="U57" s="88">
        <v>8.48</v>
      </c>
      <c r="W57" s="133">
        <v>42529</v>
      </c>
      <c r="X57" s="10">
        <v>101.45</v>
      </c>
      <c r="Y57" s="10">
        <v>102.12</v>
      </c>
      <c r="Z57" s="10">
        <v>101.38</v>
      </c>
      <c r="AA57" s="10">
        <v>102.07</v>
      </c>
      <c r="AB57" s="95">
        <v>2566800</v>
      </c>
      <c r="AC57" s="10">
        <v>101.45</v>
      </c>
      <c r="AD57" s="2">
        <f t="shared" si="0"/>
        <v>0.74000000000000909</v>
      </c>
      <c r="AE57" s="138">
        <f t="shared" si="1"/>
        <v>6.0491868306227214E-3</v>
      </c>
    </row>
    <row r="58" spans="15:31" x14ac:dyDescent="0.25">
      <c r="P58" s="83">
        <v>0.92</v>
      </c>
      <c r="Q58" s="83">
        <f t="shared" si="2"/>
        <v>99.3232</v>
      </c>
      <c r="T58" s="93" t="s">
        <v>109</v>
      </c>
      <c r="U58" s="88" t="s">
        <v>379</v>
      </c>
      <c r="W58" s="133">
        <v>42528</v>
      </c>
      <c r="X58" s="10">
        <v>101.78</v>
      </c>
      <c r="Y58" s="10">
        <v>102.4</v>
      </c>
      <c r="Z58" s="10">
        <v>101.45</v>
      </c>
      <c r="AA58" s="10">
        <v>101.45</v>
      </c>
      <c r="AB58" s="95">
        <v>2539700</v>
      </c>
      <c r="AC58" s="10">
        <v>100.84</v>
      </c>
      <c r="AD58" s="2">
        <f t="shared" si="0"/>
        <v>0.95000000000000284</v>
      </c>
      <c r="AE58" s="138">
        <f t="shared" si="1"/>
        <v>8.9330024813905062E-4</v>
      </c>
    </row>
    <row r="59" spans="15:31" x14ac:dyDescent="0.25">
      <c r="P59" s="83">
        <v>0.91</v>
      </c>
      <c r="Q59" s="83">
        <f t="shared" si="2"/>
        <v>98.243600000000001</v>
      </c>
      <c r="W59" s="133">
        <v>42527</v>
      </c>
      <c r="X59" s="10">
        <v>100.74</v>
      </c>
      <c r="Y59" s="10">
        <v>101.57</v>
      </c>
      <c r="Z59" s="10">
        <v>100.51</v>
      </c>
      <c r="AA59" s="10">
        <v>101.36</v>
      </c>
      <c r="AB59" s="95">
        <v>3769200</v>
      </c>
      <c r="AC59" s="10">
        <v>100.75</v>
      </c>
      <c r="AD59" s="2">
        <f t="shared" si="0"/>
        <v>1.0599999999999881</v>
      </c>
      <c r="AE59" s="138">
        <f t="shared" si="1"/>
        <v>9.3167701863354768E-3</v>
      </c>
    </row>
    <row r="60" spans="15:31" x14ac:dyDescent="0.25">
      <c r="P60" s="83">
        <v>0.9</v>
      </c>
      <c r="Q60" s="83">
        <f t="shared" si="2"/>
        <v>97.164000000000001</v>
      </c>
      <c r="W60" s="133">
        <v>42524</v>
      </c>
      <c r="X60" s="10">
        <v>100.75</v>
      </c>
      <c r="Y60" s="10">
        <v>100.78</v>
      </c>
      <c r="Z60" s="10">
        <v>99.89</v>
      </c>
      <c r="AA60" s="10">
        <v>100.43</v>
      </c>
      <c r="AB60" s="95">
        <v>2251500</v>
      </c>
      <c r="AC60" s="10">
        <v>99.82</v>
      </c>
      <c r="AD60" s="2">
        <f t="shared" si="0"/>
        <v>0.89000000000000057</v>
      </c>
      <c r="AE60" s="138">
        <f t="shared" si="1"/>
        <v>-3.5935316430426578E-3</v>
      </c>
    </row>
    <row r="61" spans="15:31" x14ac:dyDescent="0.25">
      <c r="W61" s="133">
        <v>42523</v>
      </c>
      <c r="X61" s="10">
        <v>100.25</v>
      </c>
      <c r="Y61" s="10">
        <v>100.81</v>
      </c>
      <c r="Z61" s="10">
        <v>100.07</v>
      </c>
      <c r="AA61" s="10">
        <v>100.79</v>
      </c>
      <c r="AB61" s="95">
        <v>2468500</v>
      </c>
      <c r="AC61" s="10">
        <v>100.18</v>
      </c>
      <c r="AD61" s="2">
        <f t="shared" si="0"/>
        <v>0.74000000000000909</v>
      </c>
      <c r="AE61" s="138">
        <f t="shared" si="1"/>
        <v>4.4114698215360626E-3</v>
      </c>
    </row>
    <row r="62" spans="15:31" x14ac:dyDescent="0.25">
      <c r="W62" s="133">
        <v>42522</v>
      </c>
      <c r="X62" s="10">
        <v>100.09</v>
      </c>
      <c r="Y62" s="10">
        <v>100.5</v>
      </c>
      <c r="Z62" s="10">
        <v>98.75</v>
      </c>
      <c r="AA62" s="10">
        <v>100.35</v>
      </c>
      <c r="AB62" s="95">
        <v>2806900</v>
      </c>
      <c r="AC62" s="10">
        <v>99.74</v>
      </c>
      <c r="AD62" s="2">
        <f t="shared" si="0"/>
        <v>1.75</v>
      </c>
      <c r="AE62" s="138">
        <f t="shared" si="1"/>
        <v>-2.3006902070621393E-3</v>
      </c>
    </row>
    <row r="63" spans="15:31" x14ac:dyDescent="0.25">
      <c r="W63" s="133">
        <v>42521</v>
      </c>
      <c r="X63" s="10">
        <v>100.77</v>
      </c>
      <c r="Y63" s="10">
        <v>101.2</v>
      </c>
      <c r="Z63" s="10">
        <v>100.35</v>
      </c>
      <c r="AA63" s="10">
        <v>100.58</v>
      </c>
      <c r="AB63" s="95">
        <v>5265700</v>
      </c>
      <c r="AC63" s="10">
        <v>99.97</v>
      </c>
      <c r="AD63" s="2">
        <f t="shared" si="0"/>
        <v>0.85000000000000853</v>
      </c>
      <c r="AE63" s="138">
        <f t="shared" si="1"/>
        <v>-1.7973040439341892E-3</v>
      </c>
    </row>
    <row r="64" spans="15:31" x14ac:dyDescent="0.25">
      <c r="W64" s="133">
        <v>42517</v>
      </c>
      <c r="X64" s="10">
        <v>100.49</v>
      </c>
      <c r="Y64" s="10">
        <v>100.77</v>
      </c>
      <c r="Z64" s="10">
        <v>100.09</v>
      </c>
      <c r="AA64" s="10">
        <v>100.76</v>
      </c>
      <c r="AB64" s="95">
        <v>2670300</v>
      </c>
      <c r="AC64" s="10">
        <v>100.15</v>
      </c>
      <c r="AD64" s="2">
        <f t="shared" si="0"/>
        <v>0.67999999999999261</v>
      </c>
      <c r="AE64" s="138">
        <f t="shared" si="1"/>
        <v>3.507014028056199E-3</v>
      </c>
    </row>
    <row r="65" spans="23:31" x14ac:dyDescent="0.25">
      <c r="W65" s="133">
        <v>42516</v>
      </c>
      <c r="X65" s="10">
        <v>100.44</v>
      </c>
      <c r="Y65" s="10">
        <v>101</v>
      </c>
      <c r="Z65" s="10">
        <v>100.29</v>
      </c>
      <c r="AA65" s="10">
        <v>100.41</v>
      </c>
      <c r="AB65" s="95">
        <v>2504800</v>
      </c>
      <c r="AC65" s="10">
        <v>99.8</v>
      </c>
      <c r="AD65" s="2">
        <f t="shared" si="0"/>
        <v>0.70999999999999375</v>
      </c>
      <c r="AE65" s="138">
        <f t="shared" si="1"/>
        <v>9.0261759101406547E-4</v>
      </c>
    </row>
    <row r="66" spans="23:31" x14ac:dyDescent="0.25">
      <c r="W66" s="133">
        <v>42515</v>
      </c>
      <c r="X66" s="10">
        <v>100.29</v>
      </c>
      <c r="Y66" s="10">
        <v>100.94</v>
      </c>
      <c r="Z66" s="10">
        <v>100.29</v>
      </c>
      <c r="AA66" s="10">
        <v>100.32</v>
      </c>
      <c r="AB66" s="95">
        <v>2354200</v>
      </c>
      <c r="AC66" s="10">
        <v>99.71</v>
      </c>
      <c r="AD66" s="2">
        <f t="shared" si="0"/>
        <v>0.64999999999999147</v>
      </c>
      <c r="AE66" s="138">
        <f t="shared" si="1"/>
        <v>4.0277917631657001E-3</v>
      </c>
    </row>
    <row r="67" spans="23:31" x14ac:dyDescent="0.25">
      <c r="W67" s="133">
        <v>42514</v>
      </c>
      <c r="X67" s="10">
        <v>99.49</v>
      </c>
      <c r="Y67" s="10">
        <v>100.36</v>
      </c>
      <c r="Z67" s="10">
        <v>99.42</v>
      </c>
      <c r="AA67" s="10">
        <v>99.91</v>
      </c>
      <c r="AB67" s="95">
        <v>2953700</v>
      </c>
      <c r="AC67" s="10">
        <v>99.31</v>
      </c>
      <c r="AD67" s="2">
        <f>Y67-Z67</f>
        <v>0.93999999999999773</v>
      </c>
      <c r="AE67" s="138">
        <f>AC67/AC68-1</f>
        <v>1.0274669379450652E-2</v>
      </c>
    </row>
    <row r="68" spans="23:31" x14ac:dyDescent="0.25">
      <c r="W68" s="133">
        <v>42513</v>
      </c>
      <c r="X68" s="10">
        <v>98.95</v>
      </c>
      <c r="Y68" s="10">
        <v>99.07</v>
      </c>
      <c r="Z68" s="10">
        <v>98.27</v>
      </c>
      <c r="AA68" s="10">
        <v>98.9</v>
      </c>
      <c r="AB68" s="95">
        <v>2658900</v>
      </c>
      <c r="AC68" s="10">
        <v>98.3</v>
      </c>
      <c r="AD68" s="2">
        <f>Y68-Z68</f>
        <v>0.79999999999999716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42606</v>
      </c>
      <c r="X2" s="10">
        <v>142</v>
      </c>
      <c r="Y2" s="10">
        <v>142.08000000000001</v>
      </c>
      <c r="Z2" s="10">
        <v>139.51</v>
      </c>
      <c r="AA2" s="10">
        <v>139.87</v>
      </c>
      <c r="AB2" s="95">
        <v>2461200</v>
      </c>
      <c r="AC2" s="10">
        <v>139.87</v>
      </c>
      <c r="AD2" s="2">
        <f>Y2-Z2</f>
        <v>2.5700000000000216</v>
      </c>
      <c r="AE2" s="138">
        <f>AC2/AC3-1</f>
        <v>-1.5069361312583518E-2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139.87</v>
      </c>
      <c r="W3" s="133">
        <v>42605</v>
      </c>
      <c r="X3" s="10">
        <v>142.72999999999999</v>
      </c>
      <c r="Y3" s="10">
        <v>142.87</v>
      </c>
      <c r="Z3" s="10">
        <v>141.75</v>
      </c>
      <c r="AA3" s="10">
        <v>142.01</v>
      </c>
      <c r="AB3" s="95">
        <v>2295500</v>
      </c>
      <c r="AC3" s="10">
        <v>142.01</v>
      </c>
      <c r="AD3" s="2">
        <f t="shared" ref="AD3:AD66" si="0">Y3-Z3</f>
        <v>1.1200000000000045</v>
      </c>
      <c r="AE3" s="138">
        <f t="shared" ref="AE3:AE66" si="1">AC3/AC4-1</f>
        <v>-5.6302343585057368E-4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139.87</v>
      </c>
      <c r="W4" s="133">
        <v>42604</v>
      </c>
      <c r="X4" s="10">
        <v>142.11000000000001</v>
      </c>
      <c r="Y4" s="10">
        <v>143</v>
      </c>
      <c r="Z4" s="10">
        <v>141.71</v>
      </c>
      <c r="AA4" s="10">
        <v>142.09</v>
      </c>
      <c r="AB4" s="95">
        <v>1587900</v>
      </c>
      <c r="AC4" s="10">
        <v>142.09</v>
      </c>
      <c r="AD4" s="2">
        <f t="shared" si="0"/>
        <v>1.289999999999992</v>
      </c>
      <c r="AE4" s="138">
        <f t="shared" si="1"/>
        <v>3.5201351731917185E-4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42601</v>
      </c>
      <c r="X5" s="10">
        <v>141.65</v>
      </c>
      <c r="Y5" s="10">
        <v>142.25</v>
      </c>
      <c r="Z5" s="10">
        <v>141.22</v>
      </c>
      <c r="AA5" s="10">
        <v>142.04</v>
      </c>
      <c r="AB5" s="95">
        <v>1950200</v>
      </c>
      <c r="AC5" s="10">
        <v>142.04</v>
      </c>
      <c r="AD5" s="2">
        <f t="shared" si="0"/>
        <v>1.0300000000000011</v>
      </c>
      <c r="AE5" s="138">
        <f t="shared" si="1"/>
        <v>-9.1439825560946097E-4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42600</v>
      </c>
      <c r="X6" s="10">
        <v>141.66999999999999</v>
      </c>
      <c r="Y6" s="10">
        <v>142.84</v>
      </c>
      <c r="Z6" s="10">
        <v>141.27000000000001</v>
      </c>
      <c r="AA6" s="10">
        <v>142.16999999999999</v>
      </c>
      <c r="AB6" s="95">
        <v>1572700</v>
      </c>
      <c r="AC6" s="10">
        <v>142.16999999999999</v>
      </c>
      <c r="AD6" s="2">
        <f t="shared" si="0"/>
        <v>1.5699999999999932</v>
      </c>
      <c r="AE6" s="138">
        <f t="shared" si="1"/>
        <v>3.24606590925125E-3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42599</v>
      </c>
      <c r="X7" s="10">
        <v>141.29</v>
      </c>
      <c r="Y7" s="10">
        <v>141.91</v>
      </c>
      <c r="Z7" s="10">
        <v>140.66</v>
      </c>
      <c r="AA7" s="10">
        <v>141.71</v>
      </c>
      <c r="AB7" s="95">
        <v>1849100</v>
      </c>
      <c r="AC7" s="10">
        <v>141.71</v>
      </c>
      <c r="AD7" s="2">
        <f t="shared" si="0"/>
        <v>1.25</v>
      </c>
      <c r="AE7" s="138">
        <f t="shared" si="1"/>
        <v>4.4655514601643631E-3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42598</v>
      </c>
      <c r="X8" s="10">
        <v>141.15</v>
      </c>
      <c r="Y8" s="10">
        <v>141.62</v>
      </c>
      <c r="Z8" s="10">
        <v>140.33000000000001</v>
      </c>
      <c r="AA8" s="10">
        <v>141.08000000000001</v>
      </c>
      <c r="AB8" s="95">
        <v>1688500</v>
      </c>
      <c r="AC8" s="10">
        <v>141.08000000000001</v>
      </c>
      <c r="AD8" s="2">
        <f t="shared" si="0"/>
        <v>1.289999999999992</v>
      </c>
      <c r="AE8" s="138">
        <f t="shared" si="1"/>
        <v>-3.8130207597796284E-3</v>
      </c>
    </row>
    <row r="9" spans="1:43" x14ac:dyDescent="0.25">
      <c r="O9" s="11" t="s">
        <v>225</v>
      </c>
      <c r="Q9" s="138">
        <f>IF(Q2=0, 0, Q8/Q6)</f>
        <v>0</v>
      </c>
      <c r="W9" s="133">
        <v>42597</v>
      </c>
      <c r="X9" s="10">
        <v>142.96</v>
      </c>
      <c r="Y9" s="10">
        <v>143.11000000000001</v>
      </c>
      <c r="Z9" s="10">
        <v>141.49</v>
      </c>
      <c r="AA9" s="10">
        <v>141.62</v>
      </c>
      <c r="AB9" s="95">
        <v>2369600</v>
      </c>
      <c r="AC9" s="10">
        <v>141.62</v>
      </c>
      <c r="AD9" s="2">
        <f t="shared" si="0"/>
        <v>1.6200000000000045</v>
      </c>
      <c r="AE9" s="138">
        <f t="shared" si="1"/>
        <v>-8.8185890257558297E-3</v>
      </c>
    </row>
    <row r="10" spans="1:43" x14ac:dyDescent="0.25">
      <c r="O10" s="11" t="s">
        <v>224</v>
      </c>
      <c r="P10" s="34"/>
      <c r="Q10" s="2">
        <f>M33</f>
        <v>176.70000000000073</v>
      </c>
      <c r="W10" s="133">
        <v>42594</v>
      </c>
      <c r="X10" s="10">
        <v>142.16</v>
      </c>
      <c r="Y10" s="10">
        <v>143.13999999999999</v>
      </c>
      <c r="Z10" s="10">
        <v>141.5</v>
      </c>
      <c r="AA10" s="10">
        <v>142.88</v>
      </c>
      <c r="AB10" s="95">
        <v>1787900</v>
      </c>
      <c r="AC10" s="10">
        <v>142.88</v>
      </c>
      <c r="AD10" s="2">
        <f t="shared" si="0"/>
        <v>1.6399999999999864</v>
      </c>
      <c r="AE10" s="138">
        <f t="shared" si="1"/>
        <v>1.7527869312206068E-3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1.7600000000000001E-2</v>
      </c>
      <c r="W11" s="133">
        <v>42593</v>
      </c>
      <c r="X11" s="10">
        <v>142.24</v>
      </c>
      <c r="Y11" s="10">
        <v>143.06</v>
      </c>
      <c r="Z11" s="10">
        <v>141.44</v>
      </c>
      <c r="AA11" s="10">
        <v>142.63</v>
      </c>
      <c r="AB11" s="95">
        <v>1857500</v>
      </c>
      <c r="AC11" s="10">
        <v>142.63</v>
      </c>
      <c r="AD11" s="2">
        <f t="shared" si="0"/>
        <v>1.6200000000000045</v>
      </c>
      <c r="AE11" s="138">
        <f t="shared" si="1"/>
        <v>3.0944510865742458E-3</v>
      </c>
    </row>
    <row r="12" spans="1:43" x14ac:dyDescent="0.25">
      <c r="W12" s="133">
        <v>42592</v>
      </c>
      <c r="X12" s="10">
        <v>141.87</v>
      </c>
      <c r="Y12" s="10">
        <v>142.34</v>
      </c>
      <c r="Z12" s="10">
        <v>140.93</v>
      </c>
      <c r="AA12" s="10">
        <v>142.19</v>
      </c>
      <c r="AB12" s="95">
        <v>1866300</v>
      </c>
      <c r="AC12" s="10">
        <v>142.19</v>
      </c>
      <c r="AD12" s="2">
        <f t="shared" si="0"/>
        <v>1.4099999999999966</v>
      </c>
      <c r="AE12" s="138">
        <f t="shared" si="1"/>
        <v>2.608940911013935E-3</v>
      </c>
    </row>
    <row r="13" spans="1:43" x14ac:dyDescent="0.25">
      <c r="W13" s="133">
        <v>42591</v>
      </c>
      <c r="X13" s="10">
        <v>142.55000000000001</v>
      </c>
      <c r="Y13" s="10">
        <v>143.13</v>
      </c>
      <c r="Z13" s="10">
        <v>141.68</v>
      </c>
      <c r="AA13" s="10">
        <v>141.82</v>
      </c>
      <c r="AB13" s="95">
        <v>2140700</v>
      </c>
      <c r="AC13" s="10">
        <v>141.82</v>
      </c>
      <c r="AD13" s="2">
        <f t="shared" si="0"/>
        <v>1.4499999999999886</v>
      </c>
      <c r="AE13" s="138">
        <f t="shared" si="1"/>
        <v>-2.1811018082037448E-3</v>
      </c>
    </row>
    <row r="14" spans="1:43" x14ac:dyDescent="0.25">
      <c r="W14" s="133">
        <v>42590</v>
      </c>
      <c r="X14" s="10">
        <v>142.61000000000001</v>
      </c>
      <c r="Y14" s="10">
        <v>143.07</v>
      </c>
      <c r="Z14" s="10">
        <v>141.86000000000001</v>
      </c>
      <c r="AA14" s="10">
        <v>142.13</v>
      </c>
      <c r="AB14" s="95">
        <v>1846400</v>
      </c>
      <c r="AC14" s="10">
        <v>142.13</v>
      </c>
      <c r="AD14" s="2">
        <f t="shared" si="0"/>
        <v>1.2099999999999795</v>
      </c>
      <c r="AE14" s="138">
        <f t="shared" si="1"/>
        <v>-6.014406601860367E-3</v>
      </c>
    </row>
    <row r="15" spans="1:43" x14ac:dyDescent="0.25">
      <c r="W15" s="133">
        <v>42587</v>
      </c>
      <c r="X15" s="10">
        <v>143.33000000000001</v>
      </c>
      <c r="Y15" s="10">
        <v>143.54</v>
      </c>
      <c r="Z15" s="10">
        <v>142.4</v>
      </c>
      <c r="AA15" s="10">
        <v>142.99</v>
      </c>
      <c r="AB15" s="95">
        <v>2000100</v>
      </c>
      <c r="AC15" s="10">
        <v>142.99</v>
      </c>
      <c r="AD15" s="2">
        <f t="shared" si="0"/>
        <v>1.1399999999999864</v>
      </c>
      <c r="AE15" s="138">
        <f t="shared" si="1"/>
        <v>1.9620208815078755E-3</v>
      </c>
    </row>
    <row r="16" spans="1:43" x14ac:dyDescent="0.25">
      <c r="W16" s="133">
        <v>42586</v>
      </c>
      <c r="X16" s="10">
        <v>143.1</v>
      </c>
      <c r="Y16" s="10">
        <v>143.47999999999999</v>
      </c>
      <c r="Z16" s="10">
        <v>142.26</v>
      </c>
      <c r="AA16" s="10">
        <v>142.71</v>
      </c>
      <c r="AB16" s="95">
        <v>1890900</v>
      </c>
      <c r="AC16" s="10">
        <v>142.71</v>
      </c>
      <c r="AD16" s="2">
        <f t="shared" si="0"/>
        <v>1.2199999999999989</v>
      </c>
      <c r="AE16" s="138">
        <f t="shared" si="1"/>
        <v>-1.1898096304590045E-3</v>
      </c>
    </row>
    <row r="17" spans="1:31" x14ac:dyDescent="0.25">
      <c r="W17" s="133">
        <v>42585</v>
      </c>
      <c r="X17" s="10">
        <v>143.33000000000001</v>
      </c>
      <c r="Y17" s="10">
        <v>143.62</v>
      </c>
      <c r="Z17" s="10">
        <v>142.43</v>
      </c>
      <c r="AA17" s="10">
        <v>142.88</v>
      </c>
      <c r="AB17" s="95">
        <v>1963600</v>
      </c>
      <c r="AC17" s="10">
        <v>142.88</v>
      </c>
      <c r="AD17" s="2">
        <f t="shared" si="0"/>
        <v>1.1899999999999977</v>
      </c>
      <c r="AE17" s="138">
        <f t="shared" si="1"/>
        <v>-2.0255640148074683E-3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42584</v>
      </c>
      <c r="X18" s="10">
        <v>143.81</v>
      </c>
      <c r="Y18" s="10">
        <v>143.97</v>
      </c>
      <c r="Z18" s="10">
        <v>142.34</v>
      </c>
      <c r="AA18" s="10">
        <v>143.16999999999999</v>
      </c>
      <c r="AB18" s="95">
        <v>2679100</v>
      </c>
      <c r="AC18" s="10">
        <v>143.16999999999999</v>
      </c>
      <c r="AD18" s="2">
        <f t="shared" si="0"/>
        <v>1.6299999999999955</v>
      </c>
      <c r="AE18" s="138">
        <f t="shared" si="1"/>
        <v>-2.3691728799386524E-3</v>
      </c>
    </row>
    <row r="19" spans="1:31" x14ac:dyDescent="0.25">
      <c r="W19" s="133">
        <v>42583</v>
      </c>
      <c r="X19" s="10">
        <v>143.41999999999999</v>
      </c>
      <c r="Y19" s="10">
        <v>144.16</v>
      </c>
      <c r="Z19" s="10">
        <v>143.04</v>
      </c>
      <c r="AA19" s="10">
        <v>143.51</v>
      </c>
      <c r="AB19" s="95">
        <v>2494900</v>
      </c>
      <c r="AC19" s="10">
        <v>143.51</v>
      </c>
      <c r="AD19" s="2">
        <f t="shared" si="0"/>
        <v>1.1200000000000045</v>
      </c>
      <c r="AE19" s="138">
        <f t="shared" si="1"/>
        <v>2.1648044692736956E-3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42580</v>
      </c>
      <c r="X20" s="10">
        <v>141.85</v>
      </c>
      <c r="Y20" s="10">
        <v>143.9</v>
      </c>
      <c r="Z20" s="10">
        <v>141.6</v>
      </c>
      <c r="AA20" s="10">
        <v>143.19999999999999</v>
      </c>
      <c r="AB20" s="95">
        <v>3269700</v>
      </c>
      <c r="AC20" s="10">
        <v>143.19999999999999</v>
      </c>
      <c r="AD20" s="2">
        <f t="shared" si="0"/>
        <v>2.3000000000000114</v>
      </c>
      <c r="AE20" s="138">
        <f t="shared" si="1"/>
        <v>3.0820958251611685E-3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42579</v>
      </c>
      <c r="X21" s="10">
        <v>141.36000000000001</v>
      </c>
      <c r="Y21" s="10">
        <v>143.03</v>
      </c>
      <c r="Z21" s="10">
        <v>141.19</v>
      </c>
      <c r="AA21" s="10">
        <v>142.76</v>
      </c>
      <c r="AB21" s="95">
        <v>2517000</v>
      </c>
      <c r="AC21" s="10">
        <v>142.76</v>
      </c>
      <c r="AD21" s="2">
        <f t="shared" si="0"/>
        <v>1.8400000000000034</v>
      </c>
      <c r="AE21" s="138">
        <f t="shared" si="1"/>
        <v>7.622811970637855E-3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42578</v>
      </c>
      <c r="X22" s="10">
        <v>141.16999999999999</v>
      </c>
      <c r="Y22" s="10">
        <v>142.34</v>
      </c>
      <c r="Z22" s="10">
        <v>139.91</v>
      </c>
      <c r="AA22" s="10">
        <v>141.68</v>
      </c>
      <c r="AB22" s="95">
        <v>2684100</v>
      </c>
      <c r="AC22" s="10">
        <v>141.68</v>
      </c>
      <c r="AD22" s="2">
        <f t="shared" si="0"/>
        <v>2.4300000000000068</v>
      </c>
      <c r="AE22" s="138">
        <f t="shared" si="1"/>
        <v>-1.4114326040914893E-4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42577</v>
      </c>
      <c r="X23" s="10">
        <v>141.94</v>
      </c>
      <c r="Y23" s="10">
        <v>142.19</v>
      </c>
      <c r="Z23" s="10">
        <v>141.02000000000001</v>
      </c>
      <c r="AA23" s="10">
        <v>141.69999999999999</v>
      </c>
      <c r="AB23" s="95">
        <v>2668100</v>
      </c>
      <c r="AC23" s="10">
        <v>141.69999999999999</v>
      </c>
      <c r="AD23" s="2">
        <f t="shared" si="0"/>
        <v>1.1699999999999875</v>
      </c>
      <c r="AE23" s="138">
        <f t="shared" si="1"/>
        <v>-2.1167007690681139E-4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42576</v>
      </c>
      <c r="X24" s="10">
        <v>143.55000000000001</v>
      </c>
      <c r="Y24" s="10">
        <v>143.88999999999999</v>
      </c>
      <c r="Z24" s="10">
        <v>141.41</v>
      </c>
      <c r="AA24" s="10">
        <v>141.72999999999999</v>
      </c>
      <c r="AB24" s="95">
        <v>2725600</v>
      </c>
      <c r="AC24" s="10">
        <v>141.72999999999999</v>
      </c>
      <c r="AD24" s="2">
        <f t="shared" si="0"/>
        <v>2.4799999999999898</v>
      </c>
      <c r="AE24" s="138">
        <f t="shared" si="1"/>
        <v>-1.3640476024775583E-2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42573</v>
      </c>
      <c r="X25" s="10">
        <v>143.69</v>
      </c>
      <c r="Y25" s="10">
        <v>144.05000000000001</v>
      </c>
      <c r="Z25" s="10">
        <v>142.91999999999999</v>
      </c>
      <c r="AA25" s="10">
        <v>143.69</v>
      </c>
      <c r="AB25" s="95">
        <v>2697500</v>
      </c>
      <c r="AC25" s="10">
        <v>143.69</v>
      </c>
      <c r="AD25" s="2">
        <f t="shared" si="0"/>
        <v>1.1300000000000239</v>
      </c>
      <c r="AE25" s="138">
        <f t="shared" si="1"/>
        <v>5.7394834464896682E-3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42572</v>
      </c>
      <c r="X26" s="10">
        <v>142.71</v>
      </c>
      <c r="Y26" s="10">
        <v>143.72999999999999</v>
      </c>
      <c r="Z26" s="10">
        <v>142.13</v>
      </c>
      <c r="AA26" s="10">
        <v>142.87</v>
      </c>
      <c r="AB26" s="95">
        <v>3475100</v>
      </c>
      <c r="AC26" s="10">
        <v>142.87</v>
      </c>
      <c r="AD26" s="2">
        <f t="shared" si="0"/>
        <v>1.5999999999999943</v>
      </c>
      <c r="AE26" s="138">
        <f t="shared" si="1"/>
        <v>-1.0488043630262345E-3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42571</v>
      </c>
      <c r="X27" s="10">
        <v>143.47</v>
      </c>
      <c r="Y27" s="10">
        <v>144.47999999999999</v>
      </c>
      <c r="Z27" s="10">
        <v>142.81</v>
      </c>
      <c r="AA27" s="10">
        <v>143.02000000000001</v>
      </c>
      <c r="AB27" s="95">
        <v>5489800</v>
      </c>
      <c r="AC27" s="10">
        <v>143.02000000000001</v>
      </c>
      <c r="AD27" s="2">
        <f t="shared" si="0"/>
        <v>1.6699999999999875</v>
      </c>
      <c r="AE27" s="138">
        <f t="shared" si="1"/>
        <v>3.0156392453888348E-3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42570</v>
      </c>
      <c r="X28" s="10">
        <v>140.75</v>
      </c>
      <c r="Y28" s="10">
        <v>142.63</v>
      </c>
      <c r="Z28" s="10">
        <v>139.32</v>
      </c>
      <c r="AA28" s="10">
        <v>142.59</v>
      </c>
      <c r="AB28" s="95">
        <v>5326200</v>
      </c>
      <c r="AC28" s="10">
        <v>142.59</v>
      </c>
      <c r="AD28" s="2">
        <f t="shared" si="0"/>
        <v>3.3100000000000023</v>
      </c>
      <c r="AE28" s="138">
        <f t="shared" si="1"/>
        <v>1.3072824156305618E-2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42569</v>
      </c>
      <c r="X29" s="10">
        <v>141.76</v>
      </c>
      <c r="Y29" s="10">
        <v>141.9</v>
      </c>
      <c r="Z29" s="10">
        <v>139.62</v>
      </c>
      <c r="AA29" s="10">
        <v>140.75</v>
      </c>
      <c r="AB29" s="95">
        <v>4166300</v>
      </c>
      <c r="AC29" s="10">
        <v>140.75</v>
      </c>
      <c r="AD29" s="2">
        <f t="shared" si="0"/>
        <v>2.2800000000000011</v>
      </c>
      <c r="AE29" s="138">
        <f t="shared" si="1"/>
        <v>-4.1038703743013771E-3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42566</v>
      </c>
      <c r="X30" s="10">
        <v>141.65</v>
      </c>
      <c r="Y30" s="10">
        <v>142.78</v>
      </c>
      <c r="Z30" s="10">
        <v>141.06</v>
      </c>
      <c r="AA30" s="10">
        <v>141.33000000000001</v>
      </c>
      <c r="AB30" s="95">
        <v>3748700</v>
      </c>
      <c r="AC30" s="10">
        <v>141.33000000000001</v>
      </c>
      <c r="AD30" s="2">
        <f t="shared" si="0"/>
        <v>1.7199999999999989</v>
      </c>
      <c r="AE30" s="138">
        <f t="shared" si="1"/>
        <v>3.4791252485089075E-3</v>
      </c>
    </row>
    <row r="31" spans="1:31" x14ac:dyDescent="0.25">
      <c r="G31" s="3"/>
      <c r="H31" s="233"/>
      <c r="W31" s="133">
        <v>42565</v>
      </c>
      <c r="X31" s="10">
        <v>142.38999999999999</v>
      </c>
      <c r="Y31" s="10">
        <v>142.85</v>
      </c>
      <c r="Z31" s="10">
        <v>140.47</v>
      </c>
      <c r="AA31" s="10">
        <v>140.84</v>
      </c>
      <c r="AB31" s="95">
        <v>3000700</v>
      </c>
      <c r="AC31" s="10">
        <v>140.84</v>
      </c>
      <c r="AD31" s="2">
        <f t="shared" si="0"/>
        <v>2.3799999999999955</v>
      </c>
      <c r="AE31" s="138">
        <f t="shared" si="1"/>
        <v>-4.523607577042621E-3</v>
      </c>
    </row>
    <row r="32" spans="1:31" x14ac:dyDescent="0.25">
      <c r="W32" s="133">
        <v>42564</v>
      </c>
      <c r="X32" s="10">
        <v>140.96</v>
      </c>
      <c r="Y32" s="10">
        <v>141.59</v>
      </c>
      <c r="Z32" s="10">
        <v>139.91999999999999</v>
      </c>
      <c r="AA32" s="10">
        <v>141.47999999999999</v>
      </c>
      <c r="AB32" s="95">
        <v>3164700</v>
      </c>
      <c r="AC32" s="10">
        <v>141.47999999999999</v>
      </c>
      <c r="AD32" s="2">
        <f t="shared" si="0"/>
        <v>1.6700000000000159</v>
      </c>
      <c r="AE32" s="138">
        <f t="shared" si="1"/>
        <v>1.1583011583011338E-2</v>
      </c>
    </row>
    <row r="33" spans="1:31" x14ac:dyDescent="0.25">
      <c r="L33" t="s">
        <v>224</v>
      </c>
      <c r="M33" s="2">
        <f>M44+K44-F44</f>
        <v>176.70000000000073</v>
      </c>
      <c r="W33" s="133">
        <v>42563</v>
      </c>
      <c r="X33" s="10">
        <v>140.88999999999999</v>
      </c>
      <c r="Y33" s="10">
        <v>140.94999999999999</v>
      </c>
      <c r="Z33" s="10">
        <v>139.37</v>
      </c>
      <c r="AA33" s="10">
        <v>139.86000000000001</v>
      </c>
      <c r="AB33" s="95">
        <v>4310100</v>
      </c>
      <c r="AC33" s="10">
        <v>139.86000000000001</v>
      </c>
      <c r="AD33" s="2">
        <f t="shared" si="0"/>
        <v>1.5799999999999841</v>
      </c>
      <c r="AE33" s="138">
        <f t="shared" si="1"/>
        <v>-3.2782212086657214E-3</v>
      </c>
    </row>
    <row r="34" spans="1:31" x14ac:dyDescent="0.25">
      <c r="A34" s="264" t="s">
        <v>1</v>
      </c>
      <c r="B34" s="264" t="s">
        <v>2</v>
      </c>
      <c r="C34" s="264" t="s">
        <v>4</v>
      </c>
      <c r="D34" s="265" t="s">
        <v>5</v>
      </c>
      <c r="E34" s="265" t="s">
        <v>94</v>
      </c>
      <c r="F34" s="265" t="s">
        <v>60</v>
      </c>
      <c r="G34" s="264" t="s">
        <v>3</v>
      </c>
      <c r="H34" s="264" t="s">
        <v>6</v>
      </c>
      <c r="I34" s="264" t="s">
        <v>7</v>
      </c>
      <c r="J34" s="264" t="s">
        <v>95</v>
      </c>
      <c r="K34" s="264" t="s">
        <v>61</v>
      </c>
      <c r="L34" s="264" t="s">
        <v>77</v>
      </c>
      <c r="M34" s="264" t="s">
        <v>38</v>
      </c>
      <c r="W34" s="133">
        <v>42562</v>
      </c>
      <c r="X34" s="10">
        <v>141.27000000000001</v>
      </c>
      <c r="Y34" s="10">
        <v>141.6</v>
      </c>
      <c r="Z34" s="10">
        <v>140.01</v>
      </c>
      <c r="AA34" s="10">
        <v>140.32</v>
      </c>
      <c r="AB34" s="95">
        <v>4084000</v>
      </c>
      <c r="AC34" s="10">
        <v>140.32</v>
      </c>
      <c r="AD34" s="2">
        <f t="shared" si="0"/>
        <v>1.5900000000000034</v>
      </c>
      <c r="AE34" s="138">
        <f t="shared" si="1"/>
        <v>-6.7247115452679918E-3</v>
      </c>
    </row>
    <row r="35" spans="1:31" x14ac:dyDescent="0.25">
      <c r="A35" s="266" t="s">
        <v>51</v>
      </c>
      <c r="B35" s="267">
        <v>42212</v>
      </c>
      <c r="C35" s="262">
        <v>10</v>
      </c>
      <c r="D35" s="263">
        <v>120.14</v>
      </c>
      <c r="E35" s="263">
        <v>0</v>
      </c>
      <c r="F35" s="263">
        <f t="shared" ref="F35:F40" si="4">D35*C35</f>
        <v>1201.4000000000001</v>
      </c>
      <c r="G35" s="267">
        <v>42292</v>
      </c>
      <c r="H35" s="268">
        <v>15</v>
      </c>
      <c r="I35" s="263">
        <v>122.5</v>
      </c>
      <c r="J35" s="263">
        <v>0.03</v>
      </c>
      <c r="K35" s="262">
        <f>I35*H35-J35</f>
        <v>1837.47</v>
      </c>
      <c r="L35" s="267">
        <v>42269</v>
      </c>
      <c r="M35" s="263">
        <v>7.5</v>
      </c>
      <c r="W35" s="133">
        <v>42559</v>
      </c>
      <c r="X35" s="10">
        <v>141.69999999999999</v>
      </c>
      <c r="Y35" s="10">
        <v>141.78</v>
      </c>
      <c r="Z35" s="10">
        <v>139.55000000000001</v>
      </c>
      <c r="AA35" s="10">
        <v>141.27000000000001</v>
      </c>
      <c r="AB35" s="95">
        <v>3605500</v>
      </c>
      <c r="AC35" s="10">
        <v>141.27000000000001</v>
      </c>
      <c r="AD35" s="2">
        <f t="shared" si="0"/>
        <v>2.2299999999999898</v>
      </c>
      <c r="AE35" s="138">
        <f t="shared" si="1"/>
        <v>3.3380681818182545E-3</v>
      </c>
    </row>
    <row r="36" spans="1:31" x14ac:dyDescent="0.25">
      <c r="A36" s="269" t="s">
        <v>71</v>
      </c>
      <c r="B36" s="267">
        <v>42214</v>
      </c>
      <c r="C36" s="262">
        <v>5</v>
      </c>
      <c r="D36" s="263">
        <v>118.3</v>
      </c>
      <c r="E36" s="263">
        <v>0</v>
      </c>
      <c r="F36" s="263">
        <f t="shared" si="4"/>
        <v>591.5</v>
      </c>
      <c r="G36" s="267">
        <v>42331</v>
      </c>
      <c r="H36" s="268">
        <v>10</v>
      </c>
      <c r="I36" s="263">
        <v>113.5</v>
      </c>
      <c r="J36" s="263">
        <v>0.02</v>
      </c>
      <c r="K36" s="262">
        <f>I36*H36-J36</f>
        <v>1134.98</v>
      </c>
      <c r="L36" s="267">
        <v>42353</v>
      </c>
      <c r="M36" s="263">
        <v>5</v>
      </c>
      <c r="W36" s="133">
        <v>42558</v>
      </c>
      <c r="X36" s="10">
        <v>142.37</v>
      </c>
      <c r="Y36" s="10">
        <v>142.66</v>
      </c>
      <c r="Z36" s="10">
        <v>139.94999999999999</v>
      </c>
      <c r="AA36" s="10">
        <v>140.80000000000001</v>
      </c>
      <c r="AB36" s="95">
        <v>3515500</v>
      </c>
      <c r="AC36" s="10">
        <v>140.80000000000001</v>
      </c>
      <c r="AD36" s="2">
        <f t="shared" si="0"/>
        <v>2.710000000000008</v>
      </c>
      <c r="AE36" s="138">
        <f t="shared" si="1"/>
        <v>-1.1097064194409256E-2</v>
      </c>
    </row>
    <row r="37" spans="1:31" x14ac:dyDescent="0.25">
      <c r="A37" s="262"/>
      <c r="B37" s="267">
        <v>42286</v>
      </c>
      <c r="C37" s="262">
        <v>10</v>
      </c>
      <c r="D37" s="263">
        <v>116</v>
      </c>
      <c r="E37" s="263">
        <v>0</v>
      </c>
      <c r="F37" s="263">
        <f t="shared" si="4"/>
        <v>1160</v>
      </c>
      <c r="G37" s="267">
        <v>42340</v>
      </c>
      <c r="H37" s="268">
        <v>10</v>
      </c>
      <c r="I37" s="263">
        <v>115.4</v>
      </c>
      <c r="J37" s="263">
        <v>0.02</v>
      </c>
      <c r="K37" s="262">
        <f>I37*H37-J37</f>
        <v>1153.98</v>
      </c>
      <c r="L37" s="262"/>
      <c r="M37" s="262"/>
      <c r="W37" s="133">
        <v>42557</v>
      </c>
      <c r="X37" s="10">
        <v>140.97999999999999</v>
      </c>
      <c r="Y37" s="10">
        <v>142.96</v>
      </c>
      <c r="Z37" s="10">
        <v>140.97</v>
      </c>
      <c r="AA37" s="10">
        <v>142.38</v>
      </c>
      <c r="AB37" s="95">
        <v>4083300</v>
      </c>
      <c r="AC37" s="10">
        <v>142.38</v>
      </c>
      <c r="AD37" s="2">
        <f t="shared" si="0"/>
        <v>1.9900000000000091</v>
      </c>
      <c r="AE37" s="138">
        <f t="shared" si="1"/>
        <v>5.7925967787511023E-3</v>
      </c>
    </row>
    <row r="38" spans="1:31" x14ac:dyDescent="0.25">
      <c r="A38" s="262"/>
      <c r="B38" s="267">
        <v>42331</v>
      </c>
      <c r="C38" s="262">
        <v>10</v>
      </c>
      <c r="D38" s="263">
        <v>112.95</v>
      </c>
      <c r="E38" s="263">
        <v>0</v>
      </c>
      <c r="F38" s="263">
        <f t="shared" si="4"/>
        <v>1129.5</v>
      </c>
      <c r="G38" s="267">
        <v>42360</v>
      </c>
      <c r="H38" s="268">
        <v>10</v>
      </c>
      <c r="I38" s="263">
        <v>120.2</v>
      </c>
      <c r="J38" s="263">
        <v>0.02</v>
      </c>
      <c r="K38" s="262">
        <f>I38*H38-J38</f>
        <v>1201.98</v>
      </c>
      <c r="L38" s="262"/>
      <c r="M38" s="262"/>
      <c r="W38" s="133">
        <v>42556</v>
      </c>
      <c r="X38" s="10">
        <v>140.15</v>
      </c>
      <c r="Y38" s="10">
        <v>141.91</v>
      </c>
      <c r="Z38" s="10">
        <v>140.03</v>
      </c>
      <c r="AA38" s="10">
        <v>141.56</v>
      </c>
      <c r="AB38" s="95">
        <v>3749300</v>
      </c>
      <c r="AC38" s="10">
        <v>141.56</v>
      </c>
      <c r="AD38" s="2">
        <f t="shared" si="0"/>
        <v>1.8799999999999955</v>
      </c>
      <c r="AE38" s="138">
        <f t="shared" si="1"/>
        <v>4.9694732358369631E-3</v>
      </c>
    </row>
    <row r="39" spans="1:31" x14ac:dyDescent="0.25">
      <c r="A39" s="262"/>
      <c r="B39" s="267">
        <v>42340</v>
      </c>
      <c r="C39" s="262">
        <v>10</v>
      </c>
      <c r="D39" s="263">
        <v>115.3</v>
      </c>
      <c r="E39" s="263">
        <v>0</v>
      </c>
      <c r="F39" s="263">
        <f t="shared" si="4"/>
        <v>1153</v>
      </c>
      <c r="G39" s="267">
        <v>42416</v>
      </c>
      <c r="H39" s="268">
        <v>25</v>
      </c>
      <c r="I39" s="263">
        <v>114.55</v>
      </c>
      <c r="J39" s="263">
        <v>0.06</v>
      </c>
      <c r="K39" s="262">
        <f>I39*H39-J39</f>
        <v>2863.69</v>
      </c>
      <c r="L39" s="262"/>
      <c r="M39" s="262"/>
      <c r="W39" s="133">
        <v>42552</v>
      </c>
      <c r="X39" s="10">
        <v>141.16</v>
      </c>
      <c r="Y39" s="10">
        <v>141.79</v>
      </c>
      <c r="Z39" s="10">
        <v>140.62</v>
      </c>
      <c r="AA39" s="10">
        <v>140.86000000000001</v>
      </c>
      <c r="AB39" s="95">
        <v>2882500</v>
      </c>
      <c r="AC39" s="10">
        <v>140.86000000000001</v>
      </c>
      <c r="AD39" s="2">
        <f t="shared" si="0"/>
        <v>1.1699999999999875</v>
      </c>
      <c r="AE39" s="138">
        <f t="shared" si="1"/>
        <v>-2.4079320113312708E-3</v>
      </c>
    </row>
    <row r="40" spans="1:31" x14ac:dyDescent="0.25">
      <c r="A40" s="262"/>
      <c r="B40" s="267">
        <v>42376</v>
      </c>
      <c r="C40" s="262">
        <v>25</v>
      </c>
      <c r="D40" s="263">
        <v>111.7</v>
      </c>
      <c r="E40" s="263">
        <v>0</v>
      </c>
      <c r="F40" s="263">
        <f t="shared" si="4"/>
        <v>2792.5</v>
      </c>
      <c r="G40" s="262"/>
      <c r="H40" s="268"/>
      <c r="I40" s="262"/>
      <c r="J40" s="262"/>
      <c r="K40" s="262"/>
      <c r="L40" s="262"/>
      <c r="M40" s="262"/>
      <c r="O40" s="34"/>
      <c r="W40" s="133">
        <v>42551</v>
      </c>
      <c r="X40" s="10">
        <v>140.68</v>
      </c>
      <c r="Y40" s="10">
        <v>141.31</v>
      </c>
      <c r="Z40" s="10">
        <v>140.24</v>
      </c>
      <c r="AA40" s="10">
        <v>141.19999999999999</v>
      </c>
      <c r="AB40" s="95">
        <v>4730800</v>
      </c>
      <c r="AC40" s="10">
        <v>141.19999999999999</v>
      </c>
      <c r="AD40" s="2">
        <f t="shared" si="0"/>
        <v>1.0699999999999932</v>
      </c>
      <c r="AE40" s="138">
        <f t="shared" si="1"/>
        <v>4.8391688015938517E-3</v>
      </c>
    </row>
    <row r="41" spans="1:31" ht="20.25" thickBot="1" x14ac:dyDescent="0.35">
      <c r="A41" s="262"/>
      <c r="B41" s="262"/>
      <c r="C41" s="262"/>
      <c r="D41" s="263"/>
      <c r="E41" s="263"/>
      <c r="F41" s="263"/>
      <c r="G41" s="262"/>
      <c r="H41" s="262"/>
      <c r="I41" s="262"/>
      <c r="J41" s="262"/>
      <c r="K41" s="262"/>
      <c r="L41" s="262"/>
      <c r="M41" s="262"/>
      <c r="O41" s="535" t="s">
        <v>78</v>
      </c>
      <c r="P41" s="535"/>
      <c r="Q41" s="34"/>
      <c r="W41" s="133">
        <v>42550</v>
      </c>
      <c r="X41" s="10">
        <v>139.80000000000001</v>
      </c>
      <c r="Y41" s="10">
        <v>140.68</v>
      </c>
      <c r="Z41" s="10">
        <v>139.6</v>
      </c>
      <c r="AA41" s="10">
        <v>140.52000000000001</v>
      </c>
      <c r="AB41" s="95">
        <v>3704500</v>
      </c>
      <c r="AC41" s="10">
        <v>140.52000000000001</v>
      </c>
      <c r="AD41" s="2">
        <f t="shared" si="0"/>
        <v>1.0800000000000125</v>
      </c>
      <c r="AE41" s="138">
        <f t="shared" si="1"/>
        <v>1.3048806863239948E-2</v>
      </c>
    </row>
    <row r="42" spans="1:31" ht="21" thickTop="1" thickBot="1" x14ac:dyDescent="0.35">
      <c r="A42" s="262"/>
      <c r="B42" s="262"/>
      <c r="C42" s="262"/>
      <c r="D42" s="263"/>
      <c r="E42" s="263"/>
      <c r="F42" s="263"/>
      <c r="G42" s="262"/>
      <c r="H42" s="262"/>
      <c r="I42" s="262"/>
      <c r="J42" s="262"/>
      <c r="K42" s="262"/>
      <c r="L42" s="262"/>
      <c r="M42" s="262"/>
      <c r="O42" s="83">
        <v>1.1000000000000001</v>
      </c>
      <c r="P42" s="83">
        <f>O42*$Q$4</f>
        <v>153.85700000000003</v>
      </c>
      <c r="Q42" s="34"/>
      <c r="T42" s="91" t="s">
        <v>113</v>
      </c>
      <c r="W42" s="133">
        <v>42549</v>
      </c>
      <c r="X42" s="10">
        <v>138.21</v>
      </c>
      <c r="Y42" s="10">
        <v>139.09</v>
      </c>
      <c r="Z42" s="10">
        <v>137.65</v>
      </c>
      <c r="AA42" s="10">
        <v>138.71</v>
      </c>
      <c r="AB42" s="95">
        <v>4160200</v>
      </c>
      <c r="AC42" s="10">
        <v>138.71</v>
      </c>
      <c r="AD42" s="2">
        <f t="shared" si="0"/>
        <v>1.4399999999999977</v>
      </c>
      <c r="AE42" s="138">
        <f t="shared" si="1"/>
        <v>1.1669462475384584E-2</v>
      </c>
    </row>
    <row r="43" spans="1:31" ht="15.75" thickTop="1" x14ac:dyDescent="0.25">
      <c r="A43" s="262"/>
      <c r="B43" s="262"/>
      <c r="C43" s="262"/>
      <c r="D43" s="263"/>
      <c r="E43" s="263"/>
      <c r="F43" s="263"/>
      <c r="G43" s="262"/>
      <c r="H43" s="262"/>
      <c r="I43" s="262"/>
      <c r="J43" s="262"/>
      <c r="K43" s="262"/>
      <c r="L43" s="262"/>
      <c r="M43" s="262"/>
      <c r="O43" s="83">
        <v>1.0900000000000001</v>
      </c>
      <c r="P43" s="83">
        <f t="shared" ref="P43:P62" si="5">O43*$Q$4</f>
        <v>152.45830000000001</v>
      </c>
      <c r="Q43" s="34"/>
      <c r="T43" s="128" t="s">
        <v>98</v>
      </c>
      <c r="U43" s="98">
        <v>142.01</v>
      </c>
      <c r="W43" s="133">
        <v>42548</v>
      </c>
      <c r="X43" s="10">
        <v>136.15</v>
      </c>
      <c r="Y43" s="10">
        <v>137.38999999999999</v>
      </c>
      <c r="Z43" s="10">
        <v>135.47999999999999</v>
      </c>
      <c r="AA43" s="10">
        <v>137.11000000000001</v>
      </c>
      <c r="AB43" s="95">
        <v>3996200</v>
      </c>
      <c r="AC43" s="10">
        <v>137.11000000000001</v>
      </c>
      <c r="AD43" s="2">
        <f t="shared" si="0"/>
        <v>1.9099999999999966</v>
      </c>
      <c r="AE43" s="138">
        <f t="shared" si="1"/>
        <v>-1.3110933061400987E-3</v>
      </c>
    </row>
    <row r="44" spans="1:31" x14ac:dyDescent="0.25">
      <c r="A44" s="423" t="s">
        <v>81</v>
      </c>
      <c r="B44" s="424"/>
      <c r="C44" s="424">
        <f>SUM(C35:C40)</f>
        <v>70</v>
      </c>
      <c r="D44" s="425"/>
      <c r="E44" s="425"/>
      <c r="F44" s="425">
        <f>SUM(F35:F40)</f>
        <v>8027.9</v>
      </c>
      <c r="G44" s="425"/>
      <c r="H44" s="426">
        <f>SUM(H35:H39)</f>
        <v>70</v>
      </c>
      <c r="I44" s="425"/>
      <c r="J44" s="425"/>
      <c r="K44" s="425">
        <f>SUM(K35:K39)</f>
        <v>8192.1</v>
      </c>
      <c r="L44" s="425"/>
      <c r="M44" s="425">
        <f>SUM(M35:M38)</f>
        <v>12.5</v>
      </c>
      <c r="O44" s="83">
        <v>1.08</v>
      </c>
      <c r="P44" s="83">
        <f t="shared" si="5"/>
        <v>151.05960000000002</v>
      </c>
      <c r="Q44" s="34"/>
      <c r="T44" s="93" t="s">
        <v>99</v>
      </c>
      <c r="U44" s="88">
        <v>142</v>
      </c>
      <c r="W44" s="133">
        <v>42545</v>
      </c>
      <c r="X44" s="10">
        <v>135.66</v>
      </c>
      <c r="Y44" s="10">
        <v>138.62</v>
      </c>
      <c r="Z44" s="10">
        <v>135.15</v>
      </c>
      <c r="AA44" s="10">
        <v>137.29</v>
      </c>
      <c r="AB44" s="95">
        <v>4475100</v>
      </c>
      <c r="AC44" s="10">
        <v>137.29</v>
      </c>
      <c r="AD44" s="2">
        <f t="shared" si="0"/>
        <v>3.4699999999999989</v>
      </c>
      <c r="AE44" s="138">
        <f t="shared" si="1"/>
        <v>-1.365040591996558E-2</v>
      </c>
    </row>
    <row r="45" spans="1:31" x14ac:dyDescent="0.25">
      <c r="A45" s="262"/>
      <c r="B45" s="262"/>
      <c r="C45" s="262"/>
      <c r="D45" s="263"/>
      <c r="E45" s="263"/>
      <c r="F45" s="263"/>
      <c r="G45" s="262"/>
      <c r="H45" s="262"/>
      <c r="I45" s="262"/>
      <c r="J45" s="262"/>
      <c r="K45" s="262"/>
      <c r="L45" s="262"/>
      <c r="M45" s="262"/>
      <c r="O45" s="83">
        <v>1.07</v>
      </c>
      <c r="P45" s="83">
        <f t="shared" si="5"/>
        <v>149.66090000000003</v>
      </c>
      <c r="Q45" s="83"/>
      <c r="T45" s="93" t="s">
        <v>100</v>
      </c>
      <c r="U45" s="88" t="s">
        <v>517</v>
      </c>
      <c r="W45" s="133">
        <v>42544</v>
      </c>
      <c r="X45" s="10">
        <v>139.35</v>
      </c>
      <c r="Y45" s="10">
        <v>139.97999999999999</v>
      </c>
      <c r="Z45" s="10">
        <v>138.01</v>
      </c>
      <c r="AA45" s="10">
        <v>139.19</v>
      </c>
      <c r="AB45" s="95">
        <v>2646800</v>
      </c>
      <c r="AC45" s="10">
        <v>139.19</v>
      </c>
      <c r="AD45" s="2">
        <f t="shared" si="0"/>
        <v>1.9699999999999989</v>
      </c>
      <c r="AE45" s="138">
        <f t="shared" si="1"/>
        <v>9.3546047860768589E-3</v>
      </c>
    </row>
    <row r="46" spans="1:31" x14ac:dyDescent="0.25">
      <c r="O46" s="83">
        <v>1.06</v>
      </c>
      <c r="P46" s="83">
        <f t="shared" si="5"/>
        <v>148.26220000000001</v>
      </c>
      <c r="Q46" s="83"/>
      <c r="T46" s="93" t="s">
        <v>101</v>
      </c>
      <c r="U46" s="88" t="s">
        <v>518</v>
      </c>
      <c r="W46" s="133">
        <v>42543</v>
      </c>
      <c r="X46" s="10">
        <v>138.44999999999999</v>
      </c>
      <c r="Y46" s="10">
        <v>139.54</v>
      </c>
      <c r="Z46" s="10">
        <v>137.63</v>
      </c>
      <c r="AA46" s="10">
        <v>137.9</v>
      </c>
      <c r="AB46" s="95">
        <v>2375200</v>
      </c>
      <c r="AC46" s="10">
        <v>137.9</v>
      </c>
      <c r="AD46" s="2">
        <f t="shared" si="0"/>
        <v>1.9099999999999966</v>
      </c>
      <c r="AE46" s="138">
        <f t="shared" si="1"/>
        <v>-2.0985599536869071E-3</v>
      </c>
    </row>
    <row r="47" spans="1:31" x14ac:dyDescent="0.25">
      <c r="O47" s="83">
        <v>1.05</v>
      </c>
      <c r="P47" s="83">
        <f t="shared" si="5"/>
        <v>146.86350000000002</v>
      </c>
      <c r="Q47" s="83"/>
      <c r="T47" s="93" t="s">
        <v>102</v>
      </c>
      <c r="U47" s="88">
        <v>160.87</v>
      </c>
      <c r="W47" s="133">
        <v>42542</v>
      </c>
      <c r="X47" s="10">
        <v>139.19999999999999</v>
      </c>
      <c r="Y47" s="10">
        <v>139.22999999999999</v>
      </c>
      <c r="Z47" s="10">
        <v>138.07</v>
      </c>
      <c r="AA47" s="10">
        <v>138.19</v>
      </c>
      <c r="AB47" s="95">
        <v>2021400</v>
      </c>
      <c r="AC47" s="10">
        <v>138.19</v>
      </c>
      <c r="AD47" s="2">
        <f t="shared" si="0"/>
        <v>1.1599999999999966</v>
      </c>
      <c r="AE47" s="138">
        <f t="shared" si="1"/>
        <v>-2.3823274617384982E-3</v>
      </c>
    </row>
    <row r="48" spans="1:31" x14ac:dyDescent="0.25">
      <c r="O48" s="83">
        <v>1.04</v>
      </c>
      <c r="P48" s="83">
        <f t="shared" si="5"/>
        <v>145.4648</v>
      </c>
      <c r="Q48" s="83"/>
      <c r="T48" s="93" t="s">
        <v>103</v>
      </c>
      <c r="U48" s="88">
        <v>0.5484</v>
      </c>
      <c r="W48" s="133">
        <v>42541</v>
      </c>
      <c r="X48" s="10">
        <v>139.22</v>
      </c>
      <c r="Y48" s="10">
        <v>139.84</v>
      </c>
      <c r="Z48" s="10">
        <v>138.13999999999999</v>
      </c>
      <c r="AA48" s="10">
        <v>138.52000000000001</v>
      </c>
      <c r="AB48" s="95">
        <v>3731700</v>
      </c>
      <c r="AC48" s="10">
        <v>138.52000000000001</v>
      </c>
      <c r="AD48" s="2">
        <f t="shared" si="0"/>
        <v>1.7000000000000171</v>
      </c>
      <c r="AE48" s="138">
        <f t="shared" si="1"/>
        <v>6.0280339893965529E-3</v>
      </c>
    </row>
    <row r="49" spans="15:31" x14ac:dyDescent="0.25">
      <c r="O49" s="83">
        <v>1.03</v>
      </c>
      <c r="P49" s="83">
        <f t="shared" si="5"/>
        <v>144.06610000000001</v>
      </c>
      <c r="Q49" s="83"/>
      <c r="T49" s="93" t="s">
        <v>104</v>
      </c>
      <c r="U49" s="88" t="s">
        <v>130</v>
      </c>
      <c r="W49" s="133">
        <v>42538</v>
      </c>
      <c r="X49" s="10">
        <v>138.76</v>
      </c>
      <c r="Y49" s="10">
        <v>138.85</v>
      </c>
      <c r="Z49" s="10">
        <v>136.55000000000001</v>
      </c>
      <c r="AA49" s="10">
        <v>137.69</v>
      </c>
      <c r="AB49" s="95">
        <v>4430900</v>
      </c>
      <c r="AC49" s="10">
        <v>137.69</v>
      </c>
      <c r="AD49" s="2">
        <f t="shared" si="0"/>
        <v>2.2999999999999829</v>
      </c>
      <c r="AE49" s="138">
        <f t="shared" si="1"/>
        <v>-6.9955286311841336E-3</v>
      </c>
    </row>
    <row r="50" spans="15:31" x14ac:dyDescent="0.25">
      <c r="O50" s="83">
        <v>1.02</v>
      </c>
      <c r="P50" s="83">
        <f t="shared" si="5"/>
        <v>142.66740000000001</v>
      </c>
      <c r="Q50" s="83"/>
      <c r="T50" s="93"/>
      <c r="U50" s="88"/>
      <c r="W50" s="133">
        <v>42537</v>
      </c>
      <c r="X50" s="10">
        <v>137.21</v>
      </c>
      <c r="Y50" s="10">
        <v>138.88999999999999</v>
      </c>
      <c r="Z50" s="10">
        <v>136.38</v>
      </c>
      <c r="AA50" s="10">
        <v>138.66</v>
      </c>
      <c r="AB50" s="95">
        <v>3176100</v>
      </c>
      <c r="AC50" s="10">
        <v>138.66</v>
      </c>
      <c r="AD50" s="2">
        <f t="shared" si="0"/>
        <v>2.5099999999999909</v>
      </c>
      <c r="AE50" s="138">
        <f t="shared" si="1"/>
        <v>1.0199621156928407E-2</v>
      </c>
    </row>
    <row r="51" spans="15:31" x14ac:dyDescent="0.25">
      <c r="O51" s="83">
        <v>1.01</v>
      </c>
      <c r="P51" s="83">
        <f t="shared" si="5"/>
        <v>141.2687</v>
      </c>
      <c r="Q51" s="83"/>
      <c r="T51" s="93" t="s">
        <v>105</v>
      </c>
      <c r="U51" s="88" t="s">
        <v>519</v>
      </c>
      <c r="W51" s="133">
        <v>42536</v>
      </c>
      <c r="X51" s="10">
        <v>137.74</v>
      </c>
      <c r="Y51" s="10">
        <v>138.16999999999999</v>
      </c>
      <c r="Z51" s="10">
        <v>137.05000000000001</v>
      </c>
      <c r="AA51" s="10">
        <v>137.26</v>
      </c>
      <c r="AB51" s="95">
        <v>2369400</v>
      </c>
      <c r="AC51" s="10">
        <v>137.26</v>
      </c>
      <c r="AD51" s="2">
        <f t="shared" si="0"/>
        <v>1.1199999999999761</v>
      </c>
      <c r="AE51" s="138" t="e">
        <f t="shared" si="1"/>
        <v>#DIV/0!</v>
      </c>
    </row>
    <row r="52" spans="15:31" x14ac:dyDescent="0.25">
      <c r="O52" s="83">
        <v>1</v>
      </c>
      <c r="P52" s="83">
        <f t="shared" si="5"/>
        <v>139.87</v>
      </c>
      <c r="Q52" s="83"/>
      <c r="T52" s="93" t="s">
        <v>106</v>
      </c>
      <c r="U52" s="88" t="s">
        <v>402</v>
      </c>
      <c r="W52" s="133">
        <v>42536</v>
      </c>
      <c r="X52" s="10" t="s">
        <v>254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0.99</v>
      </c>
      <c r="P53" s="83">
        <f t="shared" si="5"/>
        <v>138.47130000000001</v>
      </c>
      <c r="Q53" s="83"/>
      <c r="T53" s="93" t="s">
        <v>107</v>
      </c>
      <c r="U53" s="90">
        <v>2529814</v>
      </c>
      <c r="W53" s="133">
        <v>42535</v>
      </c>
      <c r="X53" s="10">
        <v>137.88</v>
      </c>
      <c r="Y53" s="10">
        <v>138.26</v>
      </c>
      <c r="Z53" s="10">
        <v>137.34</v>
      </c>
      <c r="AA53" s="10">
        <v>137.87</v>
      </c>
      <c r="AB53" s="95">
        <v>2970700</v>
      </c>
      <c r="AC53" s="10">
        <v>137.24</v>
      </c>
      <c r="AD53" s="2">
        <f t="shared" si="0"/>
        <v>0.91999999999998749</v>
      </c>
      <c r="AE53" s="138">
        <f t="shared" si="1"/>
        <v>-1.6004655899898301E-3</v>
      </c>
    </row>
    <row r="54" spans="15:31" x14ac:dyDescent="0.25">
      <c r="O54" s="83">
        <v>0.98</v>
      </c>
      <c r="P54" s="83">
        <f t="shared" si="5"/>
        <v>137.07259999999999</v>
      </c>
      <c r="Q54" s="83"/>
      <c r="T54" s="93" t="s">
        <v>110</v>
      </c>
      <c r="U54" s="90">
        <v>3016830</v>
      </c>
      <c r="W54" s="133">
        <v>42534</v>
      </c>
      <c r="X54" s="10">
        <v>139</v>
      </c>
      <c r="Y54" s="10">
        <v>140.13</v>
      </c>
      <c r="Z54" s="10">
        <v>138.08000000000001</v>
      </c>
      <c r="AA54" s="10">
        <v>138.09</v>
      </c>
      <c r="AB54" s="95">
        <v>2813600</v>
      </c>
      <c r="AC54" s="10">
        <v>137.46</v>
      </c>
      <c r="AD54" s="2">
        <f t="shared" si="0"/>
        <v>2.0499999999999829</v>
      </c>
      <c r="AE54" s="138">
        <f t="shared" si="1"/>
        <v>-8.296659692662911E-3</v>
      </c>
    </row>
    <row r="55" spans="15:31" x14ac:dyDescent="0.25">
      <c r="O55" s="83">
        <v>0.97</v>
      </c>
      <c r="P55" s="83">
        <f t="shared" si="5"/>
        <v>135.6739</v>
      </c>
      <c r="Q55" s="83"/>
      <c r="T55" s="93" t="s">
        <v>108</v>
      </c>
      <c r="U55" s="88" t="s">
        <v>520</v>
      </c>
      <c r="W55" s="133">
        <v>42531</v>
      </c>
      <c r="X55" s="10">
        <v>140.25</v>
      </c>
      <c r="Y55" s="10">
        <v>140.38999999999999</v>
      </c>
      <c r="Z55" s="10">
        <v>138.63999999999999</v>
      </c>
      <c r="AA55" s="10">
        <v>139.24</v>
      </c>
      <c r="AB55" s="95">
        <v>2805800</v>
      </c>
      <c r="AC55" s="10">
        <v>138.61000000000001</v>
      </c>
      <c r="AD55" s="2">
        <f t="shared" si="0"/>
        <v>1.75</v>
      </c>
      <c r="AE55" s="138">
        <f t="shared" si="1"/>
        <v>-1.0211368180519709E-2</v>
      </c>
    </row>
    <row r="56" spans="15:31" x14ac:dyDescent="0.25">
      <c r="O56" s="83">
        <v>0.96</v>
      </c>
      <c r="P56" s="83">
        <f t="shared" si="5"/>
        <v>134.27520000000001</v>
      </c>
      <c r="Q56" s="83"/>
      <c r="T56" s="93" t="s">
        <v>111</v>
      </c>
      <c r="U56" s="88">
        <v>21.89</v>
      </c>
      <c r="W56" s="133">
        <v>42530</v>
      </c>
      <c r="X56" s="10">
        <v>140.49</v>
      </c>
      <c r="Y56" s="10">
        <v>140.87</v>
      </c>
      <c r="Z56" s="10">
        <v>139.54</v>
      </c>
      <c r="AA56" s="10">
        <v>140.68</v>
      </c>
      <c r="AB56" s="95">
        <v>3682400</v>
      </c>
      <c r="AC56" s="10">
        <v>140.04</v>
      </c>
      <c r="AD56" s="2">
        <f t="shared" si="0"/>
        <v>1.3300000000000125</v>
      </c>
      <c r="AE56" s="138">
        <f t="shared" si="1"/>
        <v>2.0034344590726949E-3</v>
      </c>
    </row>
    <row r="57" spans="15:31" x14ac:dyDescent="0.25">
      <c r="O57" s="83">
        <v>0.95</v>
      </c>
      <c r="P57" s="83">
        <f t="shared" si="5"/>
        <v>132.87649999999999</v>
      </c>
      <c r="Q57" s="83"/>
      <c r="T57" s="93" t="s">
        <v>112</v>
      </c>
      <c r="U57" s="88">
        <v>6.39</v>
      </c>
      <c r="W57" s="133">
        <v>42529</v>
      </c>
      <c r="X57" s="10">
        <v>137.27000000000001</v>
      </c>
      <c r="Y57" s="10">
        <v>140.88999999999999</v>
      </c>
      <c r="Z57" s="10">
        <v>137</v>
      </c>
      <c r="AA57" s="10">
        <v>140.4</v>
      </c>
      <c r="AB57" s="95">
        <v>6180800</v>
      </c>
      <c r="AC57" s="10">
        <v>139.76</v>
      </c>
      <c r="AD57" s="2">
        <f t="shared" si="0"/>
        <v>3.8899999999999864</v>
      </c>
      <c r="AE57" s="138">
        <f t="shared" si="1"/>
        <v>2.5234741784037507E-2</v>
      </c>
    </row>
    <row r="58" spans="15:31" x14ac:dyDescent="0.25">
      <c r="O58" s="83">
        <v>0.94</v>
      </c>
      <c r="P58" s="83">
        <f t="shared" si="5"/>
        <v>131.4778</v>
      </c>
      <c r="Q58" s="83"/>
      <c r="T58" s="93" t="s">
        <v>109</v>
      </c>
      <c r="U58" s="88" t="s">
        <v>380</v>
      </c>
      <c r="W58" s="133">
        <v>42528</v>
      </c>
      <c r="X58" s="10">
        <v>138.16</v>
      </c>
      <c r="Y58" s="10">
        <v>138.5</v>
      </c>
      <c r="Z58" s="10">
        <v>136.88</v>
      </c>
      <c r="AA58" s="10">
        <v>136.94</v>
      </c>
      <c r="AB58" s="95">
        <v>2943200</v>
      </c>
      <c r="AC58" s="10">
        <v>136.32</v>
      </c>
      <c r="AD58" s="2">
        <f t="shared" si="0"/>
        <v>1.6200000000000045</v>
      </c>
      <c r="AE58" s="138">
        <f t="shared" si="1"/>
        <v>-8.7260034904015349E-3</v>
      </c>
    </row>
    <row r="59" spans="15:31" x14ac:dyDescent="0.25">
      <c r="O59" s="83">
        <v>0.93</v>
      </c>
      <c r="P59" s="83">
        <f t="shared" si="5"/>
        <v>130.07910000000001</v>
      </c>
      <c r="Q59" s="83"/>
      <c r="W59" s="133">
        <v>42527</v>
      </c>
      <c r="X59" s="10">
        <v>136.91999999999999</v>
      </c>
      <c r="Y59" s="10">
        <v>138.38999999999999</v>
      </c>
      <c r="Z59" s="10">
        <v>136.51</v>
      </c>
      <c r="AA59" s="10">
        <v>138.15</v>
      </c>
      <c r="AB59" s="95">
        <v>2959900</v>
      </c>
      <c r="AC59" s="10">
        <v>137.52000000000001</v>
      </c>
      <c r="AD59" s="2">
        <f t="shared" si="0"/>
        <v>1.8799999999999955</v>
      </c>
      <c r="AE59" s="138">
        <f t="shared" si="1"/>
        <v>9.5433856996036681E-3</v>
      </c>
    </row>
    <row r="60" spans="15:31" x14ac:dyDescent="0.25">
      <c r="O60" s="83">
        <v>0.92</v>
      </c>
      <c r="P60" s="83">
        <f t="shared" si="5"/>
        <v>128.68040000000002</v>
      </c>
      <c r="Q60" s="83"/>
      <c r="W60" s="133">
        <v>42524</v>
      </c>
      <c r="X60" s="10">
        <v>135.61000000000001</v>
      </c>
      <c r="Y60" s="10">
        <v>137.12</v>
      </c>
      <c r="Z60" s="10">
        <v>135.15</v>
      </c>
      <c r="AA60" s="10">
        <v>136.84</v>
      </c>
      <c r="AB60" s="95">
        <v>3625600</v>
      </c>
      <c r="AC60" s="10">
        <v>136.22</v>
      </c>
      <c r="AD60" s="2">
        <f t="shared" si="0"/>
        <v>1.9699999999999989</v>
      </c>
      <c r="AE60" s="138">
        <f t="shared" si="1"/>
        <v>5.9075468911535811E-3</v>
      </c>
    </row>
    <row r="61" spans="15:31" x14ac:dyDescent="0.25">
      <c r="O61" s="83">
        <v>0.91</v>
      </c>
      <c r="P61" s="83">
        <f t="shared" si="5"/>
        <v>127.28170000000001</v>
      </c>
      <c r="Q61" s="83"/>
      <c r="W61" s="133">
        <v>42523</v>
      </c>
      <c r="X61" s="10">
        <v>134.26</v>
      </c>
      <c r="Y61" s="10">
        <v>136.15</v>
      </c>
      <c r="Z61" s="10">
        <v>134.01</v>
      </c>
      <c r="AA61" s="10">
        <v>136.04</v>
      </c>
      <c r="AB61" s="95">
        <v>4015000</v>
      </c>
      <c r="AC61" s="10">
        <v>135.41999999999999</v>
      </c>
      <c r="AD61" s="2">
        <f t="shared" si="0"/>
        <v>2.1400000000000148</v>
      </c>
      <c r="AE61" s="138">
        <f t="shared" si="1"/>
        <v>1.1200716845878089E-2</v>
      </c>
    </row>
    <row r="62" spans="15:31" x14ac:dyDescent="0.25">
      <c r="O62" s="83">
        <v>0.9</v>
      </c>
      <c r="P62" s="83">
        <f t="shared" si="5"/>
        <v>125.88300000000001</v>
      </c>
      <c r="Q62" s="83"/>
      <c r="W62" s="133">
        <v>42522</v>
      </c>
      <c r="X62" s="10">
        <v>133.58000000000001</v>
      </c>
      <c r="Y62" s="10">
        <v>134.85</v>
      </c>
      <c r="Z62" s="10">
        <v>133.02000000000001</v>
      </c>
      <c r="AA62" s="10">
        <v>134.53</v>
      </c>
      <c r="AB62" s="95">
        <v>2618000</v>
      </c>
      <c r="AC62" s="10">
        <v>133.91999999999999</v>
      </c>
      <c r="AD62" s="2">
        <f t="shared" si="0"/>
        <v>1.8299999999999841</v>
      </c>
      <c r="AE62" s="138">
        <f t="shared" si="1"/>
        <v>6.4632496618066693E-3</v>
      </c>
    </row>
    <row r="63" spans="15:31" x14ac:dyDescent="0.25">
      <c r="O63" s="34"/>
      <c r="W63" s="133">
        <v>42521</v>
      </c>
      <c r="X63" s="10">
        <v>134.6</v>
      </c>
      <c r="Y63" s="10">
        <v>134.75</v>
      </c>
      <c r="Z63" s="10">
        <v>133.47999999999999</v>
      </c>
      <c r="AA63" s="10">
        <v>133.66999999999999</v>
      </c>
      <c r="AB63" s="95">
        <v>3634100</v>
      </c>
      <c r="AC63" s="10">
        <v>133.06</v>
      </c>
      <c r="AD63" s="2">
        <f t="shared" si="0"/>
        <v>1.2700000000000102</v>
      </c>
      <c r="AE63" s="138">
        <f t="shared" si="1"/>
        <v>-2.4739485718567877E-3</v>
      </c>
    </row>
    <row r="64" spans="15:31" x14ac:dyDescent="0.25">
      <c r="O64" s="34"/>
      <c r="W64" s="133">
        <v>42517</v>
      </c>
      <c r="X64" s="10">
        <v>132.97999999999999</v>
      </c>
      <c r="Y64" s="10">
        <v>134.53</v>
      </c>
      <c r="Z64" s="10">
        <v>132.96</v>
      </c>
      <c r="AA64" s="10">
        <v>134</v>
      </c>
      <c r="AB64" s="95">
        <v>1833400</v>
      </c>
      <c r="AC64" s="10">
        <v>133.38999999999999</v>
      </c>
      <c r="AD64" s="2">
        <f t="shared" si="0"/>
        <v>1.5699999999999932</v>
      </c>
      <c r="AE64" s="138">
        <f t="shared" si="1"/>
        <v>7.6295512917359254E-3</v>
      </c>
    </row>
    <row r="65" spans="23:31" x14ac:dyDescent="0.25">
      <c r="W65" s="133">
        <v>42516</v>
      </c>
      <c r="X65" s="10">
        <v>133.5</v>
      </c>
      <c r="Y65" s="10">
        <v>133.96</v>
      </c>
      <c r="Z65" s="10">
        <v>132.66</v>
      </c>
      <c r="AA65" s="10">
        <v>132.97999999999999</v>
      </c>
      <c r="AB65" s="95">
        <v>1499300</v>
      </c>
      <c r="AC65" s="10">
        <v>132.38</v>
      </c>
      <c r="AD65" s="2">
        <f t="shared" si="0"/>
        <v>1.3000000000000114</v>
      </c>
      <c r="AE65" s="138">
        <f t="shared" si="1"/>
        <v>-3.3127541032976771E-3</v>
      </c>
    </row>
    <row r="66" spans="23:31" x14ac:dyDescent="0.25">
      <c r="W66" s="133">
        <v>42515</v>
      </c>
      <c r="X66" s="10">
        <v>133.21</v>
      </c>
      <c r="Y66" s="10">
        <v>134.30000000000001</v>
      </c>
      <c r="Z66" s="10">
        <v>132.78</v>
      </c>
      <c r="AA66" s="10">
        <v>133.41999999999999</v>
      </c>
      <c r="AB66" s="95">
        <v>2211300</v>
      </c>
      <c r="AC66" s="10">
        <v>132.82</v>
      </c>
      <c r="AD66" s="2">
        <f t="shared" si="0"/>
        <v>1.5200000000000102</v>
      </c>
      <c r="AE66" s="138">
        <f t="shared" si="1"/>
        <v>6.2883551784225222E-3</v>
      </c>
    </row>
    <row r="67" spans="23:31" x14ac:dyDescent="0.25">
      <c r="W67" s="133">
        <v>42514</v>
      </c>
      <c r="X67" s="10">
        <v>130.76</v>
      </c>
      <c r="Y67" s="10">
        <v>132.99</v>
      </c>
      <c r="Z67" s="10">
        <v>130.31</v>
      </c>
      <c r="AA67" s="10">
        <v>132.59</v>
      </c>
      <c r="AB67" s="95">
        <v>2702400</v>
      </c>
      <c r="AC67" s="10">
        <v>131.99</v>
      </c>
      <c r="AD67" s="2">
        <f>Y67-Z67</f>
        <v>2.6800000000000068</v>
      </c>
      <c r="AE67" s="138" t="e">
        <f>AC67/#REF!-1</f>
        <v>#REF!</v>
      </c>
    </row>
    <row r="68" spans="23:31" x14ac:dyDescent="0.25">
      <c r="W68" s="133">
        <v>42513</v>
      </c>
      <c r="X68" s="10">
        <v>130.13</v>
      </c>
      <c r="Y68" s="10">
        <v>131.19999999999999</v>
      </c>
      <c r="Z68" s="10">
        <v>130.01</v>
      </c>
      <c r="AA68" s="10">
        <v>130.41999999999999</v>
      </c>
      <c r="AB68" s="95">
        <v>3036500</v>
      </c>
      <c r="AC68" s="10">
        <v>129.83000000000001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2016-08-25T02:12:49Z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