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9.xml" ContentType="application/vnd.openxmlformats-officedocument.spreadsheetml.queryTab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queryTables/queryTable20.xml" ContentType="application/vnd.openxmlformats-officedocument.spreadsheetml.queryTable+xml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drawings/drawing15.xml" ContentType="application/vnd.openxmlformats-officedocument.drawing+xml"/>
  <Override PartName="/xl/tables/table1.xml" ContentType="application/vnd.openxmlformats-officedocument.spreadsheetml.table+xml"/>
  <Override PartName="/xl/drawings/drawing16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tables/table2.xml" ContentType="application/vnd.openxmlformats-officedocument.spreadsheetml.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ables/table3.xml" ContentType="application/vnd.openxmlformats-officedocument.spreadsheetml.tab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drawings/drawing28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omments3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queryTables/queryTable53.xml" ContentType="application/vnd.openxmlformats-officedocument.spreadsheetml.queryTable+xml"/>
  <Override PartName="/xl/tables/table4.xml" ContentType="application/vnd.openxmlformats-officedocument.spreadsheetml.table+xml"/>
  <Override PartName="/xl/queryTables/queryTable54.xml" ContentType="application/vnd.openxmlformats-officedocument.spreadsheetml.queryTable+xml"/>
  <Override PartName="/xl/drawings/drawing29.xml" ContentType="application/vnd.openxmlformats-officedocument.drawing+xml"/>
  <Override PartName="/xl/queryTables/queryTable55.xml" ContentType="application/vnd.openxmlformats-officedocument.spreadsheetml.queryTable+xml"/>
  <Override PartName="/xl/drawings/drawing30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drawings/drawing36.xml" ContentType="application/vnd.openxmlformats-officedocument.drawing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drawings/drawing37.xml" ContentType="application/vnd.openxmlformats-officedocument.drawing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drawings/drawing39.xml" ContentType="application/vnd.openxmlformats-officedocument.drawing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drawings/drawing40.xml" ContentType="application/vnd.openxmlformats-officedocument.drawing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drawings/drawing41.xml" ContentType="application/vnd.openxmlformats-officedocument.drawing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state="hidden" r:id="rId18"/>
    <sheet name="CVS" sheetId="69" state="hidden" r:id="rId19"/>
    <sheet name="ADBE" sheetId="85" state="hidden" r:id="rId20"/>
    <sheet name="MRO" sheetId="25" r:id="rId21"/>
    <sheet name="GE" sheetId="86" state="hidden" r:id="rId22"/>
    <sheet name="KR" sheetId="51" state="hidden" r:id="rId23"/>
    <sheet name="F" sheetId="54" state="hidden" r:id="rId24"/>
    <sheet name="JNJ" sheetId="68" state="hidden" r:id="rId25"/>
    <sheet name="ULTA" sheetId="81" state="hidden" r:id="rId26"/>
    <sheet name="FRC" sheetId="89" state="hidden" r:id="rId27"/>
    <sheet name="AAP" sheetId="77" state="hidden" r:id="rId28"/>
    <sheet name="T" sheetId="93" state="hidden" r:id="rId29"/>
    <sheet name="COST" sheetId="78" state="hidden" r:id="rId30"/>
    <sheet name="CPN" sheetId="7" state="hidden" r:id="rId31"/>
    <sheet name="EW" sheetId="72" state="hidden" r:id="rId32"/>
    <sheet name="TJX" sheetId="79" state="hidden" r:id="rId33"/>
    <sheet name="WBA" sheetId="84" state="hidden" r:id="rId34"/>
    <sheet name="AZO" sheetId="83" state="hidden" r:id="rId35"/>
    <sheet name="KBWY" sheetId="94" state="hidden" r:id="rId36"/>
    <sheet name="AYI" sheetId="92" state="hidden" r:id="rId37"/>
    <sheet name="DIA" sheetId="91" state="hidden" r:id="rId38"/>
    <sheet name="ICE" sheetId="95" state="hidden" r:id="rId39"/>
    <sheet name="NKE" sheetId="50" r:id="rId40"/>
    <sheet name="MOS" sheetId="58" r:id="rId41"/>
    <sheet name="VGK" sheetId="59" state="hidden" r:id="rId42"/>
    <sheet name="CMG" sheetId="87" state="hidden" r:id="rId43"/>
    <sheet name="HAS" sheetId="90" state="hidden" r:id="rId44"/>
    <sheet name="HSIC" sheetId="82" r:id="rId45"/>
    <sheet name="PDCO" sheetId="88" state="hidden" r:id="rId46"/>
    <sheet name="MU" sheetId="17" r:id="rId47"/>
    <sheet name="IP" sheetId="44" r:id="rId48"/>
    <sheet name="INTC" sheetId="13" state="hidden" r:id="rId49"/>
    <sheet name="HES" sheetId="10" state="hidden" r:id="rId50"/>
    <sheet name="UNP" sheetId="20" state="hidden" r:id="rId51"/>
    <sheet name="NCLH" sheetId="67" state="hidden" r:id="rId52"/>
    <sheet name="SPY" sheetId="47" state="hidden" r:id="rId53"/>
    <sheet name="SWKS" sheetId="41" state="hidden" r:id="rId54"/>
    <sheet name="CNI" sheetId="42" state="hidden" r:id="rId55"/>
    <sheet name="WFC" sheetId="45" state="hidden" r:id="rId56"/>
    <sheet name="AA" sheetId="3" r:id="rId57"/>
    <sheet name="CF" sheetId="61" r:id="rId58"/>
    <sheet name="TGT" sheetId="75" r:id="rId59"/>
    <sheet name="NWL" sheetId="46" r:id="rId60"/>
    <sheet name="KORS" sheetId="16" state="hidden" r:id="rId61"/>
    <sheet name="ALL" sheetId="22" state="hidden" r:id="rId62"/>
    <sheet name="NSC" sheetId="24" state="hidden" r:id="rId63"/>
    <sheet name="AVGO" sheetId="15" state="hidden" r:id="rId64"/>
    <sheet name="UAL" sheetId="52" r:id="rId65"/>
    <sheet name="CAH" sheetId="53" r:id="rId66"/>
    <sheet name="DAL" sheetId="49" state="hidden" r:id="rId67"/>
    <sheet name="TEVA" sheetId="74" state="hidden" r:id="rId68"/>
    <sheet name="DIS" sheetId="34" state="hidden" r:id="rId69"/>
    <sheet name="FTR" sheetId="40" state="hidden" r:id="rId70"/>
    <sheet name="GILD" sheetId="31" state="hidden" r:id="rId71"/>
    <sheet name="WWD" sheetId="28" state="hidden" r:id="rId72"/>
    <sheet name="GIS" sheetId="43" state="hidden" r:id="rId73"/>
    <sheet name="GM" sheetId="29" state="hidden" r:id="rId74"/>
    <sheet name="TMO" sheetId="48" state="hidden" r:id="rId75"/>
    <sheet name="TKR" sheetId="32" state="hidden" r:id="rId76"/>
    <sheet name="UTX" sheetId="30" state="hidden" r:id="rId77"/>
    <sheet name="UNH" sheetId="26" state="hidden" r:id="rId78"/>
  </sheets>
  <functionGroups builtInGroupCount="18"/>
  <definedNames>
    <definedName name="_xlnm._FilterDatabase" localSheetId="0" hidden="1">ACTIVE!$E$1:$M$26</definedName>
    <definedName name="hp?s_AA_Historical_Prices_1" localSheetId="56">AA!$W$1:$AC$68</definedName>
    <definedName name="hp?s_AAPL" localSheetId="6">AAPL!$W$1:$AC$69</definedName>
    <definedName name="hp?s_AKAM_Historical_Prices" localSheetId="14">BMY!$W$1:$AC$70</definedName>
    <definedName name="hp?s_ALL_Historical_Prices" localSheetId="61">ALL!$X$1:$AD$69</definedName>
    <definedName name="hp?s_AVGO" localSheetId="63">AVGO!$W$1:$AC$69</definedName>
    <definedName name="hp?s_AXP_Historical_Prices" localSheetId="7">AXP!$W$1:$AC$70</definedName>
    <definedName name="hp?s_BIIB" localSheetId="3">BIIB!$W$1:$AC$68</definedName>
    <definedName name="hp?s_CAH" localSheetId="65">CAH!$W$1:$AC$69</definedName>
    <definedName name="hp?s_cce" localSheetId="13">CCE!$W$1:$AC$68</definedName>
    <definedName name="hp?s_CNI" localSheetId="54">CNI!$W$1:$AC$69</definedName>
    <definedName name="hp?s_CPN_Historical_Prices" localSheetId="30">CPN!$W$1:$AC$68</definedName>
    <definedName name="hp?s_cvs" localSheetId="18">CVS!$W$1:$AC$69</definedName>
    <definedName name="hp?s_DAL" localSheetId="66">DAL!$W$1:$AC$69</definedName>
    <definedName name="hp?s_DIS" localSheetId="13">CCE!#REF!</definedName>
    <definedName name="hp?s_DIS" localSheetId="68">DIS!$W$1:$AC$68</definedName>
    <definedName name="hp?s_DIS" localSheetId="69">FTR!#REF!</definedName>
    <definedName name="hp?s_ew_Historical_Prices" localSheetId="31">EW!$W$1:$AC$68</definedName>
    <definedName name="hp?s_foxa" localSheetId="10">FOXA!$W$1:$AC$69</definedName>
    <definedName name="hp?s_GILD" localSheetId="70">GILD!#REF!</definedName>
    <definedName name="hp?s_GIS" localSheetId="72">GIS!$X$1:$AD$69</definedName>
    <definedName name="hp?s_GM" localSheetId="73">GM!$W$1:$AC$69</definedName>
    <definedName name="hp?s_HES" localSheetId="49">HES!$W$1:$AC$69</definedName>
    <definedName name="hp?s_INTC_Historical_Prices" localSheetId="48">INTC!$W$1:$AC$69</definedName>
    <definedName name="hp?s_IP" localSheetId="47">IP!$W$1:$AC$69</definedName>
    <definedName name="hp?s_jnj" localSheetId="24">JNJ!$W$1:$AC$69</definedName>
    <definedName name="hp?s_KORS" localSheetId="60">KORS!$W$1:$AC$68</definedName>
    <definedName name="hp?s_LUV" localSheetId="12">LUV!$W$1:$AC$69</definedName>
    <definedName name="hp?s_MYL" localSheetId="4">MYL!$W$1:$AC$68</definedName>
    <definedName name="hp?s_nclh" localSheetId="51">NCLH!$W$1:$AC$68</definedName>
    <definedName name="hp?s_nke" localSheetId="39">NKE!$W$1:$AC$69</definedName>
    <definedName name="hp?s_NSC" localSheetId="62">NSC!$W$1:$AC$69</definedName>
    <definedName name="hp?s_NWL" localSheetId="59">NWL!#REF!</definedName>
    <definedName name="hp?s_pinc" localSheetId="9">PINC!$W$1:$AC$68</definedName>
    <definedName name="hp?s_SWKS" localSheetId="53">SWKS!$W$1:$AC$69</definedName>
    <definedName name="hp?s_TKR" localSheetId="75">TKR!$W$1:$AC$69</definedName>
    <definedName name="hp?s_tmo" localSheetId="74">TMO!$W$1:$AC$69</definedName>
    <definedName name="hp?s_ual" localSheetId="64">UAL!$W$1:$AC$68</definedName>
    <definedName name="hp?s_UNH" localSheetId="77">UNH!$W$1:$AC$69</definedName>
    <definedName name="hp?s_UNP" localSheetId="50">UNP!$W$1:$AC$69</definedName>
    <definedName name="hp?s_UTX" localSheetId="76">UTX!$W$1:$AC$69</definedName>
    <definedName name="hp?s_vgk" localSheetId="41">VGK!$W$1:$AC$69</definedName>
    <definedName name="hp?s_WFC" localSheetId="55">WFC!$W$1:$AC$69</definedName>
    <definedName name="hp?s_WWD" localSheetId="71">WWD!$W$1:$AC$69</definedName>
    <definedName name="PL" localSheetId="56">AA!$Q$7</definedName>
    <definedName name="PL" localSheetId="27">#REF!</definedName>
    <definedName name="PL" localSheetId="19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36">#REF!</definedName>
    <definedName name="PL" localSheetId="34">#REF!</definedName>
    <definedName name="PL" localSheetId="14">#REF!</definedName>
    <definedName name="PL" localSheetId="65">#REF!</definedName>
    <definedName name="PL" localSheetId="57">#REF!</definedName>
    <definedName name="PL" localSheetId="42">#REF!</definedName>
    <definedName name="PL" localSheetId="29">#REF!</definedName>
    <definedName name="PL" localSheetId="18">#REF!</definedName>
    <definedName name="PL" localSheetId="8">#REF!</definedName>
    <definedName name="PL" localSheetId="37">#REF!</definedName>
    <definedName name="PL" localSheetId="31">#REF!</definedName>
    <definedName name="PL" localSheetId="23">#REF!</definedName>
    <definedName name="PL" localSheetId="10">#REF!</definedName>
    <definedName name="PL" localSheetId="26">#REF!</definedName>
    <definedName name="PL" localSheetId="21">#REF!</definedName>
    <definedName name="PL" localSheetId="15">#REF!</definedName>
    <definedName name="PL" localSheetId="43">#REF!</definedName>
    <definedName name="PL" localSheetId="44">#REF!</definedName>
    <definedName name="PL" localSheetId="38">#REF!</definedName>
    <definedName name="PL" localSheetId="24">#REF!</definedName>
    <definedName name="PL" localSheetId="35">#REF!</definedName>
    <definedName name="PL" localSheetId="22">#REF!</definedName>
    <definedName name="PL" localSheetId="12">#REF!</definedName>
    <definedName name="PL" localSheetId="40">#REF!</definedName>
    <definedName name="PL" localSheetId="4">#REF!</definedName>
    <definedName name="PL" localSheetId="51">NCLH!$Q$7</definedName>
    <definedName name="PL" localSheetId="39">#REF!</definedName>
    <definedName name="PL" localSheetId="45">#REF!</definedName>
    <definedName name="PL" localSheetId="9">PINC!$Q$7</definedName>
    <definedName name="PL" localSheetId="52">SPY!$Q$7</definedName>
    <definedName name="PL" localSheetId="53">SWKS!$Q$7</definedName>
    <definedName name="PL" localSheetId="28">#REF!</definedName>
    <definedName name="PL" localSheetId="58">#REF!</definedName>
    <definedName name="PL" localSheetId="32">#REF!</definedName>
    <definedName name="PL" localSheetId="64">#REF!</definedName>
    <definedName name="PL" localSheetId="25">#REF!</definedName>
    <definedName name="PL" localSheetId="41">#REF!</definedName>
    <definedName name="PL" localSheetId="33">#REF!</definedName>
    <definedName name="PL" localSheetId="55">WFC!$Q$7</definedName>
    <definedName name="q?s_aa_ql_1" localSheetId="56">AA!$T$40:$U$55</definedName>
    <definedName name="q?s_AAPL" localSheetId="6">AAPL!$T$40:$U$55</definedName>
    <definedName name="q?s_AKAM" localSheetId="16">AKAM!$T$43:$U$58</definedName>
    <definedName name="q?s_ALL" localSheetId="61">ALL!$T$40:$U$55</definedName>
    <definedName name="q?s_AVGO" localSheetId="63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65">CAH!$T$43:$U$58</definedName>
    <definedName name="q?s_cce" localSheetId="13">CCE!$T$43:$U$58</definedName>
    <definedName name="q?s_CF" localSheetId="57">CF!$T$56:$U$71</definedName>
    <definedName name="q?s_CNI" localSheetId="54">CNI!$T$43:$U$58</definedName>
    <definedName name="q?s_CPN" localSheetId="30">CPN!$T$43:$U$58</definedName>
    <definedName name="q?s_cvs" localSheetId="18">CVS!$T$43:$U$58</definedName>
    <definedName name="q?s_DAL" localSheetId="66">DAL!$T$43:$U$58</definedName>
    <definedName name="q?s_dg" localSheetId="8">DG!$T$43:$U$58</definedName>
    <definedName name="q?s_DIS" localSheetId="68">DIS!$T$43:$U$58</definedName>
    <definedName name="q?s_ew" localSheetId="31">EW!$T$43:$U$58</definedName>
    <definedName name="q?s_F" localSheetId="23">F!$T$43:$U$58</definedName>
    <definedName name="q?s_foxa" localSheetId="10">FOXA!$T$43:$U$58</definedName>
    <definedName name="q?s_FTR" localSheetId="69">FTR!$T$43:$U$58</definedName>
    <definedName name="q?s_GILD" localSheetId="70">GILD!$T$43:$U$58</definedName>
    <definedName name="q?s_GIS_1" localSheetId="72">GIS!$T$43:$U$58</definedName>
    <definedName name="q?s_GM" localSheetId="73">GM!$T$43:$U$58</definedName>
    <definedName name="q?s_HES" localSheetId="49">HES!$T$43:$U$58</definedName>
    <definedName name="q?s_INTC" localSheetId="48">INTC!$T$43:$U$58</definedName>
    <definedName name="q?s_IP" localSheetId="47">IP!$T$43:$U$58</definedName>
    <definedName name="q?s_JNJ" localSheetId="24">JNJ!$T$43:$U$58</definedName>
    <definedName name="q?s_KORS" localSheetId="60">KORS!$T$43:$U$58</definedName>
    <definedName name="q?s_KR" localSheetId="22">KR!$T$25:$U$40</definedName>
    <definedName name="q?s_luv_ql_1" localSheetId="12">LUV!$T$43:$U$58</definedName>
    <definedName name="q?s_MU" localSheetId="46">MU!#REF!</definedName>
    <definedName name="q?s_MYL" localSheetId="4">MYL!$T$43:$U$58</definedName>
    <definedName name="q?s_nclh" localSheetId="51">NCLH!$T$40:$U$55</definedName>
    <definedName name="q?s_NKE" localSheetId="39">NKE!$T$43:$U$58</definedName>
    <definedName name="q?s_nsc" localSheetId="62">NSC!$T$43:$U$58</definedName>
    <definedName name="q?s_NSC" localSheetId="50">UNP!$T$43:$U$58</definedName>
    <definedName name="q?s_NWL" localSheetId="59">NWL!$T$43:$U$58</definedName>
    <definedName name="q?s_pinc" localSheetId="9">PINC!$T$40:$U$55</definedName>
    <definedName name="q?s_SIG" localSheetId="5">SIG!#REF!</definedName>
    <definedName name="q?s_SWKS" localSheetId="53">SWKS!$T$40:$U$55</definedName>
    <definedName name="q?s_tgt" localSheetId="58">TGT!$T$43:$U$58</definedName>
    <definedName name="q?s_TKR" localSheetId="75">TKR!$T$43:$U$58</definedName>
    <definedName name="q?s_tmo" localSheetId="74">TMO!$T$43:$U$58</definedName>
    <definedName name="q?s_UAL" localSheetId="64">UAL!$T$43:$U$58</definedName>
    <definedName name="q?s_UNH" localSheetId="77">UNH!$T$43:$U$58</definedName>
    <definedName name="q?s_UTX" localSheetId="76">UTX!$T$43:$U$58</definedName>
    <definedName name="q?s_vgk" localSheetId="41">VGK!$T$43:$U$56</definedName>
    <definedName name="q?s_WFC" localSheetId="55">WFC!$T$43:$U$58</definedName>
    <definedName name="q?s_WWD" localSheetId="7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82" i="38" l="1"/>
  <c r="D582" i="38"/>
  <c r="E582" i="38"/>
  <c r="G582" i="38"/>
  <c r="H582" i="38"/>
  <c r="K582" i="38"/>
  <c r="L582" i="38"/>
  <c r="M582" i="38"/>
  <c r="N582" i="38" s="1"/>
  <c r="O582" i="38" s="1"/>
  <c r="X582" i="38" s="1"/>
  <c r="S582" i="38"/>
  <c r="V582" i="38"/>
  <c r="W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38" i="81"/>
  <c r="H38" i="81"/>
  <c r="F37" i="81"/>
  <c r="H37" i="81"/>
  <c r="F27" i="91"/>
  <c r="G27" i="91"/>
  <c r="H27" i="91"/>
  <c r="F28" i="91"/>
  <c r="G28" i="91"/>
  <c r="H28" i="91"/>
  <c r="K2" i="91"/>
  <c r="F68" i="58"/>
  <c r="H68" i="58"/>
  <c r="F67" i="58"/>
  <c r="H67" i="58"/>
  <c r="G68" i="58"/>
  <c r="K12" i="58"/>
  <c r="K22" i="58"/>
  <c r="H22" i="58"/>
  <c r="F44" i="57"/>
  <c r="H44" i="57"/>
  <c r="G44" i="57"/>
  <c r="K5" i="57"/>
  <c r="F163" i="25"/>
  <c r="G163" i="25"/>
  <c r="H163" i="25"/>
  <c r="F162" i="25"/>
  <c r="H162" i="25"/>
  <c r="F161" i="25"/>
  <c r="H161" i="25"/>
  <c r="F160" i="25"/>
  <c r="H160" i="25"/>
  <c r="K43" i="25"/>
  <c r="F24" i="47"/>
  <c r="G24" i="47"/>
  <c r="H24" i="47"/>
  <c r="F23" i="47"/>
  <c r="G23" i="47"/>
  <c r="H23" i="47"/>
  <c r="K2" i="47"/>
  <c r="G162" i="25"/>
  <c r="F61" i="25"/>
  <c r="G38" i="81"/>
  <c r="K4" i="81"/>
  <c r="G161" i="25"/>
  <c r="K42" i="25"/>
  <c r="F4" i="47"/>
  <c r="F4" i="91"/>
  <c r="G37" i="81"/>
  <c r="F10" i="81"/>
  <c r="C18" i="81"/>
  <c r="F8" i="57"/>
  <c r="G160" i="25"/>
  <c r="F2" i="49"/>
  <c r="G67" i="58"/>
  <c r="F18" i="58"/>
  <c r="F2" i="87"/>
  <c r="G29" i="89"/>
  <c r="F60" i="25"/>
  <c r="AE11" i="31"/>
  <c r="AG11" i="31"/>
  <c r="AG8" i="31"/>
  <c r="AG9" i="31"/>
  <c r="AF11" i="31"/>
  <c r="AF9" i="31"/>
  <c r="AG10" i="31" s="1"/>
  <c r="AF8" i="31"/>
  <c r="AF22" i="31"/>
  <c r="AF23" i="31"/>
  <c r="AF25" i="31" s="1"/>
  <c r="AG22" i="31"/>
  <c r="AG23" i="31"/>
  <c r="AG25" i="31" s="1"/>
  <c r="P582" i="38" l="1"/>
  <c r="Q582" i="38" s="1"/>
  <c r="U582" i="38"/>
  <c r="C41" i="51"/>
  <c r="F103" i="51"/>
  <c r="G103" i="51"/>
  <c r="H103" i="51"/>
  <c r="A581" i="38"/>
  <c r="D581" i="38"/>
  <c r="E581" i="38"/>
  <c r="G581" i="38"/>
  <c r="H581" i="38"/>
  <c r="K581" i="38"/>
  <c r="L581" i="38"/>
  <c r="M581" i="38"/>
  <c r="N581" i="38" s="1"/>
  <c r="S581" i="38"/>
  <c r="F23" i="74"/>
  <c r="G23" i="74"/>
  <c r="H23" i="74"/>
  <c r="F3" i="74"/>
  <c r="F159" i="25"/>
  <c r="H159" i="25"/>
  <c r="G159" i="25"/>
  <c r="F59" i="25"/>
  <c r="F44" i="84"/>
  <c r="H44" i="84"/>
  <c r="G44" i="84"/>
  <c r="F11" i="84"/>
  <c r="C18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Q2" i="95" s="1"/>
  <c r="F2" i="95"/>
  <c r="F18" i="95" s="1"/>
  <c r="M85" i="95"/>
  <c r="C85" i="95"/>
  <c r="F19" i="95"/>
  <c r="H19" i="95"/>
  <c r="M19" i="95"/>
  <c r="K19" i="95"/>
  <c r="H85" i="95"/>
  <c r="K85" i="95"/>
  <c r="F85" i="95"/>
  <c r="C19" i="95"/>
  <c r="P581" i="38" l="1"/>
  <c r="M66" i="95"/>
  <c r="Q10" i="95" s="1"/>
  <c r="O581" i="38"/>
  <c r="U581" i="38"/>
  <c r="Q5" i="95"/>
  <c r="Q3" i="95"/>
  <c r="Q6" i="95" s="1"/>
  <c r="Q8" i="95"/>
  <c r="A580" i="38"/>
  <c r="D580" i="38"/>
  <c r="E580" i="38"/>
  <c r="G580" i="38"/>
  <c r="H580" i="38"/>
  <c r="K580" i="38"/>
  <c r="L580" i="38"/>
  <c r="P580" i="38" s="1"/>
  <c r="M580" i="38"/>
  <c r="N580" i="38" s="1"/>
  <c r="S580" i="38"/>
  <c r="C18" i="82"/>
  <c r="O580" i="38" l="1"/>
  <c r="Q9" i="95"/>
  <c r="Q7" i="95"/>
  <c r="U580" i="38"/>
  <c r="H18" i="84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61" i="94"/>
  <c r="P60" i="94"/>
  <c r="P59" i="94"/>
  <c r="P58" i="94"/>
  <c r="P57" i="94"/>
  <c r="P56" i="94"/>
  <c r="P55" i="94"/>
  <c r="P54" i="94"/>
  <c r="P53" i="94"/>
  <c r="P52" i="94"/>
  <c r="P51" i="94"/>
  <c r="P50" i="94"/>
  <c r="P49" i="94"/>
  <c r="P48" i="94"/>
  <c r="P47" i="94"/>
  <c r="P46" i="94"/>
  <c r="P45" i="94"/>
  <c r="P44" i="94"/>
  <c r="P43" i="94"/>
  <c r="P42" i="94"/>
  <c r="P41" i="94"/>
  <c r="H25" i="94"/>
  <c r="G25" i="94"/>
  <c r="F25" i="94"/>
  <c r="M18" i="94"/>
  <c r="K18" i="94"/>
  <c r="H18" i="94"/>
  <c r="C18" i="94"/>
  <c r="Q2" i="94" s="1"/>
  <c r="F2" i="94"/>
  <c r="F18" i="94" s="1"/>
  <c r="F36" i="81"/>
  <c r="H36" i="81"/>
  <c r="G36" i="81"/>
  <c r="F9" i="81"/>
  <c r="F102" i="51"/>
  <c r="G102" i="51"/>
  <c r="H102" i="51"/>
  <c r="F29" i="51"/>
  <c r="F19" i="94"/>
  <c r="K85" i="94"/>
  <c r="K19" i="94"/>
  <c r="C19" i="94"/>
  <c r="M85" i="94"/>
  <c r="M19" i="94"/>
  <c r="H85" i="94"/>
  <c r="C85" i="94"/>
  <c r="F85" i="94"/>
  <c r="H19" i="94"/>
  <c r="M66" i="94" l="1"/>
  <c r="Q10" i="94" s="1"/>
  <c r="O579" i="38"/>
  <c r="P579" i="38"/>
  <c r="U579" i="38"/>
  <c r="Q5" i="94"/>
  <c r="Q3" i="94"/>
  <c r="Q6" i="94" s="1"/>
  <c r="Q8" i="94"/>
  <c r="F31" i="45"/>
  <c r="G31" i="45"/>
  <c r="H31" i="45"/>
  <c r="F4" i="45"/>
  <c r="F22" i="47"/>
  <c r="G22" i="47"/>
  <c r="H22" i="47"/>
  <c r="F3" i="47"/>
  <c r="F26" i="91"/>
  <c r="G26" i="91"/>
  <c r="H26" i="91"/>
  <c r="F3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/>
  <c r="M578" i="38"/>
  <c r="N578" i="38" s="1"/>
  <c r="S578" i="38"/>
  <c r="F43" i="84"/>
  <c r="H43" i="84"/>
  <c r="G43" i="84"/>
  <c r="F10" i="84"/>
  <c r="C22" i="58"/>
  <c r="M85" i="93"/>
  <c r="M19" i="93"/>
  <c r="K85" i="93"/>
  <c r="C19" i="93"/>
  <c r="F19" i="93"/>
  <c r="C85" i="93"/>
  <c r="H19" i="93"/>
  <c r="K19" i="93"/>
  <c r="F85" i="93"/>
  <c r="H85" i="93"/>
  <c r="Q9" i="94" l="1"/>
  <c r="O578" i="38"/>
  <c r="P578" i="38"/>
  <c r="M66" i="93"/>
  <c r="Q10" i="93" s="1"/>
  <c r="Q2" i="93"/>
  <c r="Q3" i="93" s="1"/>
  <c r="Q6" i="93" s="1"/>
  <c r="Q7" i="94"/>
  <c r="Q8" i="93"/>
  <c r="Q7" i="93" s="1"/>
  <c r="Q5" i="93"/>
  <c r="U578" i="38"/>
  <c r="A577" i="38"/>
  <c r="D577" i="38"/>
  <c r="E577" i="38"/>
  <c r="G577" i="38"/>
  <c r="H577" i="38"/>
  <c r="K577" i="38"/>
  <c r="L577" i="38" s="1"/>
  <c r="P577" i="38" s="1"/>
  <c r="M577" i="38"/>
  <c r="N577" i="38" s="1"/>
  <c r="S577" i="38"/>
  <c r="C18" i="77"/>
  <c r="F101" i="51"/>
  <c r="G101" i="51"/>
  <c r="H101" i="51"/>
  <c r="F28" i="51"/>
  <c r="F56" i="43"/>
  <c r="H56" i="43"/>
  <c r="G56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Q2" i="92" s="1"/>
  <c r="Q5" i="92" s="1"/>
  <c r="F2" i="92"/>
  <c r="F18" i="92" s="1"/>
  <c r="F66" i="58"/>
  <c r="G66" i="58"/>
  <c r="H6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H18" i="91"/>
  <c r="C18" i="91"/>
  <c r="K18" i="91"/>
  <c r="F2" i="91"/>
  <c r="F18" i="91" s="1"/>
  <c r="H65" i="47"/>
  <c r="G65" i="47"/>
  <c r="F65" i="47"/>
  <c r="H64" i="47"/>
  <c r="G64" i="47"/>
  <c r="F64" i="47"/>
  <c r="H63" i="47"/>
  <c r="G63" i="47"/>
  <c r="F63" i="47"/>
  <c r="H62" i="47"/>
  <c r="G62" i="47"/>
  <c r="F62" i="47"/>
  <c r="H61" i="47"/>
  <c r="G61" i="47"/>
  <c r="F61" i="47"/>
  <c r="H60" i="47"/>
  <c r="G60" i="47"/>
  <c r="F60" i="47"/>
  <c r="H59" i="47"/>
  <c r="G59" i="47"/>
  <c r="F59" i="47"/>
  <c r="H58" i="47"/>
  <c r="G58" i="47"/>
  <c r="F58" i="47"/>
  <c r="F2" i="47"/>
  <c r="F158" i="25"/>
  <c r="H158" i="25"/>
  <c r="G158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35" i="81"/>
  <c r="H35" i="81"/>
  <c r="G35" i="81"/>
  <c r="F8" i="81"/>
  <c r="F30" i="88"/>
  <c r="H30" i="88"/>
  <c r="G30" i="88"/>
  <c r="F5" i="88"/>
  <c r="F44" i="70"/>
  <c r="H44" i="70"/>
  <c r="G44" i="70"/>
  <c r="F14" i="70"/>
  <c r="C18" i="70"/>
  <c r="H19" i="91"/>
  <c r="H19" i="92"/>
  <c r="K19" i="92"/>
  <c r="C85" i="91"/>
  <c r="C85" i="92"/>
  <c r="M19" i="91"/>
  <c r="F19" i="92"/>
  <c r="H85" i="91"/>
  <c r="H85" i="92"/>
  <c r="C19" i="92"/>
  <c r="K19" i="91"/>
  <c r="K85" i="92"/>
  <c r="M85" i="91"/>
  <c r="M85" i="92"/>
  <c r="K85" i="91"/>
  <c r="F85" i="91"/>
  <c r="F85" i="92"/>
  <c r="M19" i="92"/>
  <c r="F19" i="91"/>
  <c r="C19" i="91"/>
  <c r="Q2" i="91" l="1"/>
  <c r="M66" i="92"/>
  <c r="Q10" i="92" s="1"/>
  <c r="Q3" i="92"/>
  <c r="Q6" i="92" s="1"/>
  <c r="O577" i="38"/>
  <c r="O576" i="38"/>
  <c r="Q9" i="93"/>
  <c r="U577" i="38"/>
  <c r="Q8" i="92"/>
  <c r="M66" i="91"/>
  <c r="Q10" i="91"/>
  <c r="Q8" i="91"/>
  <c r="Q3" i="91"/>
  <c r="Q6" i="91" s="1"/>
  <c r="Q5" i="91"/>
  <c r="P576" i="38"/>
  <c r="U576" i="38"/>
  <c r="F39" i="82"/>
  <c r="H39" i="82"/>
  <c r="G39" i="82"/>
  <c r="F7" i="82"/>
  <c r="A575" i="38"/>
  <c r="D575" i="38"/>
  <c r="E575" i="38"/>
  <c r="G575" i="38"/>
  <c r="H575" i="38"/>
  <c r="K575" i="38"/>
  <c r="L575" i="38" s="1"/>
  <c r="M575" i="38"/>
  <c r="N575" i="38" s="1"/>
  <c r="S575" i="38"/>
  <c r="F65" i="58"/>
  <c r="H65" i="58"/>
  <c r="G65" i="58"/>
  <c r="F16" i="58"/>
  <c r="G43" i="70"/>
  <c r="F43" i="70"/>
  <c r="H43" i="70"/>
  <c r="F13" i="70"/>
  <c r="F100" i="51"/>
  <c r="G100" i="51"/>
  <c r="H100" i="51"/>
  <c r="F27" i="51"/>
  <c r="O575" i="38" l="1"/>
  <c r="Q9" i="92"/>
  <c r="Q7" i="92"/>
  <c r="Q9" i="91"/>
  <c r="Q7" i="91"/>
  <c r="P575" i="38"/>
  <c r="U575" i="38"/>
  <c r="A574" i="38"/>
  <c r="D574" i="38"/>
  <c r="E574" i="38"/>
  <c r="G574" i="38"/>
  <c r="H574" i="38"/>
  <c r="K574" i="38"/>
  <c r="L574" i="38"/>
  <c r="M574" i="38"/>
  <c r="N574" i="38" s="1"/>
  <c r="S574" i="38"/>
  <c r="F157" i="25"/>
  <c r="H157" i="25"/>
  <c r="G157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F4" i="88"/>
  <c r="P574" i="38" l="1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O573" i="38" s="1"/>
  <c r="P573" i="38"/>
  <c r="F156" i="25"/>
  <c r="G156" i="25"/>
  <c r="H156" i="25"/>
  <c r="F38" i="82" l="1"/>
  <c r="H38" i="82"/>
  <c r="G38" i="82"/>
  <c r="K5" i="82"/>
  <c r="A572" i="38"/>
  <c r="D572" i="38"/>
  <c r="E572" i="38"/>
  <c r="G572" i="38"/>
  <c r="H572" i="38"/>
  <c r="K572" i="38"/>
  <c r="L572" i="38"/>
  <c r="M572" i="38"/>
  <c r="N572" i="38" s="1"/>
  <c r="S572" i="38"/>
  <c r="F99" i="51"/>
  <c r="G99" i="51"/>
  <c r="H99" i="51"/>
  <c r="K18" i="51"/>
  <c r="F64" i="58"/>
  <c r="H64" i="58"/>
  <c r="G64" i="58"/>
  <c r="K11" i="58"/>
  <c r="F42" i="70"/>
  <c r="H42" i="70"/>
  <c r="G42" i="70"/>
  <c r="K7" i="70"/>
  <c r="F41" i="46"/>
  <c r="H41" i="46"/>
  <c r="G4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8" i="31"/>
  <c r="H48" i="31"/>
  <c r="G48" i="31"/>
  <c r="F40" i="46"/>
  <c r="H40" i="46"/>
  <c r="G40" i="46"/>
  <c r="F11" i="46"/>
  <c r="K7" i="46"/>
  <c r="AE8" i="31"/>
  <c r="AE9" i="31"/>
  <c r="AF10" i="31" s="1"/>
  <c r="AE22" i="31"/>
  <c r="AE23" i="31"/>
  <c r="AF24" i="31" s="1"/>
  <c r="F98" i="51"/>
  <c r="H98" i="51"/>
  <c r="G98" i="51"/>
  <c r="K17" i="51"/>
  <c r="F39" i="46"/>
  <c r="H39" i="46"/>
  <c r="G39" i="46"/>
  <c r="F14" i="46"/>
  <c r="F155" i="25"/>
  <c r="G155" i="25"/>
  <c r="H155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O572" i="38" l="1"/>
  <c r="P572" i="38"/>
  <c r="AE25" i="31"/>
  <c r="AG24" i="31"/>
  <c r="U572" i="38"/>
  <c r="O571" i="38"/>
  <c r="P571" i="38"/>
  <c r="U571" i="38"/>
  <c r="F22" i="74"/>
  <c r="G22" i="74"/>
  <c r="H22" i="74"/>
  <c r="F34" i="81"/>
  <c r="G34" i="81"/>
  <c r="H34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/>
  <c r="M570" i="38"/>
  <c r="N570" i="38" s="1"/>
  <c r="S570" i="38"/>
  <c r="O570" i="38" l="1"/>
  <c r="P570" i="38"/>
  <c r="U570" i="38"/>
  <c r="F41" i="57"/>
  <c r="H41" i="57"/>
  <c r="G41" i="57"/>
  <c r="F54" i="25"/>
  <c r="F97" i="51"/>
  <c r="G97" i="51"/>
  <c r="H97" i="51"/>
  <c r="F154" i="25"/>
  <c r="H154" i="25"/>
  <c r="G154" i="25"/>
  <c r="K41" i="25"/>
  <c r="F33" i="81"/>
  <c r="H33" i="81"/>
  <c r="G33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O569" i="38" l="1"/>
  <c r="P569" i="38"/>
  <c r="U569" i="38"/>
  <c r="A568" i="38"/>
  <c r="D568" i="38"/>
  <c r="E568" i="38"/>
  <c r="G568" i="38"/>
  <c r="H568" i="38"/>
  <c r="K568" i="38"/>
  <c r="L568" i="38"/>
  <c r="M568" i="38"/>
  <c r="N568" i="38" s="1"/>
  <c r="S568" i="38"/>
  <c r="F96" i="51"/>
  <c r="G96" i="51"/>
  <c r="H96" i="51"/>
  <c r="F26" i="51"/>
  <c r="F32" i="81"/>
  <c r="H32" i="81"/>
  <c r="G32" i="81"/>
  <c r="F6" i="81"/>
  <c r="O568" i="38" l="1"/>
  <c r="P568" i="38"/>
  <c r="U568" i="38"/>
  <c r="F40" i="57"/>
  <c r="H40" i="57"/>
  <c r="G40" i="57"/>
  <c r="H18" i="77"/>
  <c r="F37" i="82"/>
  <c r="H37" i="82"/>
  <c r="G37" i="82"/>
  <c r="F63" i="58"/>
  <c r="H63" i="58"/>
  <c r="G6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95" i="51"/>
  <c r="G95" i="51"/>
  <c r="H95" i="51"/>
  <c r="K16" i="51"/>
  <c r="O567" i="38" l="1"/>
  <c r="U567" i="38"/>
  <c r="F36" i="82"/>
  <c r="H36" i="82"/>
  <c r="G36" i="82"/>
  <c r="F6" i="82"/>
  <c r="F62" i="58"/>
  <c r="H62" i="58"/>
  <c r="G6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P566" i="38" l="1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47" i="31"/>
  <c r="G47" i="31"/>
  <c r="H47" i="31"/>
  <c r="F94" i="51"/>
  <c r="G94" i="51"/>
  <c r="H94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53" i="25"/>
  <c r="H153" i="25"/>
  <c r="G153" i="25"/>
  <c r="K40" i="25"/>
  <c r="F152" i="25"/>
  <c r="H152" i="25"/>
  <c r="G152" i="25"/>
  <c r="K39" i="25"/>
  <c r="F35" i="82"/>
  <c r="H35" i="82"/>
  <c r="G35" i="82"/>
  <c r="K4" i="82"/>
  <c r="F53" i="25"/>
  <c r="O565" i="38" l="1"/>
  <c r="U565" i="38"/>
  <c r="P565" i="38"/>
  <c r="Q11" i="89"/>
  <c r="F151" i="25"/>
  <c r="H151" i="25"/>
  <c r="G151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3" i="89"/>
  <c r="F150" i="25"/>
  <c r="H150" i="25"/>
  <c r="G150" i="25"/>
  <c r="F51" i="25"/>
  <c r="F61" i="58"/>
  <c r="H61" i="58"/>
  <c r="G61" i="58"/>
  <c r="F15" i="58"/>
  <c r="H21" i="74"/>
  <c r="G21" i="74"/>
  <c r="F21" i="74"/>
  <c r="F2" i="74"/>
  <c r="P564" i="38" l="1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P23" i="70"/>
  <c r="P22" i="70"/>
  <c r="P21" i="70"/>
  <c r="P20" i="70"/>
  <c r="P19" i="70"/>
  <c r="P18" i="70"/>
  <c r="P17" i="70"/>
  <c r="P16" i="70"/>
  <c r="F60" i="58"/>
  <c r="G60" i="58"/>
  <c r="H60" i="58"/>
  <c r="F34" i="82"/>
  <c r="G34" i="82"/>
  <c r="H34" i="82"/>
  <c r="AC25" i="31" l="1"/>
  <c r="F149" i="25"/>
  <c r="H149" i="25"/>
  <c r="G149" i="25"/>
  <c r="K38" i="25"/>
  <c r="F93" i="51"/>
  <c r="G93" i="51"/>
  <c r="H93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31" i="81"/>
  <c r="H31" i="81"/>
  <c r="G31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P563" i="38" l="1"/>
  <c r="O563" i="38"/>
  <c r="U563" i="38"/>
  <c r="M77" i="75"/>
  <c r="F148" i="25"/>
  <c r="H148" i="25"/>
  <c r="G148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P562" i="38" l="1"/>
  <c r="O562" i="38"/>
  <c r="U562" i="38"/>
  <c r="F33" i="82"/>
  <c r="G33" i="82"/>
  <c r="H33" i="82"/>
  <c r="G41" i="70"/>
  <c r="F41" i="70"/>
  <c r="H41" i="70"/>
  <c r="F46" i="31"/>
  <c r="G46" i="31"/>
  <c r="H46" i="31"/>
  <c r="F59" i="58"/>
  <c r="H59" i="58"/>
  <c r="G59" i="58"/>
  <c r="F38" i="46"/>
  <c r="G38" i="46"/>
  <c r="H38" i="46"/>
  <c r="A561" i="38"/>
  <c r="D561" i="38"/>
  <c r="E561" i="38"/>
  <c r="G561" i="38"/>
  <c r="H561" i="38"/>
  <c r="K561" i="38"/>
  <c r="L561" i="38" s="1"/>
  <c r="M561" i="38"/>
  <c r="N561" i="38" s="1"/>
  <c r="S561" i="38"/>
  <c r="P561" i="38" l="1"/>
  <c r="O561" i="38"/>
  <c r="U561" i="38"/>
  <c r="F45" i="31"/>
  <c r="H45" i="31"/>
  <c r="G45" i="31"/>
  <c r="R11" i="31"/>
  <c r="Q11" i="31" s="1"/>
  <c r="AB8" i="31"/>
  <c r="AB9" i="31"/>
  <c r="AC10" i="31" s="1"/>
  <c r="AB11" i="31"/>
  <c r="AB22" i="31"/>
  <c r="AB23" i="31"/>
  <c r="AC24" i="31" s="1"/>
  <c r="AA22" i="31"/>
  <c r="F147" i="25"/>
  <c r="G147" i="25"/>
  <c r="H147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O560" i="38" l="1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92" i="51"/>
  <c r="G92" i="51"/>
  <c r="H92" i="51"/>
  <c r="F30" i="81"/>
  <c r="H30" i="81"/>
  <c r="G30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P559" i="38" l="1"/>
  <c r="O559" i="38"/>
  <c r="U559" i="38"/>
  <c r="F26" i="89"/>
  <c r="G26" i="89"/>
  <c r="H26" i="89"/>
  <c r="F90" i="87"/>
  <c r="G90" i="87"/>
  <c r="H90" i="87"/>
  <c r="F33" i="78"/>
  <c r="G33" i="78"/>
  <c r="H33" i="78"/>
  <c r="F29" i="81"/>
  <c r="G29" i="81"/>
  <c r="H29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46" i="25"/>
  <c r="G146" i="25"/>
  <c r="H146" i="25"/>
  <c r="A558" i="38"/>
  <c r="D558" i="38"/>
  <c r="E558" i="38"/>
  <c r="G558" i="38"/>
  <c r="H558" i="38"/>
  <c r="K558" i="38"/>
  <c r="L558" i="38" s="1"/>
  <c r="M558" i="38"/>
  <c r="N558" i="38" s="1"/>
  <c r="S558" i="38"/>
  <c r="F44" i="31"/>
  <c r="G44" i="31"/>
  <c r="H44" i="31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61" i="90"/>
  <c r="P60" i="90"/>
  <c r="P59" i="90"/>
  <c r="P58" i="90"/>
  <c r="P57" i="90"/>
  <c r="P56" i="90"/>
  <c r="P55" i="90"/>
  <c r="P54" i="90"/>
  <c r="P53" i="90"/>
  <c r="P52" i="90"/>
  <c r="P51" i="90"/>
  <c r="P50" i="90"/>
  <c r="P49" i="90"/>
  <c r="P48" i="90"/>
  <c r="P47" i="90"/>
  <c r="P46" i="90"/>
  <c r="P45" i="90"/>
  <c r="P44" i="90"/>
  <c r="P43" i="90"/>
  <c r="P42" i="90"/>
  <c r="P41" i="90"/>
  <c r="H25" i="90"/>
  <c r="G25" i="90"/>
  <c r="F25" i="90"/>
  <c r="M18" i="90"/>
  <c r="H18" i="90"/>
  <c r="C18" i="90"/>
  <c r="K18" i="90"/>
  <c r="F2" i="90"/>
  <c r="I31" i="82"/>
  <c r="F31" i="82"/>
  <c r="H31" i="82"/>
  <c r="G31" i="82"/>
  <c r="K3" i="82"/>
  <c r="F91" i="51"/>
  <c r="G91" i="51"/>
  <c r="H91" i="51"/>
  <c r="K14" i="51"/>
  <c r="M85" i="90"/>
  <c r="F19" i="90"/>
  <c r="K85" i="90"/>
  <c r="C85" i="90"/>
  <c r="M19" i="90"/>
  <c r="F85" i="90"/>
  <c r="K19" i="90"/>
  <c r="H85" i="90"/>
  <c r="H19" i="90"/>
  <c r="C19" i="90"/>
  <c r="Q2" i="90" l="1"/>
  <c r="M66" i="90"/>
  <c r="Q10" i="90" s="1"/>
  <c r="O558" i="38"/>
  <c r="P558" i="38"/>
  <c r="U558" i="38"/>
  <c r="F18" i="90"/>
  <c r="Q8" i="90" s="1"/>
  <c r="Q5" i="90"/>
  <c r="A557" i="38"/>
  <c r="D557" i="38"/>
  <c r="E557" i="38"/>
  <c r="G557" i="38"/>
  <c r="H557" i="38"/>
  <c r="K557" i="38"/>
  <c r="L557" i="38" s="1"/>
  <c r="M557" i="38"/>
  <c r="U557" i="38" s="1"/>
  <c r="N557" i="38"/>
  <c r="S557" i="38"/>
  <c r="F45" i="77"/>
  <c r="G45" i="77"/>
  <c r="H45" i="77"/>
  <c r="F7" i="77"/>
  <c r="K5" i="77"/>
  <c r="F39" i="84"/>
  <c r="H39" i="84"/>
  <c r="G39" i="84"/>
  <c r="F9" i="84"/>
  <c r="F145" i="25"/>
  <c r="H145" i="25"/>
  <c r="G145" i="25"/>
  <c r="K35" i="25"/>
  <c r="F90" i="51"/>
  <c r="G90" i="51"/>
  <c r="H90" i="51"/>
  <c r="F24" i="51"/>
  <c r="F89" i="51"/>
  <c r="G89" i="51"/>
  <c r="H89" i="51"/>
  <c r="F23" i="51"/>
  <c r="O557" i="38" l="1"/>
  <c r="Q3" i="90"/>
  <c r="Q6" i="90" s="1"/>
  <c r="Q9" i="90" s="1"/>
  <c r="Q7" i="90"/>
  <c r="P557" i="38"/>
  <c r="F26" i="86"/>
  <c r="G26" i="86"/>
  <c r="H26" i="86"/>
  <c r="F37" i="46"/>
  <c r="G37" i="46"/>
  <c r="H37" i="46"/>
  <c r="F88" i="51"/>
  <c r="G88" i="51"/>
  <c r="H88" i="51"/>
  <c r="F144" i="25"/>
  <c r="G144" i="25"/>
  <c r="H144" i="25"/>
  <c r="A556" i="38"/>
  <c r="D556" i="38"/>
  <c r="E556" i="38"/>
  <c r="G556" i="38"/>
  <c r="H556" i="38"/>
  <c r="K556" i="38"/>
  <c r="L556" i="38" s="1"/>
  <c r="M556" i="38"/>
  <c r="N556" i="38" s="1"/>
  <c r="S556" i="38"/>
  <c r="F28" i="81"/>
  <c r="G28" i="81"/>
  <c r="H28" i="81"/>
  <c r="K2" i="81"/>
  <c r="F39" i="70"/>
  <c r="H39" i="70"/>
  <c r="G39" i="70"/>
  <c r="F12" i="70"/>
  <c r="K19" i="81"/>
  <c r="O556" i="38" l="1"/>
  <c r="U556" i="38"/>
  <c r="P556" i="38"/>
  <c r="F27" i="81"/>
  <c r="G27" i="81"/>
  <c r="H27" i="81"/>
  <c r="F38" i="57"/>
  <c r="H38" i="57"/>
  <c r="G38" i="57"/>
  <c r="F44" i="77"/>
  <c r="H44" i="77"/>
  <c r="G44" i="77"/>
  <c r="F143" i="25"/>
  <c r="H143" i="25"/>
  <c r="G143" i="25"/>
  <c r="K34" i="25"/>
  <c r="R11" i="58"/>
  <c r="Q11" i="58" s="1"/>
  <c r="F58" i="58"/>
  <c r="H58" i="58"/>
  <c r="G58" i="58"/>
  <c r="K9" i="58"/>
  <c r="F87" i="51"/>
  <c r="G87" i="51"/>
  <c r="H87" i="51"/>
  <c r="K13" i="51"/>
  <c r="F2" i="89"/>
  <c r="F18" i="89" s="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M18" i="89"/>
  <c r="H18" i="89"/>
  <c r="C18" i="89"/>
  <c r="K18" i="89"/>
  <c r="A555" i="38"/>
  <c r="D555" i="38"/>
  <c r="E555" i="38"/>
  <c r="G555" i="38"/>
  <c r="H555" i="38"/>
  <c r="K555" i="38"/>
  <c r="L555" i="38" s="1"/>
  <c r="M555" i="38"/>
  <c r="U555" i="38" s="1"/>
  <c r="S555" i="38"/>
  <c r="F43" i="31"/>
  <c r="H43" i="31"/>
  <c r="G43" i="31"/>
  <c r="C19" i="89"/>
  <c r="F85" i="89"/>
  <c r="H19" i="89"/>
  <c r="K85" i="89"/>
  <c r="K19" i="89"/>
  <c r="H42" i="51"/>
  <c r="H85" i="89"/>
  <c r="F19" i="89"/>
  <c r="C85" i="89"/>
  <c r="M85" i="89"/>
  <c r="M19" i="89"/>
  <c r="Q2" i="89" l="1"/>
  <c r="Q5" i="89" s="1"/>
  <c r="M66" i="89"/>
  <c r="Q10" i="89" s="1"/>
  <c r="P555" i="38"/>
  <c r="N555" i="38"/>
  <c r="O555" i="38" s="1"/>
  <c r="A554" i="38"/>
  <c r="D554" i="38"/>
  <c r="E554" i="38"/>
  <c r="G554" i="38"/>
  <c r="H554" i="38"/>
  <c r="K554" i="38"/>
  <c r="L554" i="38" s="1"/>
  <c r="M554" i="38"/>
  <c r="N554" i="38" s="1"/>
  <c r="S554" i="38"/>
  <c r="F42" i="31"/>
  <c r="G42" i="31"/>
  <c r="H42" i="31"/>
  <c r="F2" i="31"/>
  <c r="M84" i="88"/>
  <c r="K84" i="88"/>
  <c r="H84" i="88"/>
  <c r="F84" i="88"/>
  <c r="C84" i="88"/>
  <c r="P61" i="88"/>
  <c r="P60" i="88"/>
  <c r="P59" i="88"/>
  <c r="P58" i="88"/>
  <c r="P57" i="88"/>
  <c r="P56" i="88"/>
  <c r="P55" i="88"/>
  <c r="P54" i="88"/>
  <c r="P53" i="88"/>
  <c r="P52" i="88"/>
  <c r="P51" i="88"/>
  <c r="P50" i="88"/>
  <c r="P49" i="88"/>
  <c r="P48" i="88"/>
  <c r="P47" i="88"/>
  <c r="P46" i="88"/>
  <c r="P45" i="88"/>
  <c r="P44" i="88"/>
  <c r="P43" i="88"/>
  <c r="P42" i="88"/>
  <c r="P41" i="88"/>
  <c r="H25" i="88"/>
  <c r="G25" i="88"/>
  <c r="F25" i="88"/>
  <c r="M18" i="88"/>
  <c r="H18" i="88"/>
  <c r="C18" i="88"/>
  <c r="K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19" i="88"/>
  <c r="K85" i="87"/>
  <c r="M85" i="87"/>
  <c r="H19" i="87"/>
  <c r="F19" i="88"/>
  <c r="H19" i="88"/>
  <c r="K19" i="88"/>
  <c r="K85" i="88"/>
  <c r="M19" i="87"/>
  <c r="C19" i="88"/>
  <c r="H85" i="88"/>
  <c r="C85" i="87"/>
  <c r="H85" i="87"/>
  <c r="F85" i="88"/>
  <c r="C85" i="88"/>
  <c r="F85" i="87"/>
  <c r="M85" i="88"/>
  <c r="K19" i="87"/>
  <c r="F19" i="87"/>
  <c r="C19" i="87"/>
  <c r="Q2" i="87" l="1"/>
  <c r="Q5" i="87" s="1"/>
  <c r="Q3" i="89"/>
  <c r="Q6" i="89" s="1"/>
  <c r="Q8" i="89"/>
  <c r="Q7" i="89" s="1"/>
  <c r="P554" i="38"/>
  <c r="Q2" i="88"/>
  <c r="Q5" i="88" s="1"/>
  <c r="M66" i="87"/>
  <c r="Q10" i="87" s="1"/>
  <c r="M66" i="88"/>
  <c r="Q10" i="88" s="1"/>
  <c r="O554" i="38"/>
  <c r="U554" i="38"/>
  <c r="F18" i="88"/>
  <c r="F41" i="31"/>
  <c r="G41" i="31"/>
  <c r="H41" i="31"/>
  <c r="Q9" i="89" l="1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36" i="46"/>
  <c r="H36" i="46"/>
  <c r="G36" i="46"/>
  <c r="K6" i="46"/>
  <c r="P553" i="38" l="1"/>
  <c r="O553" i="38"/>
  <c r="U553" i="38"/>
  <c r="F30" i="82"/>
  <c r="G30" i="82"/>
  <c r="H30" i="82"/>
  <c r="Z22" i="31"/>
  <c r="Z8" i="31"/>
  <c r="Z11" i="31"/>
  <c r="Y11" i="31"/>
  <c r="P42" i="25"/>
  <c r="P43" i="25"/>
  <c r="P44" i="25"/>
  <c r="P45" i="25"/>
  <c r="P46" i="25"/>
  <c r="P47" i="25"/>
  <c r="P48" i="25"/>
  <c r="P49" i="25"/>
  <c r="P50" i="25"/>
  <c r="P51" i="25"/>
  <c r="P52" i="25"/>
  <c r="P53" i="25"/>
  <c r="P54" i="25"/>
  <c r="P55" i="25"/>
  <c r="F142" i="25"/>
  <c r="G142" i="25"/>
  <c r="H142" i="25"/>
  <c r="A552" i="38"/>
  <c r="D552" i="38"/>
  <c r="E552" i="38"/>
  <c r="G552" i="38"/>
  <c r="H552" i="38"/>
  <c r="K552" i="38"/>
  <c r="L552" i="38" s="1"/>
  <c r="M552" i="38"/>
  <c r="N552" i="38" s="1"/>
  <c r="S552" i="38"/>
  <c r="C42" i="51"/>
  <c r="P552" i="38" l="1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U551" i="38" l="1"/>
  <c r="P551" i="38"/>
  <c r="O551" i="38"/>
  <c r="F86" i="51"/>
  <c r="G86" i="51"/>
  <c r="H86" i="51"/>
  <c r="F22" i="51"/>
  <c r="F38" i="70"/>
  <c r="H38" i="70"/>
  <c r="G38" i="70"/>
  <c r="F2" i="86"/>
  <c r="F18" i="86" s="1"/>
  <c r="M84" i="86"/>
  <c r="K84" i="86"/>
  <c r="H84" i="86"/>
  <c r="F84" i="86"/>
  <c r="C84" i="86"/>
  <c r="P61" i="86"/>
  <c r="P60" i="86"/>
  <c r="P59" i="86"/>
  <c r="P58" i="86"/>
  <c r="P57" i="86"/>
  <c r="P56" i="86"/>
  <c r="P55" i="86"/>
  <c r="P54" i="86"/>
  <c r="P53" i="86"/>
  <c r="P52" i="86"/>
  <c r="P51" i="86"/>
  <c r="P50" i="86"/>
  <c r="P49" i="86"/>
  <c r="P48" i="86"/>
  <c r="P47" i="86"/>
  <c r="P46" i="86"/>
  <c r="P45" i="86"/>
  <c r="P44" i="86"/>
  <c r="P43" i="86"/>
  <c r="P42" i="86"/>
  <c r="P41" i="86"/>
  <c r="H25" i="86"/>
  <c r="G25" i="86"/>
  <c r="F25" i="86"/>
  <c r="M18" i="86"/>
  <c r="H18" i="86"/>
  <c r="C18" i="86"/>
  <c r="K18" i="86"/>
  <c r="K6" i="70"/>
  <c r="M19" i="86"/>
  <c r="F19" i="86"/>
  <c r="F85" i="86"/>
  <c r="C19" i="86"/>
  <c r="H85" i="86"/>
  <c r="K19" i="86"/>
  <c r="H19" i="86"/>
  <c r="M85" i="86"/>
  <c r="K85" i="86"/>
  <c r="C85" i="86"/>
  <c r="Q2" i="86" l="1"/>
  <c r="Q5" i="86" s="1"/>
  <c r="M66" i="86"/>
  <c r="Q10" i="86" s="1"/>
  <c r="F37" i="70"/>
  <c r="H37" i="70"/>
  <c r="G37" i="70"/>
  <c r="F11" i="70"/>
  <c r="G54" i="43"/>
  <c r="G55" i="43"/>
  <c r="F55" i="43"/>
  <c r="H55" i="43"/>
  <c r="F14" i="43"/>
  <c r="K10" i="43"/>
  <c r="F85" i="51"/>
  <c r="G85" i="51"/>
  <c r="H85" i="51"/>
  <c r="K12" i="51"/>
  <c r="A550" i="38"/>
  <c r="D550" i="38"/>
  <c r="E550" i="38"/>
  <c r="G550" i="38"/>
  <c r="H550" i="38"/>
  <c r="K550" i="38"/>
  <c r="L550" i="38" s="1"/>
  <c r="M550" i="38"/>
  <c r="N550" i="38" s="1"/>
  <c r="H19" i="43"/>
  <c r="C19" i="43"/>
  <c r="M19" i="43"/>
  <c r="Q3" i="86" l="1"/>
  <c r="Q6" i="86" s="1"/>
  <c r="Q8" i="86"/>
  <c r="Q7" i="86" s="1"/>
  <c r="P550" i="38"/>
  <c r="O550" i="38"/>
  <c r="F40" i="31"/>
  <c r="H40" i="31"/>
  <c r="G40" i="31"/>
  <c r="F35" i="46"/>
  <c r="H35" i="46"/>
  <c r="G35" i="46"/>
  <c r="K5" i="46"/>
  <c r="F57" i="58"/>
  <c r="H57" i="58"/>
  <c r="G57" i="58"/>
  <c r="F10" i="58"/>
  <c r="K8" i="58"/>
  <c r="F141" i="25"/>
  <c r="H141" i="25"/>
  <c r="G141" i="25"/>
  <c r="K33" i="25"/>
  <c r="F38" i="84"/>
  <c r="H38" i="84"/>
  <c r="G38" i="84"/>
  <c r="K5" i="84"/>
  <c r="F140" i="25"/>
  <c r="G140" i="25"/>
  <c r="H140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39" i="25"/>
  <c r="H139" i="25"/>
  <c r="Q9" i="86" l="1"/>
  <c r="P549" i="38"/>
  <c r="O549" i="38"/>
  <c r="U549" i="38"/>
  <c r="F84" i="51"/>
  <c r="G84" i="51"/>
  <c r="H84" i="51"/>
  <c r="K11" i="51"/>
  <c r="F36" i="70"/>
  <c r="H36" i="70"/>
  <c r="G36" i="70"/>
  <c r="F10" i="70"/>
  <c r="F34" i="46"/>
  <c r="H34" i="46"/>
  <c r="G3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39" i="25"/>
  <c r="K30" i="25"/>
  <c r="P548" i="38" l="1"/>
  <c r="O548" i="38"/>
  <c r="U548" i="38"/>
  <c r="F138" i="25"/>
  <c r="G138" i="25"/>
  <c r="H138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P547" i="38" l="1"/>
  <c r="O547" i="38"/>
  <c r="U547" i="38"/>
  <c r="F137" i="25"/>
  <c r="H137" i="25"/>
  <c r="G137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83" i="51"/>
  <c r="G83" i="51"/>
  <c r="H83" i="51"/>
  <c r="K10" i="51"/>
  <c r="F136" i="25"/>
  <c r="H136" i="25"/>
  <c r="G136" i="25"/>
  <c r="K27" i="25"/>
  <c r="H33" i="46"/>
  <c r="F33" i="46"/>
  <c r="G33" i="46"/>
  <c r="F54" i="43"/>
  <c r="H54" i="43"/>
  <c r="F13" i="43"/>
  <c r="K9" i="43"/>
  <c r="P546" i="38" l="1"/>
  <c r="N546" i="38"/>
  <c r="O546" i="38" s="1"/>
  <c r="D545" i="38"/>
  <c r="E545" i="38"/>
  <c r="G545" i="38"/>
  <c r="H545" i="38"/>
  <c r="K545" i="38"/>
  <c r="L545" i="38" s="1"/>
  <c r="M545" i="38"/>
  <c r="U545" i="38" s="1"/>
  <c r="S545" i="38"/>
  <c r="P545" i="38" l="1"/>
  <c r="N545" i="38"/>
  <c r="O545" i="38" s="1"/>
  <c r="D544" i="38"/>
  <c r="E544" i="38"/>
  <c r="G544" i="38"/>
  <c r="H544" i="38"/>
  <c r="K544" i="38"/>
  <c r="L544" i="38" s="1"/>
  <c r="M544" i="38"/>
  <c r="U544" i="38" s="1"/>
  <c r="S544" i="38"/>
  <c r="N544" i="38" l="1"/>
  <c r="O544" i="38" s="1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P543" i="38" l="1"/>
  <c r="N543" i="38"/>
  <c r="O543" i="38" s="1"/>
  <c r="F56" i="58"/>
  <c r="G56" i="58"/>
  <c r="H56" i="58"/>
  <c r="F135" i="25"/>
  <c r="H135" i="25"/>
  <c r="G135" i="25"/>
  <c r="D542" i="38"/>
  <c r="E542" i="38"/>
  <c r="G542" i="38"/>
  <c r="H542" i="38"/>
  <c r="K542" i="38"/>
  <c r="L542" i="38" s="1"/>
  <c r="M542" i="38"/>
  <c r="U542" i="38" s="1"/>
  <c r="S542" i="38"/>
  <c r="P542" i="38" l="1"/>
  <c r="N542" i="38"/>
  <c r="O542" i="38" s="1"/>
  <c r="D541" i="38"/>
  <c r="E541" i="38"/>
  <c r="G541" i="38"/>
  <c r="H541" i="38"/>
  <c r="K541" i="38"/>
  <c r="L541" i="38" s="1"/>
  <c r="M541" i="38"/>
  <c r="U541" i="38" s="1"/>
  <c r="S541" i="38"/>
  <c r="P541" i="38" l="1"/>
  <c r="N541" i="38"/>
  <c r="O541" i="38" s="1"/>
  <c r="Q11" i="74" l="1"/>
  <c r="F82" i="51" l="1"/>
  <c r="G82" i="51"/>
  <c r="H82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O540" i="38" s="1"/>
  <c r="D539" i="38"/>
  <c r="E539" i="38"/>
  <c r="G539" i="38"/>
  <c r="H539" i="38"/>
  <c r="K539" i="38"/>
  <c r="L539" i="38" s="1"/>
  <c r="M539" i="38"/>
  <c r="N539" i="38" s="1"/>
  <c r="O539" i="38" s="1"/>
  <c r="S539" i="38"/>
  <c r="P539" i="38" l="1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2" i="46"/>
  <c r="F32" i="46"/>
  <c r="G32" i="46"/>
  <c r="P537" i="38" l="1"/>
  <c r="N538" i="38"/>
  <c r="O538" i="38" s="1"/>
  <c r="P538" i="38"/>
  <c r="N537" i="38"/>
  <c r="O537" i="38" s="1"/>
  <c r="D536" i="38"/>
  <c r="E536" i="38"/>
  <c r="G536" i="38"/>
  <c r="H536" i="38"/>
  <c r="K536" i="38"/>
  <c r="L536" i="38" s="1"/>
  <c r="M536" i="38"/>
  <c r="N536" i="38" s="1"/>
  <c r="O536" i="38" s="1"/>
  <c r="S536" i="38"/>
  <c r="P536" i="38" l="1"/>
  <c r="U536" i="38"/>
  <c r="F32" i="78"/>
  <c r="H32" i="78"/>
  <c r="G32" i="78"/>
  <c r="F81" i="51"/>
  <c r="G81" i="51"/>
  <c r="H81" i="51"/>
  <c r="F28" i="45"/>
  <c r="G28" i="45"/>
  <c r="H28" i="45"/>
  <c r="R302" i="1" l="1"/>
  <c r="T302" i="1"/>
  <c r="F37" i="57"/>
  <c r="G37" i="57"/>
  <c r="H37" i="57"/>
  <c r="F134" i="25"/>
  <c r="H134" i="25"/>
  <c r="G134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O535" i="38" s="1"/>
  <c r="K535" i="38"/>
  <c r="L535" i="38" s="1"/>
  <c r="H535" i="38"/>
  <c r="E535" i="38"/>
  <c r="U535" i="38" l="1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2" i="82"/>
  <c r="K4" i="46"/>
  <c r="F36" i="84"/>
  <c r="H36" i="84"/>
  <c r="G36" i="84"/>
  <c r="K4" i="84"/>
  <c r="F133" i="25"/>
  <c r="H133" i="25"/>
  <c r="G133" i="25"/>
  <c r="F132" i="25"/>
  <c r="H132" i="25"/>
  <c r="G132" i="25"/>
  <c r="G53" i="43"/>
  <c r="F53" i="43"/>
  <c r="H53" i="43"/>
  <c r="K8" i="43"/>
  <c r="F50" i="25"/>
  <c r="F27" i="45"/>
  <c r="G27" i="45"/>
  <c r="H27" i="45"/>
  <c r="F36" i="57"/>
  <c r="H36" i="57"/>
  <c r="G36" i="57"/>
  <c r="K4" i="57"/>
  <c r="K19" i="82"/>
  <c r="P534" i="38" l="1"/>
  <c r="N534" i="38"/>
  <c r="O534" i="38" s="1"/>
  <c r="F80" i="51"/>
  <c r="G80" i="51"/>
  <c r="H80" i="51"/>
  <c r="K9" i="51"/>
  <c r="F79" i="51"/>
  <c r="G79" i="51"/>
  <c r="H79" i="51"/>
  <c r="K8" i="51"/>
  <c r="E533" i="38" l="1"/>
  <c r="H533" i="38"/>
  <c r="K533" i="38"/>
  <c r="L533" i="38" s="1"/>
  <c r="M533" i="38"/>
  <c r="U533" i="38" s="1"/>
  <c r="S533" i="38"/>
  <c r="F55" i="58"/>
  <c r="H55" i="58"/>
  <c r="G55" i="58"/>
  <c r="K7" i="58"/>
  <c r="F43" i="77"/>
  <c r="H43" i="77"/>
  <c r="G43" i="77"/>
  <c r="K4" i="77"/>
  <c r="F52" i="43"/>
  <c r="H52" i="43"/>
  <c r="G52" i="43"/>
  <c r="F11" i="43"/>
  <c r="K7" i="43"/>
  <c r="F39" i="31"/>
  <c r="H39" i="31"/>
  <c r="G39" i="31"/>
  <c r="N533" i="38" l="1"/>
  <c r="O533" i="38" s="1"/>
  <c r="P533" i="38"/>
  <c r="E532" i="38"/>
  <c r="H532" i="38"/>
  <c r="K532" i="38"/>
  <c r="L532" i="38" s="1"/>
  <c r="M532" i="38"/>
  <c r="U532" i="38" s="1"/>
  <c r="S532" i="38"/>
  <c r="P532" i="38" l="1"/>
  <c r="N532" i="38"/>
  <c r="O532" i="38" s="1"/>
  <c r="F7" i="46"/>
  <c r="F31" i="46"/>
  <c r="H31" i="46"/>
  <c r="G31" i="46"/>
  <c r="K3" i="46"/>
  <c r="E531" i="38"/>
  <c r="H531" i="38"/>
  <c r="K531" i="38"/>
  <c r="M531" i="38"/>
  <c r="U531" i="38" s="1"/>
  <c r="S531" i="38"/>
  <c r="L531" i="38" l="1"/>
  <c r="P531" i="38" s="1"/>
  <c r="N531" i="38"/>
  <c r="O531" i="38" s="1"/>
  <c r="N271" i="1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P530" i="38" l="1"/>
  <c r="N530" i="38"/>
  <c r="O530" i="38" s="1"/>
  <c r="D529" i="38"/>
  <c r="E529" i="38"/>
  <c r="H529" i="38"/>
  <c r="K529" i="38"/>
  <c r="L529" i="38" s="1"/>
  <c r="M529" i="38"/>
  <c r="N529" i="38" s="1"/>
  <c r="O529" i="38" s="1"/>
  <c r="S529" i="38"/>
  <c r="K25" i="25"/>
  <c r="P529" i="38" l="1"/>
  <c r="U529" i="38"/>
  <c r="D528" i="38"/>
  <c r="E528" i="38"/>
  <c r="H528" i="38"/>
  <c r="K528" i="38"/>
  <c r="M528" i="38"/>
  <c r="U528" i="38" s="1"/>
  <c r="S528" i="38"/>
  <c r="F131" i="25"/>
  <c r="H131" i="25"/>
  <c r="G131" i="25"/>
  <c r="F49" i="25"/>
  <c r="N528" i="38" l="1"/>
  <c r="O528" i="38" s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F5" i="82"/>
  <c r="I15" i="40"/>
  <c r="K15" i="40" s="1"/>
  <c r="F48" i="25"/>
  <c r="L527" i="38" l="1"/>
  <c r="P527" i="38" s="1"/>
  <c r="N527" i="38"/>
  <c r="O527" i="38" s="1"/>
  <c r="F42" i="77"/>
  <c r="G42" i="77"/>
  <c r="H42" i="77"/>
  <c r="F78" i="51" l="1"/>
  <c r="G78" i="51"/>
  <c r="H78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O526" i="38" s="1"/>
  <c r="P526" i="38"/>
  <c r="D525" i="38"/>
  <c r="E525" i="38"/>
  <c r="G525" i="38"/>
  <c r="H525" i="38"/>
  <c r="K525" i="38"/>
  <c r="L525" i="38" s="1"/>
  <c r="M525" i="38"/>
  <c r="U525" i="38" s="1"/>
  <c r="S525" i="38"/>
  <c r="P525" i="38" l="1"/>
  <c r="N525" i="38"/>
  <c r="O525" i="38" s="1"/>
  <c r="D524" i="38"/>
  <c r="E524" i="38"/>
  <c r="G524" i="38"/>
  <c r="H524" i="38"/>
  <c r="K524" i="38"/>
  <c r="L524" i="38" s="1"/>
  <c r="M524" i="38"/>
  <c r="U524" i="38" s="1"/>
  <c r="S524" i="38"/>
  <c r="N524" i="38" l="1"/>
  <c r="O524" i="38" s="1"/>
  <c r="P524" i="38"/>
  <c r="F41" i="77"/>
  <c r="H41" i="77"/>
  <c r="G41" i="77"/>
  <c r="K3" i="77"/>
  <c r="F130" i="25"/>
  <c r="H130" i="25"/>
  <c r="G130" i="25"/>
  <c r="F47" i="25"/>
  <c r="F38" i="31"/>
  <c r="H38" i="31"/>
  <c r="G38" i="31"/>
  <c r="D523" i="38"/>
  <c r="E523" i="38"/>
  <c r="G523" i="38"/>
  <c r="H523" i="38"/>
  <c r="K523" i="38"/>
  <c r="L523" i="38" s="1"/>
  <c r="M523" i="38"/>
  <c r="U523" i="38" s="1"/>
  <c r="S523" i="38"/>
  <c r="N523" i="38" l="1"/>
  <c r="O523" i="38" s="1"/>
  <c r="P523" i="38"/>
  <c r="D522" i="38"/>
  <c r="E522" i="38"/>
  <c r="G522" i="38"/>
  <c r="H522" i="38"/>
  <c r="K522" i="38"/>
  <c r="L522" i="38" s="1"/>
  <c r="M522" i="38"/>
  <c r="U522" i="38" s="1"/>
  <c r="S522" i="38"/>
  <c r="F30" i="46"/>
  <c r="H30" i="46"/>
  <c r="G30" i="46"/>
  <c r="F12" i="46"/>
  <c r="F34" i="84"/>
  <c r="H34" i="84"/>
  <c r="G34" i="84"/>
  <c r="K3" i="84"/>
  <c r="N522" i="38" l="1"/>
  <c r="O522" i="38" s="1"/>
  <c r="P522" i="38"/>
  <c r="F77" i="51"/>
  <c r="G77" i="51"/>
  <c r="H77" i="51"/>
  <c r="F54" i="58"/>
  <c r="G54" i="58"/>
  <c r="H54" i="58"/>
  <c r="D521" i="38" l="1"/>
  <c r="E521" i="38"/>
  <c r="G521" i="38"/>
  <c r="H521" i="38"/>
  <c r="K521" i="38"/>
  <c r="L521" i="38" s="1"/>
  <c r="M521" i="38"/>
  <c r="U521" i="38" s="1"/>
  <c r="S521" i="38"/>
  <c r="N521" i="38" l="1"/>
  <c r="O521" i="38" s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29" i="46"/>
  <c r="H29" i="46"/>
  <c r="G29" i="46"/>
  <c r="F10" i="46"/>
  <c r="N520" i="38" l="1"/>
  <c r="O520" i="38" s="1"/>
  <c r="P520" i="38"/>
  <c r="D519" i="38"/>
  <c r="E519" i="38"/>
  <c r="G519" i="38"/>
  <c r="H519" i="38"/>
  <c r="K519" i="38"/>
  <c r="L519" i="38" s="1"/>
  <c r="M519" i="38"/>
  <c r="U519" i="38" s="1"/>
  <c r="S519" i="38"/>
  <c r="F5" i="46"/>
  <c r="F28" i="46"/>
  <c r="H28" i="46"/>
  <c r="G28" i="46"/>
  <c r="K2" i="46"/>
  <c r="F129" i="25"/>
  <c r="H129" i="25"/>
  <c r="G129" i="25"/>
  <c r="F46" i="25"/>
  <c r="F51" i="43"/>
  <c r="H51" i="43"/>
  <c r="G51" i="43"/>
  <c r="M18" i="43"/>
  <c r="H18" i="43"/>
  <c r="K6" i="43"/>
  <c r="C21" i="40"/>
  <c r="M19" i="46"/>
  <c r="C19" i="46"/>
  <c r="K19" i="46"/>
  <c r="H19" i="46"/>
  <c r="P519" i="38" l="1"/>
  <c r="N519" i="38"/>
  <c r="O519" i="38" s="1"/>
  <c r="K5" i="43"/>
  <c r="D518" i="38"/>
  <c r="E518" i="38"/>
  <c r="G518" i="38"/>
  <c r="H518" i="38"/>
  <c r="K518" i="38"/>
  <c r="L518" i="38" s="1"/>
  <c r="M518" i="38"/>
  <c r="N518" i="38" s="1"/>
  <c r="O518" i="38" s="1"/>
  <c r="S518" i="38"/>
  <c r="U518" i="38" l="1"/>
  <c r="P518" i="38"/>
  <c r="D517" i="38"/>
  <c r="E517" i="38"/>
  <c r="G517" i="38"/>
  <c r="H517" i="38"/>
  <c r="K517" i="38"/>
  <c r="L517" i="38" s="1"/>
  <c r="M517" i="38"/>
  <c r="N517" i="38" s="1"/>
  <c r="O517" i="38" s="1"/>
  <c r="S517" i="38"/>
  <c r="F128" i="25"/>
  <c r="H128" i="25"/>
  <c r="G128" i="25"/>
  <c r="K24" i="25"/>
  <c r="F4" i="82"/>
  <c r="F40" i="77"/>
  <c r="H40" i="77"/>
  <c r="G40" i="77"/>
  <c r="F9" i="77"/>
  <c r="F27" i="46"/>
  <c r="H27" i="46"/>
  <c r="G27" i="46"/>
  <c r="F9" i="46"/>
  <c r="F8" i="46"/>
  <c r="F50" i="43"/>
  <c r="H50" i="43"/>
  <c r="G50" i="43"/>
  <c r="F12" i="43"/>
  <c r="F19" i="46"/>
  <c r="P517" i="38" l="1"/>
  <c r="U517" i="38"/>
  <c r="F37" i="31" l="1"/>
  <c r="H37" i="31"/>
  <c r="G37" i="31"/>
  <c r="F87" i="40"/>
  <c r="H87" i="40"/>
  <c r="G87" i="40"/>
  <c r="P32" i="78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26" i="46"/>
  <c r="H26" i="46"/>
  <c r="G26" i="46"/>
  <c r="F127" i="25"/>
  <c r="H127" i="25"/>
  <c r="G127" i="25"/>
  <c r="K23" i="25"/>
  <c r="K68" i="83"/>
  <c r="F68" i="83"/>
  <c r="P516" i="38" l="1"/>
  <c r="N516" i="38"/>
  <c r="O516" i="38" s="1"/>
  <c r="D515" i="38"/>
  <c r="E515" i="38"/>
  <c r="G515" i="38"/>
  <c r="H515" i="38"/>
  <c r="K515" i="38"/>
  <c r="L515" i="38" s="1"/>
  <c r="M515" i="38"/>
  <c r="N515" i="38" s="1"/>
  <c r="O515" i="38" s="1"/>
  <c r="S515" i="38"/>
  <c r="F6" i="46"/>
  <c r="P515" i="38" l="1"/>
  <c r="U515" i="38"/>
  <c r="F7" i="70"/>
  <c r="F33" i="70"/>
  <c r="H33" i="70"/>
  <c r="G33" i="70"/>
  <c r="K4" i="70"/>
  <c r="F126" i="25"/>
  <c r="H126" i="25"/>
  <c r="G126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O514" i="38" s="1"/>
  <c r="S514" i="38"/>
  <c r="K19" i="84"/>
  <c r="P514" i="38" l="1"/>
  <c r="V54" i="58"/>
  <c r="D513" i="38"/>
  <c r="E513" i="38"/>
  <c r="G513" i="38"/>
  <c r="H513" i="38"/>
  <c r="K513" i="38"/>
  <c r="L513" i="38" s="1"/>
  <c r="M513" i="38"/>
  <c r="N513" i="38" s="1"/>
  <c r="O513" i="38" s="1"/>
  <c r="S513" i="38"/>
  <c r="P513" i="38" l="1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O512" i="38" s="1"/>
  <c r="P512" i="38"/>
  <c r="D511" i="38"/>
  <c r="E511" i="38"/>
  <c r="G511" i="38"/>
  <c r="H511" i="38"/>
  <c r="K511" i="38"/>
  <c r="L511" i="38" s="1"/>
  <c r="M511" i="38"/>
  <c r="U511" i="38" s="1"/>
  <c r="S511" i="38"/>
  <c r="F36" i="31"/>
  <c r="G36" i="31"/>
  <c r="H36" i="31"/>
  <c r="F26" i="82"/>
  <c r="G26" i="82"/>
  <c r="H26" i="82"/>
  <c r="F3" i="82"/>
  <c r="F32" i="84"/>
  <c r="H32" i="84"/>
  <c r="G32" i="84"/>
  <c r="F7" i="84"/>
  <c r="F32" i="70"/>
  <c r="H32" i="70"/>
  <c r="G32" i="70"/>
  <c r="F8" i="70"/>
  <c r="F35" i="31"/>
  <c r="H35" i="31"/>
  <c r="G35" i="31"/>
  <c r="N511" i="38" l="1"/>
  <c r="O511" i="38" s="1"/>
  <c r="P511" i="38"/>
  <c r="D510" i="38"/>
  <c r="E510" i="38"/>
  <c r="G510" i="38"/>
  <c r="H510" i="38"/>
  <c r="K510" i="38"/>
  <c r="L510" i="38" s="1"/>
  <c r="M510" i="38"/>
  <c r="U510" i="38" s="1"/>
  <c r="S510" i="38"/>
  <c r="N510" i="38" l="1"/>
  <c r="O510" i="38" s="1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P509" i="38" l="1"/>
  <c r="N509" i="38"/>
  <c r="O509" i="38" s="1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P508" i="38" l="1"/>
  <c r="N508" i="38"/>
  <c r="O508" i="38" s="1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26" i="81"/>
  <c r="G26" i="81"/>
  <c r="H26" i="81"/>
  <c r="F26" i="45"/>
  <c r="G26" i="45"/>
  <c r="H26" i="45"/>
  <c r="F38" i="77"/>
  <c r="G38" i="77"/>
  <c r="H38" i="77"/>
  <c r="F53" i="58"/>
  <c r="G53" i="58"/>
  <c r="H53" i="58"/>
  <c r="F76" i="51"/>
  <c r="G76" i="51"/>
  <c r="H76" i="51"/>
  <c r="F125" i="25"/>
  <c r="G125" i="25"/>
  <c r="H125" i="25"/>
  <c r="P507" i="38" l="1"/>
  <c r="N507" i="38"/>
  <c r="O507" i="38" s="1"/>
  <c r="F124" i="25"/>
  <c r="G124" i="25"/>
  <c r="H124" i="25"/>
  <c r="F49" i="43"/>
  <c r="H49" i="43"/>
  <c r="G49" i="43"/>
  <c r="K4" i="43"/>
  <c r="F37" i="77"/>
  <c r="G37" i="77"/>
  <c r="H37" i="77"/>
  <c r="D506" i="38" l="1"/>
  <c r="E506" i="38"/>
  <c r="G506" i="38"/>
  <c r="H506" i="38"/>
  <c r="K506" i="38"/>
  <c r="L506" i="38" s="1"/>
  <c r="M506" i="38"/>
  <c r="U506" i="38" s="1"/>
  <c r="S506" i="38"/>
  <c r="F25" i="46"/>
  <c r="G25" i="46"/>
  <c r="H2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O506" i="38" s="1"/>
  <c r="D505" i="38"/>
  <c r="E505" i="38"/>
  <c r="G505" i="38"/>
  <c r="H505" i="38"/>
  <c r="K505" i="38"/>
  <c r="L505" i="38" s="1"/>
  <c r="M505" i="38"/>
  <c r="U505" i="38" s="1"/>
  <c r="S505" i="38"/>
  <c r="P505" i="38" l="1"/>
  <c r="N505" i="38"/>
  <c r="O505" i="38" s="1"/>
  <c r="D504" i="38"/>
  <c r="E504" i="38"/>
  <c r="G504" i="38"/>
  <c r="H504" i="38"/>
  <c r="K504" i="38"/>
  <c r="L504" i="38" s="1"/>
  <c r="M504" i="38"/>
  <c r="U504" i="38" s="1"/>
  <c r="S504" i="38"/>
  <c r="N504" i="38" l="1"/>
  <c r="O504" i="38" s="1"/>
  <c r="P504" i="38"/>
  <c r="D503" i="38"/>
  <c r="E503" i="38"/>
  <c r="G503" i="38"/>
  <c r="H503" i="38"/>
  <c r="K503" i="38"/>
  <c r="L503" i="38" s="1"/>
  <c r="M503" i="38"/>
  <c r="U503" i="38" s="1"/>
  <c r="S503" i="38"/>
  <c r="P503" i="38" l="1"/>
  <c r="N503" i="38"/>
  <c r="O503" i="38" s="1"/>
  <c r="D502" i="38"/>
  <c r="E502" i="38"/>
  <c r="G502" i="38"/>
  <c r="H502" i="38"/>
  <c r="K502" i="38"/>
  <c r="L502" i="38" s="1"/>
  <c r="M502" i="38"/>
  <c r="U502" i="38" s="1"/>
  <c r="S502" i="38"/>
  <c r="P502" i="38" l="1"/>
  <c r="N502" i="38"/>
  <c r="O502" i="38" s="1"/>
  <c r="F30" i="84"/>
  <c r="G30" i="84"/>
  <c r="H30" i="84"/>
  <c r="F29" i="84"/>
  <c r="G29" i="84"/>
  <c r="H29" i="84"/>
  <c r="F31" i="70"/>
  <c r="G31" i="70"/>
  <c r="H31" i="70"/>
  <c r="F36" i="77"/>
  <c r="G36" i="77"/>
  <c r="H36" i="77"/>
  <c r="F48" i="43"/>
  <c r="G48" i="43"/>
  <c r="H48" i="43"/>
  <c r="F52" i="58"/>
  <c r="H52" i="58"/>
  <c r="G52" i="58"/>
  <c r="F75" i="51"/>
  <c r="G75" i="51"/>
  <c r="H75" i="51"/>
  <c r="F123" i="25"/>
  <c r="G123" i="25"/>
  <c r="H123" i="25"/>
  <c r="D501" i="38" l="1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25" i="81"/>
  <c r="G25" i="81"/>
  <c r="F25" i="81"/>
  <c r="F3" i="81"/>
  <c r="F2" i="81"/>
  <c r="F18" i="81" s="1"/>
  <c r="P501" i="38" l="1"/>
  <c r="N501" i="38"/>
  <c r="O501" i="38" s="1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P500" i="38" l="1"/>
  <c r="N500" i="38"/>
  <c r="O500" i="38" s="1"/>
  <c r="F34" i="31"/>
  <c r="H34" i="31"/>
  <c r="G34" i="31"/>
  <c r="D499" i="38" l="1"/>
  <c r="E499" i="38"/>
  <c r="G499" i="38"/>
  <c r="H499" i="38"/>
  <c r="K499" i="38"/>
  <c r="L499" i="38" s="1"/>
  <c r="M499" i="38"/>
  <c r="N499" i="38" s="1"/>
  <c r="O499" i="38" s="1"/>
  <c r="S499" i="38"/>
  <c r="F30" i="57"/>
  <c r="G30" i="57"/>
  <c r="H30" i="57"/>
  <c r="F4" i="57"/>
  <c r="P499" i="38" l="1"/>
  <c r="U499" i="38"/>
  <c r="D498" i="38"/>
  <c r="E498" i="38"/>
  <c r="G498" i="38"/>
  <c r="H498" i="38"/>
  <c r="K498" i="38"/>
  <c r="L498" i="38" s="1"/>
  <c r="M498" i="38"/>
  <c r="U498" i="38" s="1"/>
  <c r="S498" i="38"/>
  <c r="F33" i="31"/>
  <c r="G33" i="31"/>
  <c r="H33" i="31"/>
  <c r="N498" i="38" l="1"/>
  <c r="O498" i="38" s="1"/>
  <c r="P498" i="38"/>
  <c r="D497" i="38"/>
  <c r="E497" i="38"/>
  <c r="G497" i="38"/>
  <c r="H497" i="38"/>
  <c r="K497" i="38"/>
  <c r="L497" i="38" s="1"/>
  <c r="M497" i="38"/>
  <c r="N497" i="38" s="1"/>
  <c r="O497" i="38" s="1"/>
  <c r="S497" i="38"/>
  <c r="F28" i="84"/>
  <c r="G28" i="84"/>
  <c r="H28" i="84"/>
  <c r="F5" i="84"/>
  <c r="F34" i="77"/>
  <c r="H34" i="77"/>
  <c r="G34" i="77"/>
  <c r="F6" i="77"/>
  <c r="F47" i="43"/>
  <c r="H47" i="43"/>
  <c r="G47" i="43"/>
  <c r="F10" i="43"/>
  <c r="U497" i="38" l="1"/>
  <c r="P497" i="38"/>
  <c r="D496" i="38"/>
  <c r="E496" i="38"/>
  <c r="G496" i="38"/>
  <c r="H496" i="38"/>
  <c r="K496" i="38"/>
  <c r="L496" i="38" s="1"/>
  <c r="M496" i="38"/>
  <c r="U496" i="38" s="1"/>
  <c r="S496" i="38"/>
  <c r="F76" i="45"/>
  <c r="K75" i="45"/>
  <c r="F75" i="45"/>
  <c r="K74" i="45"/>
  <c r="F74" i="45"/>
  <c r="K73" i="45"/>
  <c r="F73" i="45"/>
  <c r="K72" i="45"/>
  <c r="F72" i="45"/>
  <c r="K71" i="45"/>
  <c r="F71" i="45"/>
  <c r="K78" i="64"/>
  <c r="F78" i="64"/>
  <c r="K68" i="78"/>
  <c r="F68" i="78"/>
  <c r="N496" i="38" l="1"/>
  <c r="O496" i="38" s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D495" i="38" l="1"/>
  <c r="E495" i="38"/>
  <c r="G495" i="38"/>
  <c r="H495" i="38"/>
  <c r="K495" i="38"/>
  <c r="L495" i="38" s="1"/>
  <c r="M495" i="38"/>
  <c r="U495" i="38" s="1"/>
  <c r="S495" i="38"/>
  <c r="N495" i="38" l="1"/>
  <c r="O495" i="38" s="1"/>
  <c r="P495" i="38"/>
  <c r="D494" i="38"/>
  <c r="E494" i="38"/>
  <c r="G494" i="38"/>
  <c r="H494" i="38"/>
  <c r="K494" i="38"/>
  <c r="L494" i="38" s="1"/>
  <c r="M494" i="38"/>
  <c r="U494" i="38" s="1"/>
  <c r="S494" i="38"/>
  <c r="P494" i="38" l="1"/>
  <c r="N494" i="38"/>
  <c r="O494" i="38" s="1"/>
  <c r="F74" i="51"/>
  <c r="H74" i="51"/>
  <c r="G74" i="51"/>
  <c r="K6" i="51"/>
  <c r="D493" i="38"/>
  <c r="E493" i="38"/>
  <c r="G493" i="38"/>
  <c r="H493" i="38"/>
  <c r="K493" i="38"/>
  <c r="L493" i="38" s="1"/>
  <c r="M493" i="38"/>
  <c r="U493" i="38" s="1"/>
  <c r="S493" i="38"/>
  <c r="F122" i="25"/>
  <c r="H122" i="25"/>
  <c r="G122" i="25"/>
  <c r="K21" i="25"/>
  <c r="P493" i="38" l="1"/>
  <c r="N493" i="38"/>
  <c r="O493" i="38" s="1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N492" i="38" l="1"/>
  <c r="O492" i="38" s="1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F46" i="43" l="1"/>
  <c r="H46" i="43"/>
  <c r="G46" i="43"/>
  <c r="F51" i="58"/>
  <c r="H51" i="58"/>
  <c r="G5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O491" i="38" s="1"/>
  <c r="D490" i="38"/>
  <c r="E490" i="38"/>
  <c r="G490" i="38"/>
  <c r="H490" i="38"/>
  <c r="K490" i="38"/>
  <c r="L490" i="38" s="1"/>
  <c r="M490" i="38"/>
  <c r="U490" i="38" s="1"/>
  <c r="S490" i="38"/>
  <c r="F121" i="25"/>
  <c r="H121" i="25"/>
  <c r="G121" i="25"/>
  <c r="F45" i="25"/>
  <c r="F2" i="45"/>
  <c r="P490" i="38" l="1"/>
  <c r="N490" i="38"/>
  <c r="O490" i="38" s="1"/>
  <c r="D489" i="38"/>
  <c r="E489" i="38"/>
  <c r="G489" i="38"/>
  <c r="H489" i="38"/>
  <c r="K489" i="38"/>
  <c r="L489" i="38" s="1"/>
  <c r="M489" i="38"/>
  <c r="U489" i="38" s="1"/>
  <c r="S489" i="38"/>
  <c r="F120" i="25"/>
  <c r="H120" i="25"/>
  <c r="G120" i="25"/>
  <c r="K20" i="25"/>
  <c r="H90" i="81"/>
  <c r="G90" i="81"/>
  <c r="F90" i="81"/>
  <c r="H89" i="81"/>
  <c r="G89" i="81"/>
  <c r="F89" i="81"/>
  <c r="K68" i="81"/>
  <c r="F68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P489" i="38" l="1"/>
  <c r="N489" i="38"/>
  <c r="O489" i="38" s="1"/>
  <c r="D488" i="38"/>
  <c r="E488" i="38"/>
  <c r="G488" i="38"/>
  <c r="H488" i="38"/>
  <c r="K488" i="38"/>
  <c r="L488" i="38" s="1"/>
  <c r="M488" i="38"/>
  <c r="U488" i="38" s="1"/>
  <c r="S488" i="38"/>
  <c r="F119" i="25"/>
  <c r="H119" i="25"/>
  <c r="G119" i="25"/>
  <c r="K19" i="25"/>
  <c r="M70" i="25"/>
  <c r="P488" i="38" l="1"/>
  <c r="N488" i="38"/>
  <c r="O488" i="38" s="1"/>
  <c r="D487" i="38"/>
  <c r="E487" i="38"/>
  <c r="G487" i="38"/>
  <c r="H487" i="38"/>
  <c r="K487" i="38"/>
  <c r="L487" i="38" s="1"/>
  <c r="M487" i="38"/>
  <c r="N487" i="38" s="1"/>
  <c r="O487" i="38" s="1"/>
  <c r="S487" i="38"/>
  <c r="P487" i="38" l="1"/>
  <c r="U487" i="38"/>
  <c r="F40" i="64"/>
  <c r="H40" i="64"/>
  <c r="G40" i="64"/>
  <c r="K76" i="64"/>
  <c r="F76" i="64"/>
  <c r="U54" i="58" l="1"/>
  <c r="D486" i="38" l="1"/>
  <c r="E486" i="38"/>
  <c r="G486" i="38"/>
  <c r="H486" i="38"/>
  <c r="K486" i="38"/>
  <c r="L486" i="38" s="1"/>
  <c r="M486" i="38"/>
  <c r="U486" i="38" s="1"/>
  <c r="S486" i="38"/>
  <c r="F118" i="25"/>
  <c r="H118" i="25"/>
  <c r="G118" i="25"/>
  <c r="K18" i="25"/>
  <c r="F117" i="25"/>
  <c r="H117" i="25"/>
  <c r="G117" i="25"/>
  <c r="K17" i="25"/>
  <c r="P486" i="38" l="1"/>
  <c r="N486" i="38"/>
  <c r="O486" i="38" s="1"/>
  <c r="F116" i="25"/>
  <c r="G116" i="25"/>
  <c r="H116" i="25"/>
  <c r="F24" i="46"/>
  <c r="G24" i="46"/>
  <c r="H24" i="46"/>
  <c r="F84" i="40"/>
  <c r="H84" i="40"/>
  <c r="G84" i="40"/>
  <c r="F30" i="70"/>
  <c r="H30" i="70"/>
  <c r="G30" i="70"/>
  <c r="F73" i="51"/>
  <c r="G73" i="51"/>
  <c r="H73" i="51"/>
  <c r="F21" i="51"/>
  <c r="D485" i="38"/>
  <c r="E485" i="38"/>
  <c r="G485" i="38"/>
  <c r="H485" i="38"/>
  <c r="K485" i="38"/>
  <c r="L485" i="38" s="1"/>
  <c r="M485" i="38"/>
  <c r="U485" i="38" s="1"/>
  <c r="S485" i="38"/>
  <c r="P485" i="38" l="1"/>
  <c r="N485" i="38"/>
  <c r="O485" i="38" s="1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H19" i="85"/>
  <c r="C19" i="85"/>
  <c r="M85" i="85"/>
  <c r="F85" i="85"/>
  <c r="K85" i="85"/>
  <c r="F19" i="85"/>
  <c r="M19" i="85"/>
  <c r="C85" i="85"/>
  <c r="K19" i="85"/>
  <c r="Q2" i="85" l="1"/>
  <c r="Q8" i="85" s="1"/>
  <c r="M66" i="85"/>
  <c r="Q10" i="85" s="1"/>
  <c r="N484" i="38"/>
  <c r="O484" i="38" s="1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4" i="84"/>
  <c r="K84" i="84"/>
  <c r="H84" i="84"/>
  <c r="F84" i="84"/>
  <c r="C84" i="84"/>
  <c r="P61" i="84"/>
  <c r="P60" i="84"/>
  <c r="P59" i="84"/>
  <c r="P58" i="84"/>
  <c r="P57" i="84"/>
  <c r="P56" i="84"/>
  <c r="P55" i="84"/>
  <c r="P54" i="84"/>
  <c r="P53" i="84"/>
  <c r="P52" i="84"/>
  <c r="P51" i="84"/>
  <c r="P50" i="84"/>
  <c r="P49" i="84"/>
  <c r="P48" i="84"/>
  <c r="P47" i="84"/>
  <c r="P46" i="84"/>
  <c r="P45" i="84"/>
  <c r="P44" i="84"/>
  <c r="P43" i="84"/>
  <c r="P42" i="84"/>
  <c r="P41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85" i="84"/>
  <c r="K85" i="83"/>
  <c r="C19" i="84"/>
  <c r="H19" i="83"/>
  <c r="F19" i="83"/>
  <c r="C19" i="83"/>
  <c r="H85" i="83"/>
  <c r="F85" i="84"/>
  <c r="F19" i="84"/>
  <c r="M19" i="83"/>
  <c r="C85" i="83"/>
  <c r="H19" i="84"/>
  <c r="H85" i="84"/>
  <c r="K85" i="84"/>
  <c r="C85" i="84"/>
  <c r="F85" i="83"/>
  <c r="M19" i="84"/>
  <c r="M85" i="83"/>
  <c r="K19" i="83"/>
  <c r="Q5" i="85" l="1"/>
  <c r="Q3" i="85"/>
  <c r="Q6" i="85" s="1"/>
  <c r="Q7" i="85"/>
  <c r="M66" i="84"/>
  <c r="Q10" i="84" s="1"/>
  <c r="M66" i="83"/>
  <c r="Q10" i="83" s="1"/>
  <c r="Q9" i="85"/>
  <c r="N483" i="38"/>
  <c r="O483" i="38" s="1"/>
  <c r="P483" i="38"/>
  <c r="Q2" i="84"/>
  <c r="Q8" i="84" s="1"/>
  <c r="Q2" i="83"/>
  <c r="Q5" i="83" s="1"/>
  <c r="Q7" i="84" l="1"/>
  <c r="Q3" i="84"/>
  <c r="Q6" i="84" s="1"/>
  <c r="Q9" i="84" s="1"/>
  <c r="Q5" i="84"/>
  <c r="Q8" i="83"/>
  <c r="Q7" i="83" s="1"/>
  <c r="Q3" i="83"/>
  <c r="Q6" i="83" s="1"/>
  <c r="F50" i="58"/>
  <c r="G50" i="58"/>
  <c r="H50" i="58"/>
  <c r="F72" i="51"/>
  <c r="G72" i="51"/>
  <c r="H72" i="51"/>
  <c r="K42" i="54"/>
  <c r="F42" i="54"/>
  <c r="H100" i="54"/>
  <c r="G100" i="54"/>
  <c r="F100" i="54"/>
  <c r="H99" i="54"/>
  <c r="G99" i="54"/>
  <c r="F99" i="54"/>
  <c r="F115" i="25"/>
  <c r="G115" i="25"/>
  <c r="H115" i="25"/>
  <c r="K16" i="25"/>
  <c r="M17" i="74"/>
  <c r="C17" i="74"/>
  <c r="M84" i="82"/>
  <c r="K84" i="82"/>
  <c r="H84" i="82"/>
  <c r="F84" i="82"/>
  <c r="C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K18" i="82"/>
  <c r="H18" i="82"/>
  <c r="F2" i="82"/>
  <c r="F18" i="82" s="1"/>
  <c r="D482" i="38"/>
  <c r="E482" i="38"/>
  <c r="G482" i="38"/>
  <c r="H482" i="38"/>
  <c r="K482" i="38"/>
  <c r="L482" i="38" s="1"/>
  <c r="M482" i="38"/>
  <c r="U482" i="38" s="1"/>
  <c r="S482" i="38"/>
  <c r="F85" i="82"/>
  <c r="M85" i="82"/>
  <c r="M18" i="74"/>
  <c r="F19" i="82"/>
  <c r="H18" i="74"/>
  <c r="M19" i="82"/>
  <c r="K85" i="82"/>
  <c r="C85" i="82"/>
  <c r="H85" i="82"/>
  <c r="C18" i="74"/>
  <c r="C19" i="82"/>
  <c r="H19" i="82"/>
  <c r="Q2" i="82" l="1"/>
  <c r="Q5" i="82" s="1"/>
  <c r="Q9" i="83"/>
  <c r="N482" i="38"/>
  <c r="O482" i="38" s="1"/>
  <c r="M66" i="82"/>
  <c r="Q10" i="82" s="1"/>
  <c r="P482" i="38"/>
  <c r="Q3" i="82" l="1"/>
  <c r="Q6" i="82" s="1"/>
  <c r="Q8" i="82"/>
  <c r="Q7" i="82" s="1"/>
  <c r="F23" i="46"/>
  <c r="G23" i="46"/>
  <c r="H2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O481" i="38" s="1"/>
  <c r="P481" i="38"/>
  <c r="F32" i="31"/>
  <c r="G32" i="31"/>
  <c r="H32" i="31"/>
  <c r="D480" i="38"/>
  <c r="E480" i="38"/>
  <c r="G480" i="38"/>
  <c r="H480" i="38"/>
  <c r="K480" i="38"/>
  <c r="L480" i="38" s="1"/>
  <c r="M480" i="38"/>
  <c r="U480" i="38" s="1"/>
  <c r="S480" i="38"/>
  <c r="N480" i="38" l="1"/>
  <c r="O480" i="38" s="1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N479" i="38" l="1"/>
  <c r="O479" i="38" s="1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P478" i="38" l="1"/>
  <c r="N478" i="38"/>
  <c r="O478" i="38" s="1"/>
  <c r="D477" i="38"/>
  <c r="E477" i="38"/>
  <c r="G477" i="38"/>
  <c r="H477" i="38"/>
  <c r="K477" i="38"/>
  <c r="L477" i="38" s="1"/>
  <c r="M477" i="38"/>
  <c r="U477" i="38" s="1"/>
  <c r="S477" i="38"/>
  <c r="H23" i="57"/>
  <c r="N477" i="38" l="1"/>
  <c r="O477" i="38" s="1"/>
  <c r="P477" i="38"/>
  <c r="F31" i="31"/>
  <c r="G31" i="31"/>
  <c r="H31" i="31"/>
  <c r="F32" i="77"/>
  <c r="H32" i="77"/>
  <c r="G32" i="77"/>
  <c r="L71" i="51" l="1"/>
  <c r="D476" i="38" l="1"/>
  <c r="E476" i="38"/>
  <c r="G476" i="38"/>
  <c r="H476" i="38"/>
  <c r="K476" i="38"/>
  <c r="L476" i="38" s="1"/>
  <c r="M476" i="38"/>
  <c r="N476" i="38" s="1"/>
  <c r="O476" i="38" s="1"/>
  <c r="S476" i="38"/>
  <c r="F71" i="51"/>
  <c r="G71" i="51"/>
  <c r="H71" i="51"/>
  <c r="F70" i="51"/>
  <c r="G70" i="51"/>
  <c r="H70" i="51"/>
  <c r="F114" i="25"/>
  <c r="G114" i="25"/>
  <c r="H114" i="25"/>
  <c r="K15" i="25"/>
  <c r="F29" i="78"/>
  <c r="H29" i="78"/>
  <c r="G29" i="78"/>
  <c r="F29" i="70"/>
  <c r="H29" i="70"/>
  <c r="G29" i="70"/>
  <c r="K5" i="51"/>
  <c r="F6" i="70"/>
  <c r="F113" i="25"/>
  <c r="H113" i="25"/>
  <c r="G113" i="25"/>
  <c r="F44" i="25"/>
  <c r="F28" i="78"/>
  <c r="G28" i="78"/>
  <c r="H28" i="78"/>
  <c r="F2" i="78"/>
  <c r="K3" i="70"/>
  <c r="F20" i="51"/>
  <c r="F19" i="51"/>
  <c r="F18" i="51"/>
  <c r="P476" i="38" l="1"/>
  <c r="U476" i="38"/>
  <c r="D475" i="38"/>
  <c r="E475" i="38"/>
  <c r="G475" i="38"/>
  <c r="H475" i="38"/>
  <c r="K475" i="38"/>
  <c r="L475" i="38" s="1"/>
  <c r="M475" i="38"/>
  <c r="U475" i="38" s="1"/>
  <c r="S475" i="38"/>
  <c r="H74" i="46"/>
  <c r="G74" i="46"/>
  <c r="F74" i="46"/>
  <c r="H73" i="46"/>
  <c r="G73" i="46"/>
  <c r="F73" i="46"/>
  <c r="H72" i="46"/>
  <c r="G72" i="46"/>
  <c r="F72" i="46"/>
  <c r="H71" i="46"/>
  <c r="G71" i="46"/>
  <c r="F71" i="46"/>
  <c r="H70" i="46"/>
  <c r="G70" i="46"/>
  <c r="F70" i="46"/>
  <c r="H69" i="46"/>
  <c r="G69" i="46"/>
  <c r="F69" i="46"/>
  <c r="H68" i="46"/>
  <c r="G68" i="46"/>
  <c r="F68" i="46"/>
  <c r="H67" i="46"/>
  <c r="G67" i="46"/>
  <c r="F67" i="46"/>
  <c r="H66" i="46"/>
  <c r="G66" i="46"/>
  <c r="F66" i="46"/>
  <c r="H65" i="46"/>
  <c r="G65" i="46"/>
  <c r="F65" i="46"/>
  <c r="H64" i="46"/>
  <c r="G64" i="46"/>
  <c r="F64" i="46"/>
  <c r="F2" i="46"/>
  <c r="P475" i="38" l="1"/>
  <c r="N475" i="38"/>
  <c r="O475" i="38" s="1"/>
  <c r="M80" i="61" l="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49" i="58"/>
  <c r="G49" i="58"/>
  <c r="H4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12" i="25"/>
  <c r="H112" i="25"/>
  <c r="G112" i="25"/>
  <c r="K14" i="25"/>
  <c r="F96" i="31"/>
  <c r="C78" i="75"/>
  <c r="C96" i="31"/>
  <c r="F78" i="75"/>
  <c r="M96" i="31"/>
  <c r="H78" i="75"/>
  <c r="K78" i="75"/>
  <c r="M78" i="75"/>
  <c r="K96" i="31"/>
  <c r="H96" i="31"/>
  <c r="P474" i="38" l="1"/>
  <c r="N474" i="38"/>
  <c r="O474" i="38" s="1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48" i="58"/>
  <c r="G48" i="58"/>
  <c r="H48" i="58"/>
  <c r="F14" i="58"/>
  <c r="H18" i="64"/>
  <c r="F36" i="64"/>
  <c r="G36" i="64"/>
  <c r="H36" i="64"/>
  <c r="H19" i="64"/>
  <c r="M85" i="64"/>
  <c r="H85" i="64"/>
  <c r="K19" i="64"/>
  <c r="M19" i="64"/>
  <c r="K85" i="64"/>
  <c r="M54" i="31" l="1"/>
  <c r="Q10" i="31" s="1"/>
  <c r="M59" i="75"/>
  <c r="Q10" i="75" s="1"/>
  <c r="N473" i="38"/>
  <c r="O473" i="38" s="1"/>
  <c r="P473" i="38"/>
  <c r="F27" i="78"/>
  <c r="G27" i="78"/>
  <c r="H27" i="78"/>
  <c r="S472" i="38"/>
  <c r="F69" i="51" l="1"/>
  <c r="G69" i="51"/>
  <c r="H69" i="51"/>
  <c r="D472" i="38" l="1"/>
  <c r="E472" i="38"/>
  <c r="G472" i="38"/>
  <c r="H472" i="38"/>
  <c r="K472" i="38"/>
  <c r="L472" i="38" s="1"/>
  <c r="M472" i="38"/>
  <c r="P472" i="38" l="1"/>
  <c r="N472" i="38"/>
  <c r="O472" i="38" s="1"/>
  <c r="U472" i="38"/>
  <c r="D471" i="38"/>
  <c r="E471" i="38"/>
  <c r="G471" i="38"/>
  <c r="H471" i="38"/>
  <c r="K471" i="38"/>
  <c r="L471" i="38" s="1"/>
  <c r="M471" i="38"/>
  <c r="N471" i="38" s="1"/>
  <c r="O471" i="38" s="1"/>
  <c r="S471" i="38"/>
  <c r="K50" i="63"/>
  <c r="F50" i="63"/>
  <c r="F45" i="43"/>
  <c r="H45" i="43"/>
  <c r="G45" i="43"/>
  <c r="K3" i="43"/>
  <c r="F111" i="25"/>
  <c r="H111" i="25"/>
  <c r="G111" i="25"/>
  <c r="K13" i="25"/>
  <c r="F28" i="63"/>
  <c r="G28" i="63"/>
  <c r="H28" i="63"/>
  <c r="F9" i="43"/>
  <c r="P471" i="38" l="1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O470" i="38" s="1"/>
  <c r="S470" i="38"/>
  <c r="P470" i="38" l="1"/>
  <c r="D469" i="38"/>
  <c r="E469" i="38"/>
  <c r="G469" i="38"/>
  <c r="H469" i="38"/>
  <c r="K469" i="38"/>
  <c r="L469" i="38" s="1"/>
  <c r="M469" i="38"/>
  <c r="N469" i="38" s="1"/>
  <c r="O469" i="38" s="1"/>
  <c r="S469" i="38"/>
  <c r="P469" i="38" l="1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O468" i="38" s="1"/>
  <c r="S468" i="38"/>
  <c r="M84" i="81"/>
  <c r="K84" i="81"/>
  <c r="H84" i="81"/>
  <c r="F84" i="81"/>
  <c r="C84" i="81"/>
  <c r="P61" i="81"/>
  <c r="P60" i="81"/>
  <c r="P59" i="81"/>
  <c r="P58" i="81"/>
  <c r="P57" i="81"/>
  <c r="P56" i="81"/>
  <c r="P55" i="81"/>
  <c r="P54" i="81"/>
  <c r="P53" i="81"/>
  <c r="P52" i="81"/>
  <c r="P51" i="81"/>
  <c r="P50" i="81"/>
  <c r="P49" i="81"/>
  <c r="P48" i="81"/>
  <c r="P47" i="81"/>
  <c r="P46" i="81"/>
  <c r="P45" i="81"/>
  <c r="P44" i="81"/>
  <c r="P43" i="81"/>
  <c r="P42" i="81"/>
  <c r="P41" i="81"/>
  <c r="M18" i="81"/>
  <c r="K18" i="81"/>
  <c r="H18" i="81"/>
  <c r="F27" i="63"/>
  <c r="G27" i="63"/>
  <c r="H27" i="63"/>
  <c r="C85" i="81"/>
  <c r="M19" i="81"/>
  <c r="H85" i="81"/>
  <c r="F85" i="81"/>
  <c r="K85" i="81"/>
  <c r="M85" i="81"/>
  <c r="F19" i="81"/>
  <c r="C19" i="81"/>
  <c r="H19" i="81"/>
  <c r="M66" i="81" l="1"/>
  <c r="J29" i="81" s="1"/>
  <c r="P468" i="38"/>
  <c r="Q2" i="81"/>
  <c r="Q5" i="81" s="1"/>
  <c r="H467" i="38"/>
  <c r="D467" i="38"/>
  <c r="E467" i="38"/>
  <c r="K467" i="38"/>
  <c r="L467" i="38" s="1"/>
  <c r="M467" i="38"/>
  <c r="N467" i="38" s="1"/>
  <c r="O467" i="38" s="1"/>
  <c r="S467" i="38"/>
  <c r="F2" i="70"/>
  <c r="F18" i="70" s="1"/>
  <c r="Q10" i="81" l="1"/>
  <c r="J28" i="81"/>
  <c r="J27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O466" i="38" s="1"/>
  <c r="S466" i="38"/>
  <c r="F110" i="25"/>
  <c r="H110" i="25"/>
  <c r="G110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C85" i="80"/>
  <c r="C19" i="80"/>
  <c r="K19" i="80"/>
  <c r="H19" i="80"/>
  <c r="K85" i="80"/>
  <c r="F19" i="80"/>
  <c r="F85" i="80"/>
  <c r="H85" i="80"/>
  <c r="M85" i="80"/>
  <c r="M19" i="80"/>
  <c r="Q9" i="81" l="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O465" i="38" s="1"/>
  <c r="S465" i="38"/>
  <c r="Q3" i="80" l="1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O464" i="38" s="1"/>
  <c r="S464" i="38"/>
  <c r="F29" i="77"/>
  <c r="G29" i="77"/>
  <c r="H29" i="77"/>
  <c r="K2" i="77"/>
  <c r="K18" i="77" s="1"/>
  <c r="F42" i="25"/>
  <c r="K19" i="77"/>
  <c r="Q7" i="80" l="1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68" i="51"/>
  <c r="G68" i="51"/>
  <c r="H68" i="51"/>
  <c r="F17" i="51"/>
  <c r="D463" i="38"/>
  <c r="E463" i="38"/>
  <c r="G463" i="38"/>
  <c r="H463" i="38"/>
  <c r="K463" i="38"/>
  <c r="L463" i="38" s="1"/>
  <c r="M463" i="38"/>
  <c r="N463" i="38" s="1"/>
  <c r="O463" i="38" s="1"/>
  <c r="S463" i="38"/>
  <c r="H19" i="79"/>
  <c r="K65" i="79"/>
  <c r="F65" i="79"/>
  <c r="C19" i="79"/>
  <c r="H65" i="79"/>
  <c r="C65" i="79"/>
  <c r="M65" i="79"/>
  <c r="K19" i="79"/>
  <c r="M19" i="79"/>
  <c r="F19" i="79"/>
  <c r="P463" i="38" l="1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O462" i="38" s="1"/>
  <c r="S462" i="38"/>
  <c r="U462" i="38" l="1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O461" i="38" s="1"/>
  <c r="P461" i="38"/>
  <c r="D460" i="38"/>
  <c r="E460" i="38"/>
  <c r="G460" i="38"/>
  <c r="H460" i="38"/>
  <c r="K460" i="38"/>
  <c r="L460" i="38" s="1"/>
  <c r="M460" i="38"/>
  <c r="U460" i="38" s="1"/>
  <c r="S460" i="38"/>
  <c r="N460" i="38" l="1"/>
  <c r="O460" i="38" s="1"/>
  <c r="P460" i="38"/>
  <c r="D459" i="38"/>
  <c r="E459" i="38"/>
  <c r="G459" i="38"/>
  <c r="H459" i="38"/>
  <c r="K459" i="38"/>
  <c r="L459" i="38" s="1"/>
  <c r="M459" i="38"/>
  <c r="U459" i="38" s="1"/>
  <c r="S459" i="38"/>
  <c r="N459" i="38" l="1"/>
  <c r="O459" i="38" s="1"/>
  <c r="P459" i="38"/>
  <c r="F109" i="25"/>
  <c r="G109" i="25"/>
  <c r="H109" i="25"/>
  <c r="D458" i="38" l="1"/>
  <c r="E458" i="38"/>
  <c r="G458" i="38"/>
  <c r="H458" i="38"/>
  <c r="K458" i="38"/>
  <c r="L458" i="38" s="1"/>
  <c r="M458" i="38"/>
  <c r="U458" i="38" s="1"/>
  <c r="S458" i="38"/>
  <c r="P458" i="38" l="1"/>
  <c r="N458" i="38"/>
  <c r="O458" i="38" s="1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08" i="25"/>
  <c r="H108" i="25"/>
  <c r="G108" i="25"/>
  <c r="F39" i="25"/>
  <c r="K12" i="25"/>
  <c r="H13" i="40"/>
  <c r="H29" i="40" s="1"/>
  <c r="P457" i="38" l="1"/>
  <c r="N457" i="38"/>
  <c r="O457" i="38" s="1"/>
  <c r="F44" i="43"/>
  <c r="G44" i="43"/>
  <c r="H44" i="43"/>
  <c r="D456" i="38"/>
  <c r="E456" i="38"/>
  <c r="G456" i="38"/>
  <c r="H456" i="38"/>
  <c r="K456" i="38"/>
  <c r="L456" i="38" s="1"/>
  <c r="M456" i="38"/>
  <c r="N456" i="38" s="1"/>
  <c r="O456" i="38" s="1"/>
  <c r="S456" i="38"/>
  <c r="P456" i="38" l="1"/>
  <c r="F47" i="58"/>
  <c r="H47" i="58"/>
  <c r="G47" i="58"/>
  <c r="F13" i="58"/>
  <c r="F12" i="58"/>
  <c r="D455" i="38" l="1"/>
  <c r="E455" i="38"/>
  <c r="G455" i="38"/>
  <c r="H455" i="38"/>
  <c r="K455" i="38"/>
  <c r="L455" i="38" s="1"/>
  <c r="M455" i="38"/>
  <c r="N455" i="38" s="1"/>
  <c r="O455" i="38" s="1"/>
  <c r="S455" i="38"/>
  <c r="F26" i="78"/>
  <c r="G26" i="78"/>
  <c r="H26" i="78"/>
  <c r="F26" i="63"/>
  <c r="G26" i="63"/>
  <c r="H26" i="63"/>
  <c r="H26" i="77"/>
  <c r="F27" i="77"/>
  <c r="G27" i="77"/>
  <c r="H27" i="77"/>
  <c r="P455" i="38" l="1"/>
  <c r="D454" i="38"/>
  <c r="E454" i="38"/>
  <c r="G454" i="38"/>
  <c r="H454" i="38"/>
  <c r="K454" i="38"/>
  <c r="L454" i="38" s="1"/>
  <c r="M454" i="38"/>
  <c r="N454" i="38" s="1"/>
  <c r="O454" i="38" s="1"/>
  <c r="S454" i="38"/>
  <c r="F107" i="25"/>
  <c r="G107" i="25"/>
  <c r="H107" i="25"/>
  <c r="K11" i="25"/>
  <c r="K103" i="7"/>
  <c r="F67" i="51"/>
  <c r="G67" i="51"/>
  <c r="H67" i="51"/>
  <c r="K4" i="51"/>
  <c r="P454" i="38" l="1"/>
  <c r="D453" i="38"/>
  <c r="E453" i="38"/>
  <c r="G453" i="38"/>
  <c r="H453" i="38"/>
  <c r="K453" i="38"/>
  <c r="L453" i="38" s="1"/>
  <c r="M453" i="38"/>
  <c r="N453" i="38" s="1"/>
  <c r="O453" i="38" s="1"/>
  <c r="S453" i="38"/>
  <c r="F106" i="25"/>
  <c r="H106" i="25"/>
  <c r="G106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P453" i="38" l="1"/>
  <c r="F35" i="64"/>
  <c r="H35" i="64"/>
  <c r="G35" i="64"/>
  <c r="D452" i="38"/>
  <c r="E452" i="38"/>
  <c r="G452" i="38"/>
  <c r="H452" i="38"/>
  <c r="K452" i="38"/>
  <c r="L452" i="38" s="1"/>
  <c r="M452" i="38"/>
  <c r="N452" i="38" s="1"/>
  <c r="O452" i="38" s="1"/>
  <c r="S452" i="38"/>
  <c r="P452" i="38" l="1"/>
  <c r="F46" i="58"/>
  <c r="H46" i="58"/>
  <c r="G46" i="58"/>
  <c r="F11" i="58"/>
  <c r="D451" i="38" l="1"/>
  <c r="E451" i="38"/>
  <c r="G451" i="38"/>
  <c r="H451" i="38"/>
  <c r="K451" i="38"/>
  <c r="L451" i="38" s="1"/>
  <c r="M451" i="38"/>
  <c r="N451" i="38" s="1"/>
  <c r="O451" i="38" s="1"/>
  <c r="S451" i="38"/>
  <c r="F45" i="58"/>
  <c r="H45" i="58"/>
  <c r="G45" i="58"/>
  <c r="F44" i="58"/>
  <c r="H44" i="58"/>
  <c r="G44" i="58"/>
  <c r="K5" i="58"/>
  <c r="P451" i="38" l="1"/>
  <c r="D450" i="38"/>
  <c r="E450" i="38"/>
  <c r="G450" i="38"/>
  <c r="H450" i="38"/>
  <c r="K450" i="38"/>
  <c r="L450" i="38" s="1"/>
  <c r="M450" i="38"/>
  <c r="N450" i="38" s="1"/>
  <c r="O450" i="38" s="1"/>
  <c r="S450" i="38"/>
  <c r="P450" i="38" l="1"/>
  <c r="F66" i="51"/>
  <c r="G66" i="51"/>
  <c r="H66" i="51"/>
  <c r="F43" i="43"/>
  <c r="G43" i="43"/>
  <c r="H43" i="43"/>
  <c r="F105" i="25"/>
  <c r="G105" i="25"/>
  <c r="H105" i="25"/>
  <c r="D449" i="38"/>
  <c r="E449" i="38"/>
  <c r="G449" i="38"/>
  <c r="H449" i="38"/>
  <c r="K449" i="38"/>
  <c r="L449" i="38" s="1"/>
  <c r="P449" i="38" s="1"/>
  <c r="M449" i="38"/>
  <c r="N449" i="38" s="1"/>
  <c r="O449" i="38" s="1"/>
  <c r="S449" i="38"/>
  <c r="Q11" i="78" l="1"/>
  <c r="D448" i="38"/>
  <c r="E448" i="38"/>
  <c r="G448" i="38"/>
  <c r="H448" i="38"/>
  <c r="K448" i="38"/>
  <c r="L448" i="38" s="1"/>
  <c r="M448" i="38"/>
  <c r="N448" i="38" s="1"/>
  <c r="O448" i="38" s="1"/>
  <c r="S448" i="38"/>
  <c r="P448" i="38" l="1"/>
  <c r="F9" i="58" l="1"/>
  <c r="D447" i="38"/>
  <c r="E447" i="38"/>
  <c r="G447" i="38"/>
  <c r="H447" i="38"/>
  <c r="K447" i="38"/>
  <c r="L447" i="38" s="1"/>
  <c r="M447" i="38"/>
  <c r="N447" i="38" s="1"/>
  <c r="O447" i="38" s="1"/>
  <c r="S447" i="38"/>
  <c r="P447" i="38" l="1"/>
  <c r="M84" i="78"/>
  <c r="K84" i="78"/>
  <c r="H84" i="78"/>
  <c r="F84" i="78"/>
  <c r="C84" i="78"/>
  <c r="P61" i="78"/>
  <c r="P60" i="78"/>
  <c r="P59" i="78"/>
  <c r="P58" i="78"/>
  <c r="P57" i="78"/>
  <c r="P56" i="78"/>
  <c r="P55" i="78"/>
  <c r="P54" i="78"/>
  <c r="P53" i="78"/>
  <c r="P52" i="78"/>
  <c r="P51" i="78"/>
  <c r="P50" i="78"/>
  <c r="P49" i="78"/>
  <c r="P48" i="78"/>
  <c r="P47" i="78"/>
  <c r="P46" i="78"/>
  <c r="P45" i="78"/>
  <c r="P44" i="78"/>
  <c r="P43" i="78"/>
  <c r="P42" i="78"/>
  <c r="P41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43" i="58"/>
  <c r="H43" i="58"/>
  <c r="G4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M19" i="78"/>
  <c r="F85" i="78"/>
  <c r="K85" i="78"/>
  <c r="M85" i="78"/>
  <c r="K19" i="78"/>
  <c r="C85" i="78"/>
  <c r="F19" i="78"/>
  <c r="H19" i="78"/>
  <c r="H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O446" i="38" s="1"/>
  <c r="P446" i="38"/>
  <c r="D445" i="38"/>
  <c r="E445" i="38"/>
  <c r="G445" i="38"/>
  <c r="H445" i="38"/>
  <c r="K445" i="38"/>
  <c r="L445" i="38" s="1"/>
  <c r="M445" i="38"/>
  <c r="U445" i="38" s="1"/>
  <c r="S445" i="38"/>
  <c r="Q9" i="78" l="1"/>
  <c r="P445" i="38"/>
  <c r="N445" i="38"/>
  <c r="O445" i="38" s="1"/>
  <c r="H65" i="51"/>
  <c r="G65" i="51"/>
  <c r="F65" i="51"/>
  <c r="F16" i="51"/>
  <c r="F42" i="58"/>
  <c r="G42" i="58"/>
  <c r="H42" i="58"/>
  <c r="D444" i="38"/>
  <c r="E444" i="38"/>
  <c r="G444" i="38"/>
  <c r="H444" i="38"/>
  <c r="K444" i="38"/>
  <c r="L444" i="38" s="1"/>
  <c r="M444" i="38"/>
  <c r="U444" i="38" s="1"/>
  <c r="S444" i="38"/>
  <c r="P444" i="38" l="1"/>
  <c r="N444" i="38"/>
  <c r="O444" i="38" s="1"/>
  <c r="D443" i="38"/>
  <c r="E443" i="38"/>
  <c r="G443" i="38"/>
  <c r="H443" i="38"/>
  <c r="K443" i="38"/>
  <c r="L443" i="38" s="1"/>
  <c r="M443" i="38"/>
  <c r="U443" i="38" s="1"/>
  <c r="S443" i="38"/>
  <c r="G64" i="51"/>
  <c r="F15" i="51"/>
  <c r="F14" i="51"/>
  <c r="P443" i="38" l="1"/>
  <c r="N443" i="38"/>
  <c r="O443" i="38" s="1"/>
  <c r="D442" i="38"/>
  <c r="E442" i="38"/>
  <c r="G442" i="38"/>
  <c r="H442" i="38"/>
  <c r="K442" i="38"/>
  <c r="L442" i="38" s="1"/>
  <c r="M442" i="38"/>
  <c r="N442" i="38" s="1"/>
  <c r="O442" i="38" s="1"/>
  <c r="S442" i="38"/>
  <c r="F41" i="58"/>
  <c r="H41" i="58"/>
  <c r="G41" i="58"/>
  <c r="F42" i="43"/>
  <c r="H42" i="43"/>
  <c r="G42" i="43"/>
  <c r="F8" i="43"/>
  <c r="K2" i="43"/>
  <c r="F8" i="58"/>
  <c r="K19" i="43"/>
  <c r="K18" i="43" l="1"/>
  <c r="P442" i="38"/>
  <c r="U442" i="38"/>
  <c r="M69" i="25"/>
  <c r="F104" i="25"/>
  <c r="H104" i="25"/>
  <c r="G104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O441" i="38" s="1"/>
  <c r="P441" i="38"/>
  <c r="E440" i="38"/>
  <c r="H440" i="38"/>
  <c r="K440" i="38"/>
  <c r="L440" i="38" s="1"/>
  <c r="M440" i="38"/>
  <c r="U440" i="38" s="1"/>
  <c r="S440" i="38"/>
  <c r="F40" i="58"/>
  <c r="H40" i="58"/>
  <c r="G40" i="58"/>
  <c r="K3" i="58"/>
  <c r="N440" i="38" l="1"/>
  <c r="O440" i="38" s="1"/>
  <c r="P440" i="38"/>
  <c r="E439" i="38"/>
  <c r="H439" i="38"/>
  <c r="K439" i="38"/>
  <c r="L439" i="38" s="1"/>
  <c r="P439" i="38" s="1"/>
  <c r="M439" i="38"/>
  <c r="U439" i="38" s="1"/>
  <c r="S439" i="38"/>
  <c r="N439" i="38" l="1"/>
  <c r="O439" i="38" s="1"/>
  <c r="E438" i="38"/>
  <c r="H438" i="38"/>
  <c r="K438" i="38"/>
  <c r="L438" i="38" s="1"/>
  <c r="P438" i="38" s="1"/>
  <c r="M438" i="38"/>
  <c r="U438" i="38" s="1"/>
  <c r="S438" i="38"/>
  <c r="N438" i="38" l="1"/>
  <c r="O438" i="38" s="1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P437" i="38" l="1"/>
  <c r="N437" i="38"/>
  <c r="O437" i="38" s="1"/>
  <c r="E436" i="38"/>
  <c r="H436" i="38"/>
  <c r="K436" i="38"/>
  <c r="L436" i="38" s="1"/>
  <c r="M436" i="38"/>
  <c r="U436" i="38" s="1"/>
  <c r="S436" i="38"/>
  <c r="M84" i="77"/>
  <c r="H84" i="77"/>
  <c r="C84" i="77"/>
  <c r="K84" i="77"/>
  <c r="F84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5" i="77"/>
  <c r="H85" i="77"/>
  <c r="H19" i="77"/>
  <c r="K85" i="77"/>
  <c r="F19" i="77"/>
  <c r="M85" i="77"/>
  <c r="C19" i="77"/>
  <c r="C85" i="77"/>
  <c r="M19" i="77"/>
  <c r="Q2" i="77" l="1"/>
  <c r="Q3" i="77" s="1"/>
  <c r="Q6" i="77" s="1"/>
  <c r="N436" i="38"/>
  <c r="O436" i="38" s="1"/>
  <c r="P435" i="38"/>
  <c r="P436" i="38"/>
  <c r="M66" i="77"/>
  <c r="Q10" i="77" s="1"/>
  <c r="N435" i="38"/>
  <c r="O435" i="38" s="1"/>
  <c r="E434" i="38"/>
  <c r="H434" i="38"/>
  <c r="K434" i="38"/>
  <c r="L434" i="38" s="1"/>
  <c r="P434" i="38" s="1"/>
  <c r="M434" i="38"/>
  <c r="U434" i="38" s="1"/>
  <c r="S434" i="38"/>
  <c r="F37" i="25"/>
  <c r="F36" i="25"/>
  <c r="Q8" i="77" l="1"/>
  <c r="Q9" i="77" s="1"/>
  <c r="Q5" i="77"/>
  <c r="N434" i="38"/>
  <c r="O434" i="38" s="1"/>
  <c r="F34" i="64"/>
  <c r="H34" i="64"/>
  <c r="G34" i="64"/>
  <c r="E433" i="38"/>
  <c r="H433" i="38"/>
  <c r="K433" i="38"/>
  <c r="M433" i="38"/>
  <c r="N433" i="38" s="1"/>
  <c r="O433" i="38" s="1"/>
  <c r="S433" i="38"/>
  <c r="Q7" i="77" l="1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O432" i="38" s="1"/>
  <c r="E431" i="38"/>
  <c r="H431" i="38"/>
  <c r="K431" i="38"/>
  <c r="L431" i="38" s="1"/>
  <c r="M431" i="38"/>
  <c r="U431" i="38" s="1"/>
  <c r="S431" i="38"/>
  <c r="N431" i="38" l="1"/>
  <c r="O431" i="38" s="1"/>
  <c r="P431" i="38"/>
  <c r="D430" i="38"/>
  <c r="E430" i="38"/>
  <c r="H430" i="38"/>
  <c r="K430" i="38"/>
  <c r="M430" i="38"/>
  <c r="U430" i="38" s="1"/>
  <c r="S430" i="38"/>
  <c r="N430" i="38" l="1"/>
  <c r="O430" i="38" s="1"/>
  <c r="L430" i="38"/>
  <c r="P430" i="38" s="1"/>
  <c r="D429" i="38"/>
  <c r="E429" i="38"/>
  <c r="H429" i="38"/>
  <c r="K429" i="38"/>
  <c r="L429" i="38" s="1"/>
  <c r="M429" i="38"/>
  <c r="N429" i="38" s="1"/>
  <c r="O429" i="38" s="1"/>
  <c r="S429" i="38"/>
  <c r="F103" i="25"/>
  <c r="H103" i="25"/>
  <c r="G103" i="25"/>
  <c r="F35" i="25"/>
  <c r="F34" i="25"/>
  <c r="P429" i="38" l="1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O428" i="38" s="1"/>
  <c r="D427" i="38"/>
  <c r="E427" i="38"/>
  <c r="H427" i="38"/>
  <c r="K427" i="38"/>
  <c r="L427" i="38" s="1"/>
  <c r="M427" i="38"/>
  <c r="U427" i="38" s="1"/>
  <c r="S427" i="38"/>
  <c r="P427" i="38" l="1"/>
  <c r="N427" i="38"/>
  <c r="O427" i="38" s="1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O426" i="38" s="1"/>
  <c r="S426" i="38"/>
  <c r="F63" i="51"/>
  <c r="G63" i="51"/>
  <c r="H63" i="51"/>
  <c r="L426" i="38" l="1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02" i="25"/>
  <c r="H102" i="25"/>
  <c r="G102" i="25"/>
  <c r="K10" i="25"/>
  <c r="E424" i="38"/>
  <c r="H424" i="38"/>
  <c r="K424" i="38"/>
  <c r="L424" i="38" s="1"/>
  <c r="P424" i="38" s="1"/>
  <c r="M424" i="38"/>
  <c r="U424" i="38" s="1"/>
  <c r="S424" i="38"/>
  <c r="N424" i="38" l="1"/>
  <c r="O424" i="38" s="1"/>
  <c r="M73" i="76"/>
  <c r="Q10" i="76" s="1"/>
  <c r="N425" i="38"/>
  <c r="O425" i="38" s="1"/>
  <c r="F101" i="25"/>
  <c r="H101" i="25"/>
  <c r="G101" i="25"/>
  <c r="F33" i="25"/>
  <c r="F266" i="7"/>
  <c r="H266" i="7"/>
  <c r="G266" i="7"/>
  <c r="K102" i="7"/>
  <c r="G23" i="50"/>
  <c r="K23" i="50" s="1"/>
  <c r="F23" i="50"/>
  <c r="M18" i="50"/>
  <c r="C18" i="50"/>
  <c r="F18" i="50"/>
  <c r="F100" i="25"/>
  <c r="H100" i="25"/>
  <c r="G100" i="25"/>
  <c r="K9" i="25"/>
  <c r="F32" i="25"/>
  <c r="E423" i="38" l="1"/>
  <c r="H423" i="38"/>
  <c r="K423" i="38"/>
  <c r="L423" i="38" s="1"/>
  <c r="P423" i="38" s="1"/>
  <c r="M423" i="38"/>
  <c r="U423" i="38" s="1"/>
  <c r="S423" i="38"/>
  <c r="F99" i="25"/>
  <c r="H99" i="25"/>
  <c r="G99" i="25"/>
  <c r="F31" i="25"/>
  <c r="F265" i="7"/>
  <c r="H265" i="7"/>
  <c r="G265" i="7"/>
  <c r="K101" i="7"/>
  <c r="N423" i="38" l="1"/>
  <c r="O423" i="38" s="1"/>
  <c r="F32" i="64"/>
  <c r="H32" i="64"/>
  <c r="G32" i="64"/>
  <c r="E422" i="38"/>
  <c r="H422" i="38"/>
  <c r="K422" i="38"/>
  <c r="L422" i="38" s="1"/>
  <c r="M422" i="38"/>
  <c r="U422" i="38" s="1"/>
  <c r="S422" i="38"/>
  <c r="P422" i="38" l="1"/>
  <c r="N422" i="38"/>
  <c r="O422" i="38" s="1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N421" i="38" l="1"/>
  <c r="O421" i="38" s="1"/>
  <c r="P421" i="38"/>
  <c r="E420" i="38"/>
  <c r="H420" i="38"/>
  <c r="K420" i="38"/>
  <c r="L420" i="38" s="1"/>
  <c r="M420" i="38"/>
  <c r="U420" i="38" s="1"/>
  <c r="S420" i="38"/>
  <c r="F39" i="58"/>
  <c r="H39" i="58"/>
  <c r="G39" i="58"/>
  <c r="F7" i="58"/>
  <c r="P420" i="38" l="1"/>
  <c r="N420" i="38"/>
  <c r="O420" i="38" s="1"/>
  <c r="E419" i="38"/>
  <c r="H419" i="38"/>
  <c r="K419" i="38"/>
  <c r="L419" i="38" s="1"/>
  <c r="M419" i="38"/>
  <c r="U419" i="38" s="1"/>
  <c r="S419" i="38"/>
  <c r="F264" i="7"/>
  <c r="G264" i="7"/>
  <c r="H264" i="7"/>
  <c r="F98" i="25"/>
  <c r="H98" i="25"/>
  <c r="G98" i="25"/>
  <c r="F31" i="64"/>
  <c r="H31" i="64"/>
  <c r="G31" i="64"/>
  <c r="P419" i="38" l="1"/>
  <c r="N419" i="38"/>
  <c r="O419" i="38" s="1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F158" i="1" l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O418" i="38" s="1"/>
  <c r="S418" i="38"/>
  <c r="F263" i="7"/>
  <c r="H263" i="7"/>
  <c r="G263" i="7"/>
  <c r="K100" i="7"/>
  <c r="N158" i="1" l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O417" i="38" s="1"/>
  <c r="S417" i="38"/>
  <c r="F262" i="7"/>
  <c r="H262" i="7"/>
  <c r="G262" i="7"/>
  <c r="K99" i="7"/>
  <c r="F41" i="43"/>
  <c r="H41" i="43"/>
  <c r="G41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P417" i="38" l="1"/>
  <c r="U417" i="38"/>
  <c r="E416" i="38"/>
  <c r="H416" i="38"/>
  <c r="K416" i="38"/>
  <c r="L416" i="38" s="1"/>
  <c r="M416" i="38"/>
  <c r="U416" i="38" s="1"/>
  <c r="S416" i="38"/>
  <c r="F97" i="25"/>
  <c r="H97" i="25"/>
  <c r="G97" i="25"/>
  <c r="K8" i="25"/>
  <c r="P416" i="38" l="1"/>
  <c r="N416" i="38"/>
  <c r="O416" i="38" s="1"/>
  <c r="F40" i="43"/>
  <c r="H40" i="43"/>
  <c r="G40" i="43"/>
  <c r="F38" i="58"/>
  <c r="H38" i="58"/>
  <c r="G38" i="58"/>
  <c r="F77" i="40"/>
  <c r="G77" i="40"/>
  <c r="H77" i="40"/>
  <c r="F62" i="51"/>
  <c r="G62" i="51"/>
  <c r="H62" i="51"/>
  <c r="F261" i="7"/>
  <c r="H261" i="7"/>
  <c r="G261" i="7"/>
  <c r="F96" i="25"/>
  <c r="H96" i="25"/>
  <c r="G96" i="25"/>
  <c r="E415" i="38" l="1"/>
  <c r="H415" i="38"/>
  <c r="K415" i="38"/>
  <c r="L415" i="38" s="1"/>
  <c r="P415" i="38" s="1"/>
  <c r="M415" i="38"/>
  <c r="U415" i="38" s="1"/>
  <c r="S415" i="38"/>
  <c r="F95" i="25"/>
  <c r="H95" i="25"/>
  <c r="G95" i="25"/>
  <c r="F30" i="25"/>
  <c r="F29" i="25"/>
  <c r="N415" i="38" l="1"/>
  <c r="O415" i="38" s="1"/>
  <c r="D414" i="38"/>
  <c r="E414" i="38"/>
  <c r="H414" i="38"/>
  <c r="K414" i="38"/>
  <c r="L414" i="38" s="1"/>
  <c r="M414" i="38"/>
  <c r="U414" i="38" s="1"/>
  <c r="S414" i="38"/>
  <c r="N414" i="38" l="1"/>
  <c r="O414" i="38" s="1"/>
  <c r="P414" i="38"/>
  <c r="D413" i="38"/>
  <c r="E413" i="38"/>
  <c r="H413" i="38"/>
  <c r="K413" i="38"/>
  <c r="M413" i="38"/>
  <c r="U413" i="38" s="1"/>
  <c r="S413" i="38"/>
  <c r="F37" i="58"/>
  <c r="H37" i="58"/>
  <c r="G37" i="58"/>
  <c r="F6" i="58"/>
  <c r="N413" i="38" l="1"/>
  <c r="O413" i="38" s="1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39" i="43"/>
  <c r="H39" i="43"/>
  <c r="G39" i="43"/>
  <c r="F36" i="58"/>
  <c r="H36" i="58"/>
  <c r="G36" i="58"/>
  <c r="F5" i="58"/>
  <c r="F260" i="7"/>
  <c r="H260" i="7"/>
  <c r="G260" i="7"/>
  <c r="F112" i="7"/>
  <c r="N412" i="38" l="1"/>
  <c r="O412" i="38" s="1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N411" i="38" l="1"/>
  <c r="O411" i="38" s="1"/>
  <c r="P411" i="38"/>
  <c r="F94" i="25"/>
  <c r="H94" i="25"/>
  <c r="G94" i="25"/>
  <c r="E410" i="38" l="1"/>
  <c r="H410" i="38"/>
  <c r="K410" i="38"/>
  <c r="L410" i="38" s="1"/>
  <c r="P410" i="38" s="1"/>
  <c r="M410" i="38"/>
  <c r="N410" i="38" s="1"/>
  <c r="O410" i="38" s="1"/>
  <c r="S410" i="38"/>
  <c r="U410" i="38" l="1"/>
  <c r="D409" i="38"/>
  <c r="E409" i="38"/>
  <c r="H409" i="38"/>
  <c r="K409" i="38"/>
  <c r="M409" i="38"/>
  <c r="N409" i="38" s="1"/>
  <c r="O409" i="38" s="1"/>
  <c r="S409" i="38"/>
  <c r="L409" i="38" l="1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O408" i="38" s="1"/>
  <c r="S408" i="38"/>
  <c r="P408" i="38" l="1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C77" i="69"/>
  <c r="M77" i="69"/>
  <c r="H77" i="69"/>
  <c r="F77" i="69"/>
  <c r="K77" i="69"/>
  <c r="N407" i="38" l="1"/>
  <c r="O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N406" i="38" l="1"/>
  <c r="O406" i="38" s="1"/>
  <c r="M58" i="69"/>
  <c r="Q10" i="69" s="1"/>
  <c r="P406" i="38"/>
  <c r="F38" i="43" l="1"/>
  <c r="H38" i="43"/>
  <c r="G38" i="43"/>
  <c r="F6" i="43"/>
  <c r="E405" i="38"/>
  <c r="H405" i="38"/>
  <c r="K405" i="38"/>
  <c r="L405" i="38" s="1"/>
  <c r="P405" i="38" s="1"/>
  <c r="M405" i="38"/>
  <c r="U405" i="38" s="1"/>
  <c r="S405" i="38"/>
  <c r="N405" i="38" l="1"/>
  <c r="O405" i="38" s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N404" i="38" l="1"/>
  <c r="O404" i="38" s="1"/>
  <c r="F93" i="25"/>
  <c r="H93" i="25"/>
  <c r="G93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N403" i="38" l="1"/>
  <c r="O403" i="38" s="1"/>
  <c r="P403" i="38"/>
  <c r="D402" i="38"/>
  <c r="E402" i="38"/>
  <c r="G402" i="38"/>
  <c r="H402" i="38"/>
  <c r="K402" i="38"/>
  <c r="L402" i="38" s="1"/>
  <c r="M402" i="38"/>
  <c r="U402" i="38" s="1"/>
  <c r="S402" i="38"/>
  <c r="N402" i="38" l="1"/>
  <c r="O402" i="38" s="1"/>
  <c r="P402" i="38"/>
  <c r="F18" i="76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AE10" i="76"/>
  <c r="AE9" i="76"/>
  <c r="AE8" i="76"/>
  <c r="AE7" i="76"/>
  <c r="AE6" i="76"/>
  <c r="AE5" i="76"/>
  <c r="AE4" i="76"/>
  <c r="AE3" i="76"/>
  <c r="AE2" i="76"/>
  <c r="K18" i="76"/>
  <c r="M19" i="76"/>
  <c r="C19" i="76"/>
  <c r="K19" i="76"/>
  <c r="H19" i="76"/>
  <c r="F19" i="76"/>
  <c r="Q2" i="76" l="1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s="1"/>
  <c r="Q9" i="76" l="1"/>
  <c r="F92" i="25"/>
  <c r="H92" i="25"/>
  <c r="G92" i="25"/>
  <c r="F27" i="25"/>
  <c r="E400" i="38"/>
  <c r="H400" i="38"/>
  <c r="K400" i="38"/>
  <c r="L400" i="38" s="1"/>
  <c r="M400" i="38"/>
  <c r="U400" i="38" s="1"/>
  <c r="S400" i="38"/>
  <c r="N400" i="38" l="1"/>
  <c r="O400" i="38" s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N399" i="38" l="1"/>
  <c r="O399" i="38" s="1"/>
  <c r="P399" i="38"/>
  <c r="F35" i="58" l="1"/>
  <c r="H35" i="58"/>
  <c r="G3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O398" i="38" s="1"/>
  <c r="S398" i="38"/>
  <c r="P398" i="38" l="1"/>
  <c r="U398" i="38"/>
  <c r="E397" i="38"/>
  <c r="H397" i="38"/>
  <c r="K397" i="38"/>
  <c r="L397" i="38" s="1"/>
  <c r="M397" i="38"/>
  <c r="U397" i="38" s="1"/>
  <c r="S397" i="38"/>
  <c r="P397" i="38" l="1"/>
  <c r="N397" i="38"/>
  <c r="O397" i="38" s="1"/>
  <c r="F255" i="7"/>
  <c r="H255" i="7"/>
  <c r="G255" i="7"/>
  <c r="F109" i="7"/>
  <c r="E396" i="38"/>
  <c r="H396" i="38"/>
  <c r="K396" i="38"/>
  <c r="L396" i="38" s="1"/>
  <c r="M396" i="38"/>
  <c r="U396" i="38" s="1"/>
  <c r="S396" i="38"/>
  <c r="N396" i="38" l="1"/>
  <c r="O396" i="38" s="1"/>
  <c r="P396" i="38"/>
  <c r="E395" i="38" l="1"/>
  <c r="H395" i="38"/>
  <c r="K395" i="38"/>
  <c r="L395" i="38" s="1"/>
  <c r="M395" i="38"/>
  <c r="N395" i="38" s="1"/>
  <c r="O395" i="38" s="1"/>
  <c r="S395" i="38"/>
  <c r="F37" i="43"/>
  <c r="H37" i="43"/>
  <c r="G37" i="43"/>
  <c r="F5" i="43"/>
  <c r="C18" i="69"/>
  <c r="P395" i="38" l="1"/>
  <c r="U395" i="38"/>
  <c r="D394" i="38"/>
  <c r="E394" i="38"/>
  <c r="H394" i="38"/>
  <c r="K394" i="38"/>
  <c r="L394" i="38" s="1"/>
  <c r="M394" i="38"/>
  <c r="U394" i="38" s="1"/>
  <c r="S394" i="38"/>
  <c r="F91" i="25"/>
  <c r="G91" i="25"/>
  <c r="H91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O393" i="38" s="1"/>
  <c r="P394" i="38"/>
  <c r="N394" i="38"/>
  <c r="O394" i="38" s="1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N392" i="38" l="1"/>
  <c r="O392" i="38" s="1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P391" i="38" l="1"/>
  <c r="N391" i="38"/>
  <c r="O391" i="38" s="1"/>
  <c r="F76" i="40"/>
  <c r="G76" i="40"/>
  <c r="H76" i="40"/>
  <c r="D390" i="38"/>
  <c r="E390" i="38"/>
  <c r="H390" i="38"/>
  <c r="K390" i="38"/>
  <c r="L390" i="38" s="1"/>
  <c r="M390" i="38"/>
  <c r="U390" i="38" s="1"/>
  <c r="S390" i="38"/>
  <c r="N390" i="38" l="1"/>
  <c r="O390" i="38" s="1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90" i="25"/>
  <c r="H90" i="25"/>
  <c r="G90" i="25"/>
  <c r="K6" i="25"/>
  <c r="N389" i="38" l="1"/>
  <c r="O389" i="38" s="1"/>
  <c r="P389" i="38"/>
  <c r="F89" i="25"/>
  <c r="G89" i="25"/>
  <c r="H89" i="25"/>
  <c r="D388" i="38"/>
  <c r="E388" i="38"/>
  <c r="G388" i="38"/>
  <c r="H388" i="38"/>
  <c r="K388" i="38"/>
  <c r="L388" i="38" s="1"/>
  <c r="M388" i="38"/>
  <c r="N388" i="38" s="1"/>
  <c r="O388" i="38" s="1"/>
  <c r="S388" i="38"/>
  <c r="F75" i="40"/>
  <c r="G75" i="40"/>
  <c r="H75" i="40"/>
  <c r="F88" i="25"/>
  <c r="G88" i="25"/>
  <c r="H88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U388" i="38" l="1"/>
  <c r="N387" i="38"/>
  <c r="O387" i="38" s="1"/>
  <c r="P388" i="38"/>
  <c r="P387" i="38"/>
  <c r="M74" i="41"/>
  <c r="H74" i="41"/>
  <c r="C74" i="41"/>
  <c r="M168" i="1"/>
  <c r="H168" i="1"/>
  <c r="C168" i="1"/>
  <c r="K168" i="1"/>
  <c r="F168" i="1"/>
  <c r="F61" i="51"/>
  <c r="G61" i="51"/>
  <c r="H61" i="51"/>
  <c r="F252" i="7"/>
  <c r="G252" i="7"/>
  <c r="H252" i="7"/>
  <c r="F87" i="25"/>
  <c r="G87" i="25"/>
  <c r="H87" i="25"/>
  <c r="K427" i="17"/>
  <c r="F427" i="17"/>
  <c r="N168" i="1" l="1"/>
  <c r="O168" i="1" s="1"/>
  <c r="E386" i="38"/>
  <c r="H386" i="38"/>
  <c r="K386" i="38"/>
  <c r="L386" i="38" s="1"/>
  <c r="P386" i="38" s="1"/>
  <c r="M386" i="38"/>
  <c r="U386" i="38" s="1"/>
  <c r="S386" i="38"/>
  <c r="N386" i="38" l="1"/>
  <c r="O386" i="38" s="1"/>
  <c r="E385" i="38"/>
  <c r="H385" i="38"/>
  <c r="K385" i="38"/>
  <c r="L385" i="38" s="1"/>
  <c r="P385" i="38" s="1"/>
  <c r="M385" i="38"/>
  <c r="U385" i="38" s="1"/>
  <c r="S385" i="38"/>
  <c r="N385" i="38" l="1"/>
  <c r="O385" i="38" s="1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86" i="25"/>
  <c r="G86" i="25"/>
  <c r="H86" i="25"/>
  <c r="F25" i="25"/>
  <c r="D383" i="38"/>
  <c r="E383" i="38"/>
  <c r="G383" i="38"/>
  <c r="H383" i="38"/>
  <c r="K383" i="38"/>
  <c r="L383" i="38" s="1"/>
  <c r="M383" i="38"/>
  <c r="U383" i="38" s="1"/>
  <c r="S383" i="38"/>
  <c r="N384" i="38" l="1"/>
  <c r="O384" i="38" s="1"/>
  <c r="P384" i="38"/>
  <c r="N383" i="38"/>
  <c r="O383" i="38" s="1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L382" i="38" l="1"/>
  <c r="P382" i="38" s="1"/>
  <c r="N382" i="38"/>
  <c r="O382" i="38" s="1"/>
  <c r="E381" i="38"/>
  <c r="H381" i="38"/>
  <c r="K381" i="38"/>
  <c r="L381" i="38" s="1"/>
  <c r="M381" i="38"/>
  <c r="U381" i="38" s="1"/>
  <c r="S381" i="38"/>
  <c r="F73" i="40"/>
  <c r="G73" i="40"/>
  <c r="H73" i="40"/>
  <c r="F17" i="40"/>
  <c r="F34" i="58"/>
  <c r="G34" i="58"/>
  <c r="H34" i="58"/>
  <c r="N381" i="38" l="1"/>
  <c r="O381" i="38" s="1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P380" i="38" l="1"/>
  <c r="N380" i="38"/>
  <c r="O380" i="38" s="1"/>
  <c r="K69" i="45"/>
  <c r="F69" i="45"/>
  <c r="F425" i="17"/>
  <c r="K424" i="17"/>
  <c r="F424" i="17"/>
  <c r="K423" i="17"/>
  <c r="F423" i="17"/>
  <c r="K422" i="17"/>
  <c r="F422" i="17"/>
  <c r="K421" i="17"/>
  <c r="F421" i="17"/>
  <c r="K420" i="17"/>
  <c r="F420" i="17"/>
  <c r="F85" i="25"/>
  <c r="G85" i="25"/>
  <c r="H85" i="25"/>
  <c r="F33" i="58"/>
  <c r="G33" i="58"/>
  <c r="H33" i="58"/>
  <c r="F60" i="51"/>
  <c r="G60" i="51"/>
  <c r="H60" i="51"/>
  <c r="F36" i="43"/>
  <c r="G36" i="43"/>
  <c r="H36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O379" i="38" s="1"/>
  <c r="S379" i="38"/>
  <c r="C29" i="40"/>
  <c r="F71" i="40"/>
  <c r="H71" i="40"/>
  <c r="G71" i="40"/>
  <c r="K10" i="40"/>
  <c r="K2" i="58"/>
  <c r="F16" i="40"/>
  <c r="K94" i="7"/>
  <c r="K3" i="51"/>
  <c r="Q2" i="40" l="1"/>
  <c r="P379" i="38"/>
  <c r="U379" i="38"/>
  <c r="F32" i="58"/>
  <c r="G32" i="58"/>
  <c r="H32" i="58"/>
  <c r="F70" i="40"/>
  <c r="G70" i="40"/>
  <c r="H70" i="40"/>
  <c r="F15" i="40"/>
  <c r="F59" i="51"/>
  <c r="G59" i="51"/>
  <c r="H59" i="51"/>
  <c r="F249" i="7"/>
  <c r="G249" i="7"/>
  <c r="H249" i="7"/>
  <c r="F84" i="25"/>
  <c r="G84" i="25"/>
  <c r="H84" i="25"/>
  <c r="D378" i="38"/>
  <c r="E378" i="38"/>
  <c r="H378" i="38"/>
  <c r="K378" i="38"/>
  <c r="L378" i="38" s="1"/>
  <c r="M378" i="38"/>
  <c r="N378" i="38" s="1"/>
  <c r="O378" i="38" s="1"/>
  <c r="S378" i="38"/>
  <c r="F13" i="51"/>
  <c r="F3" i="58"/>
  <c r="K5" i="25"/>
  <c r="F24" i="25"/>
  <c r="F107" i="7"/>
  <c r="P378" i="38" l="1"/>
  <c r="U378" i="38"/>
  <c r="F83" i="25"/>
  <c r="G83" i="25"/>
  <c r="H83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O377" i="38" s="1"/>
  <c r="S377" i="38"/>
  <c r="P377" i="38" l="1"/>
  <c r="U377" i="38"/>
  <c r="F82" i="25"/>
  <c r="G82" i="25"/>
  <c r="H82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O376" i="38" s="1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81" i="25"/>
  <c r="G81" i="25"/>
  <c r="H81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P375" i="38" l="1"/>
  <c r="N375" i="38"/>
  <c r="O375" i="38" s="1"/>
  <c r="F80" i="25"/>
  <c r="H80" i="25"/>
  <c r="G80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N374" i="38" l="1"/>
  <c r="O374" i="38" s="1"/>
  <c r="P374" i="38"/>
  <c r="E373" i="38"/>
  <c r="H373" i="38"/>
  <c r="K373" i="38"/>
  <c r="L373" i="38" s="1"/>
  <c r="M373" i="38"/>
  <c r="N373" i="38" s="1"/>
  <c r="O373" i="38" s="1"/>
  <c r="S373" i="38"/>
  <c r="P373" i="38" l="1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79" i="25"/>
  <c r="G79" i="25"/>
  <c r="H79" i="25"/>
  <c r="E372" i="38"/>
  <c r="H372" i="38"/>
  <c r="K372" i="38"/>
  <c r="L372" i="38" s="1"/>
  <c r="M372" i="38"/>
  <c r="U372" i="38" s="1"/>
  <c r="S372" i="38"/>
  <c r="N372" i="38" l="1"/>
  <c r="O372" i="38" s="1"/>
  <c r="P372" i="38"/>
  <c r="F78" i="25"/>
  <c r="G78" i="25"/>
  <c r="H78" i="25"/>
  <c r="E371" i="38"/>
  <c r="H371" i="38"/>
  <c r="K371" i="38"/>
  <c r="L371" i="38" s="1"/>
  <c r="P371" i="38" s="1"/>
  <c r="M371" i="38"/>
  <c r="U371" i="38" s="1"/>
  <c r="S371" i="38"/>
  <c r="F58" i="51"/>
  <c r="G58" i="51"/>
  <c r="H58" i="51"/>
  <c r="F12" i="51"/>
  <c r="N371" i="38" l="1"/>
  <c r="O371" i="38" s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77" i="25"/>
  <c r="G77" i="25"/>
  <c r="H77" i="25"/>
  <c r="F21" i="25"/>
  <c r="F57" i="51"/>
  <c r="G57" i="51"/>
  <c r="H57" i="51"/>
  <c r="F11" i="51"/>
  <c r="F10" i="51"/>
  <c r="F9" i="51"/>
  <c r="H93" i="68"/>
  <c r="M93" i="68"/>
  <c r="C93" i="68"/>
  <c r="K93" i="68"/>
  <c r="F93" i="68"/>
  <c r="N370" i="38" l="1"/>
  <c r="O370" i="38" s="1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76" i="25"/>
  <c r="G76" i="25"/>
  <c r="H76" i="25"/>
  <c r="K2" i="25"/>
  <c r="K70" i="25"/>
  <c r="K69" i="25" l="1"/>
  <c r="M74" i="68"/>
  <c r="Q10" i="68" s="1"/>
  <c r="N369" i="38"/>
  <c r="O369" i="38" s="1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P368" i="38" l="1"/>
  <c r="N368" i="38"/>
  <c r="O368" i="38" s="1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56" i="51"/>
  <c r="G56" i="51"/>
  <c r="H56" i="51"/>
  <c r="F8" i="51"/>
  <c r="F68" i="40"/>
  <c r="H68" i="40"/>
  <c r="G68" i="40"/>
  <c r="F14" i="40"/>
  <c r="P367" i="38" l="1"/>
  <c r="N367" i="38"/>
  <c r="O367" i="38" s="1"/>
  <c r="F248" i="7" l="1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O366" i="38" s="1"/>
  <c r="E365" i="38"/>
  <c r="H365" i="38"/>
  <c r="K365" i="38"/>
  <c r="L365" i="38" s="1"/>
  <c r="M365" i="38"/>
  <c r="U365" i="38" s="1"/>
  <c r="S365" i="38"/>
  <c r="P365" i="38" l="1"/>
  <c r="N365" i="38"/>
  <c r="O365" i="38" s="1"/>
  <c r="F66" i="40"/>
  <c r="G66" i="40"/>
  <c r="H66" i="40"/>
  <c r="K418" i="17"/>
  <c r="F418" i="17"/>
  <c r="K417" i="17"/>
  <c r="F417" i="17"/>
  <c r="D364" i="38" l="1"/>
  <c r="E364" i="38"/>
  <c r="H364" i="38"/>
  <c r="K364" i="38"/>
  <c r="L364" i="38" s="1"/>
  <c r="M364" i="38"/>
  <c r="U364" i="38" s="1"/>
  <c r="S364" i="38"/>
  <c r="F75" i="25"/>
  <c r="G75" i="25"/>
  <c r="H75" i="25"/>
  <c r="F20" i="25"/>
  <c r="F55" i="51"/>
  <c r="G55" i="51"/>
  <c r="H55" i="51"/>
  <c r="F7" i="51"/>
  <c r="P364" i="38" l="1"/>
  <c r="N364" i="38"/>
  <c r="O364" i="38" s="1"/>
  <c r="K80" i="53"/>
  <c r="F80" i="53"/>
  <c r="H74" i="25"/>
  <c r="G74" i="25"/>
  <c r="F74" i="25"/>
  <c r="M693" i="25"/>
  <c r="H693" i="25"/>
  <c r="C693" i="25"/>
  <c r="F669" i="25"/>
  <c r="F668" i="25"/>
  <c r="F667" i="25"/>
  <c r="F666" i="25"/>
  <c r="F665" i="25"/>
  <c r="F664" i="25"/>
  <c r="F663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F575" i="25"/>
  <c r="F574" i="25"/>
  <c r="F573" i="25"/>
  <c r="K572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K461" i="25"/>
  <c r="F461" i="25"/>
  <c r="K460" i="25"/>
  <c r="F460" i="25"/>
  <c r="K459" i="25"/>
  <c r="F459" i="25"/>
  <c r="K458" i="25"/>
  <c r="F458" i="25"/>
  <c r="K457" i="25"/>
  <c r="F457" i="25"/>
  <c r="K456" i="25"/>
  <c r="F456" i="25"/>
  <c r="K455" i="25"/>
  <c r="F455" i="25"/>
  <c r="K454" i="25"/>
  <c r="F454" i="25"/>
  <c r="K453" i="25"/>
  <c r="F453" i="25"/>
  <c r="K452" i="25"/>
  <c r="F452" i="25"/>
  <c r="K451" i="25"/>
  <c r="F451" i="25"/>
  <c r="K450" i="25"/>
  <c r="F450" i="25"/>
  <c r="K449" i="25"/>
  <c r="F449" i="25"/>
  <c r="K448" i="25"/>
  <c r="F448" i="25"/>
  <c r="K447" i="25"/>
  <c r="F447" i="25"/>
  <c r="K446" i="25"/>
  <c r="F446" i="25"/>
  <c r="K445" i="25"/>
  <c r="F445" i="25"/>
  <c r="K444" i="25"/>
  <c r="F444" i="25"/>
  <c r="K443" i="25"/>
  <c r="F443" i="25"/>
  <c r="K442" i="25"/>
  <c r="F442" i="25"/>
  <c r="K441" i="25"/>
  <c r="F441" i="25"/>
  <c r="K440" i="25"/>
  <c r="F440" i="25"/>
  <c r="K439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67" i="45"/>
  <c r="F67" i="45"/>
  <c r="K66" i="45"/>
  <c r="F66" i="45"/>
  <c r="K65" i="45"/>
  <c r="F65" i="45"/>
  <c r="F31" i="58"/>
  <c r="G31" i="58"/>
  <c r="H3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694" i="25"/>
  <c r="H694" i="25"/>
  <c r="K694" i="25"/>
  <c r="F694" i="25"/>
  <c r="C694" i="25"/>
  <c r="N363" i="38" l="1"/>
  <c r="O363" i="38" s="1"/>
  <c r="F693" i="25"/>
  <c r="K693" i="25"/>
  <c r="P363" i="38"/>
  <c r="M430" i="25" l="1"/>
  <c r="Q10" i="25" s="1"/>
  <c r="E362" i="38"/>
  <c r="H362" i="38"/>
  <c r="K362" i="38"/>
  <c r="M362" i="38"/>
  <c r="U362" i="38" s="1"/>
  <c r="S362" i="38"/>
  <c r="L362" i="38" l="1"/>
  <c r="P362" i="38" s="1"/>
  <c r="N362" i="38"/>
  <c r="O362" i="38" s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77" i="43"/>
  <c r="H77" i="43"/>
  <c r="C77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70" i="43"/>
  <c r="K77" i="43" s="1"/>
  <c r="F70" i="43"/>
  <c r="F77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63" i="74"/>
  <c r="P62" i="74"/>
  <c r="P61" i="74"/>
  <c r="P60" i="74"/>
  <c r="P59" i="74"/>
  <c r="P58" i="74"/>
  <c r="P57" i="74"/>
  <c r="P56" i="74"/>
  <c r="P55" i="74"/>
  <c r="P54" i="74"/>
  <c r="P53" i="74"/>
  <c r="P52" i="74"/>
  <c r="P51" i="74"/>
  <c r="P50" i="74"/>
  <c r="K76" i="74"/>
  <c r="H76" i="74"/>
  <c r="F76" i="74"/>
  <c r="C76" i="74"/>
  <c r="P49" i="74"/>
  <c r="P48" i="74"/>
  <c r="P47" i="74"/>
  <c r="P46" i="74"/>
  <c r="P45" i="74"/>
  <c r="P44" i="74"/>
  <c r="P43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P63" i="49"/>
  <c r="AE62" i="49"/>
  <c r="AD62" i="49"/>
  <c r="P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AE41" i="49"/>
  <c r="AD41" i="49"/>
  <c r="AE40" i="49"/>
  <c r="AD40" i="49"/>
  <c r="AE39" i="49"/>
  <c r="AD39" i="49"/>
  <c r="AE38" i="49"/>
  <c r="AD38" i="49"/>
  <c r="AE37" i="49"/>
  <c r="AD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63" i="46"/>
  <c r="P62" i="46"/>
  <c r="P61" i="46"/>
  <c r="P60" i="46"/>
  <c r="P59" i="46"/>
  <c r="P58" i="46"/>
  <c r="P57" i="46"/>
  <c r="P56" i="46"/>
  <c r="P55" i="46"/>
  <c r="P54" i="46"/>
  <c r="P53" i="46"/>
  <c r="P52" i="46"/>
  <c r="P51" i="46"/>
  <c r="P50" i="46"/>
  <c r="M60" i="46"/>
  <c r="H60" i="46"/>
  <c r="C60" i="46"/>
  <c r="P49" i="46"/>
  <c r="P48" i="46"/>
  <c r="P47" i="46"/>
  <c r="P46" i="46"/>
  <c r="P45" i="46"/>
  <c r="P44" i="46"/>
  <c r="P43" i="46"/>
  <c r="K50" i="46"/>
  <c r="K49" i="46"/>
  <c r="F49" i="46"/>
  <c r="K48" i="46"/>
  <c r="F48" i="46"/>
  <c r="H22" i="46"/>
  <c r="G22" i="46"/>
  <c r="F22" i="46"/>
  <c r="M18" i="46"/>
  <c r="K18" i="46"/>
  <c r="H18" i="46"/>
  <c r="F18" i="46"/>
  <c r="C1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1" i="45"/>
  <c r="H91" i="45"/>
  <c r="C91" i="45"/>
  <c r="K63" i="45"/>
  <c r="F63" i="45"/>
  <c r="K62" i="45"/>
  <c r="F62" i="45"/>
  <c r="K61" i="45"/>
  <c r="F61" i="45"/>
  <c r="F60" i="45"/>
  <c r="K59" i="45"/>
  <c r="F59" i="45"/>
  <c r="K58" i="45"/>
  <c r="F58" i="45"/>
  <c r="K57" i="45"/>
  <c r="F57" i="45"/>
  <c r="K56" i="45"/>
  <c r="F56" i="45"/>
  <c r="K55" i="45"/>
  <c r="F55" i="45"/>
  <c r="K54" i="45"/>
  <c r="F54" i="45"/>
  <c r="K53" i="45"/>
  <c r="F53" i="45"/>
  <c r="F52" i="45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5" i="47"/>
  <c r="Q34" i="47"/>
  <c r="Q33" i="47"/>
  <c r="Q32" i="47"/>
  <c r="Q31" i="47"/>
  <c r="Q30" i="47"/>
  <c r="M55" i="47"/>
  <c r="H55" i="47"/>
  <c r="C55" i="47"/>
  <c r="Q29" i="47"/>
  <c r="Q28" i="47"/>
  <c r="Q27" i="47"/>
  <c r="Q26" i="47"/>
  <c r="Q25" i="47"/>
  <c r="Q24" i="47"/>
  <c r="Q23" i="47"/>
  <c r="Q22" i="47"/>
  <c r="Q21" i="47"/>
  <c r="Q20" i="47"/>
  <c r="Q19" i="47"/>
  <c r="Q18" i="47"/>
  <c r="Q17" i="47"/>
  <c r="K42" i="47"/>
  <c r="F42" i="47"/>
  <c r="Q16" i="47"/>
  <c r="K41" i="47"/>
  <c r="F41" i="47"/>
  <c r="Q15" i="47"/>
  <c r="K40" i="47"/>
  <c r="F40" i="47"/>
  <c r="K39" i="47"/>
  <c r="F39" i="47"/>
  <c r="H21" i="47"/>
  <c r="G21" i="47"/>
  <c r="F21" i="47"/>
  <c r="M18" i="47"/>
  <c r="K18" i="47"/>
  <c r="H18" i="47"/>
  <c r="F18" i="47"/>
  <c r="C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45" i="58"/>
  <c r="H145" i="58"/>
  <c r="C145" i="58"/>
  <c r="K136" i="58"/>
  <c r="F136" i="58"/>
  <c r="K135" i="58"/>
  <c r="F135" i="58"/>
  <c r="K129" i="58"/>
  <c r="F129" i="58"/>
  <c r="H119" i="58"/>
  <c r="G119" i="58"/>
  <c r="F119" i="58"/>
  <c r="H118" i="58"/>
  <c r="G118" i="58"/>
  <c r="F118" i="58"/>
  <c r="H117" i="58"/>
  <c r="G117" i="58"/>
  <c r="F117" i="58"/>
  <c r="H116" i="58"/>
  <c r="G116" i="58"/>
  <c r="F116" i="58"/>
  <c r="H115" i="58"/>
  <c r="G115" i="58"/>
  <c r="F115" i="58"/>
  <c r="H114" i="58"/>
  <c r="G114" i="58"/>
  <c r="F114" i="58"/>
  <c r="H113" i="58"/>
  <c r="G113" i="58"/>
  <c r="F113" i="58"/>
  <c r="H112" i="58"/>
  <c r="G112" i="58"/>
  <c r="F112" i="58"/>
  <c r="H111" i="58"/>
  <c r="G111" i="58"/>
  <c r="F111" i="58"/>
  <c r="H110" i="58"/>
  <c r="G110" i="58"/>
  <c r="F110" i="58"/>
  <c r="H109" i="58"/>
  <c r="G109" i="58"/>
  <c r="F109" i="58"/>
  <c r="H108" i="58"/>
  <c r="G108" i="58"/>
  <c r="F108" i="58"/>
  <c r="H107" i="58"/>
  <c r="G107" i="58"/>
  <c r="F107" i="58"/>
  <c r="H106" i="58"/>
  <c r="G106" i="58"/>
  <c r="F106" i="58"/>
  <c r="H105" i="58"/>
  <c r="G105" i="58"/>
  <c r="F105" i="58"/>
  <c r="P61" i="58"/>
  <c r="H104" i="58"/>
  <c r="G104" i="58"/>
  <c r="F104" i="58"/>
  <c r="P60" i="58"/>
  <c r="H103" i="58"/>
  <c r="G103" i="58"/>
  <c r="F103" i="58"/>
  <c r="P59" i="58"/>
  <c r="H102" i="58"/>
  <c r="G102" i="58"/>
  <c r="F102" i="58"/>
  <c r="P58" i="58"/>
  <c r="H101" i="58"/>
  <c r="G101" i="58"/>
  <c r="F101" i="58"/>
  <c r="P57" i="58"/>
  <c r="P56" i="58"/>
  <c r="P55" i="58"/>
  <c r="P54" i="58"/>
  <c r="H97" i="58"/>
  <c r="G97" i="58"/>
  <c r="F97" i="58"/>
  <c r="P53" i="58"/>
  <c r="H96" i="58"/>
  <c r="G96" i="58"/>
  <c r="F96" i="58"/>
  <c r="P52" i="58"/>
  <c r="H95" i="58"/>
  <c r="G95" i="58"/>
  <c r="F95" i="58"/>
  <c r="P51" i="58"/>
  <c r="H94" i="58"/>
  <c r="G94" i="58"/>
  <c r="F94" i="58"/>
  <c r="P50" i="58"/>
  <c r="H93" i="58"/>
  <c r="G93" i="58"/>
  <c r="F93" i="58"/>
  <c r="P49" i="58"/>
  <c r="H92" i="58"/>
  <c r="G92" i="58"/>
  <c r="F92" i="58"/>
  <c r="P48" i="58"/>
  <c r="H91" i="58"/>
  <c r="G91" i="58"/>
  <c r="F91" i="58"/>
  <c r="P47" i="58"/>
  <c r="H90" i="58"/>
  <c r="G90" i="58"/>
  <c r="F90" i="58"/>
  <c r="P46" i="58"/>
  <c r="H89" i="58"/>
  <c r="G89" i="58"/>
  <c r="F89" i="58"/>
  <c r="P45" i="58"/>
  <c r="H88" i="58"/>
  <c r="G88" i="58"/>
  <c r="F88" i="58"/>
  <c r="P44" i="58"/>
  <c r="H87" i="58"/>
  <c r="G87" i="58"/>
  <c r="F87" i="58"/>
  <c r="P43" i="58"/>
  <c r="H86" i="58"/>
  <c r="G86" i="58"/>
  <c r="F86" i="58"/>
  <c r="P42" i="58"/>
  <c r="H85" i="58"/>
  <c r="G85" i="58"/>
  <c r="F85" i="58"/>
  <c r="P41" i="58"/>
  <c r="H30" i="58"/>
  <c r="G30" i="58"/>
  <c r="F30" i="58"/>
  <c r="H29" i="58"/>
  <c r="G29" i="58"/>
  <c r="F29" i="58"/>
  <c r="H28" i="58"/>
  <c r="G28" i="58"/>
  <c r="F28" i="58"/>
  <c r="H27" i="58"/>
  <c r="G27" i="58"/>
  <c r="F27" i="58"/>
  <c r="M22" i="58"/>
  <c r="F2" i="58"/>
  <c r="F2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9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28" i="51"/>
  <c r="H228" i="51"/>
  <c r="C228" i="51"/>
  <c r="F222" i="51"/>
  <c r="F221" i="51"/>
  <c r="F220" i="51"/>
  <c r="K219" i="51"/>
  <c r="F219" i="51"/>
  <c r="K218" i="51"/>
  <c r="F218" i="51"/>
  <c r="K217" i="51"/>
  <c r="F217" i="51"/>
  <c r="K216" i="51"/>
  <c r="F216" i="51"/>
  <c r="K215" i="51"/>
  <c r="F215" i="51"/>
  <c r="K214" i="51"/>
  <c r="F214" i="51"/>
  <c r="K213" i="51"/>
  <c r="F213" i="51"/>
  <c r="K212" i="51"/>
  <c r="F212" i="51"/>
  <c r="K211" i="51"/>
  <c r="F211" i="51"/>
  <c r="K210" i="51"/>
  <c r="F210" i="51"/>
  <c r="K209" i="51"/>
  <c r="F209" i="51"/>
  <c r="K208" i="51"/>
  <c r="F208" i="51"/>
  <c r="K207" i="51"/>
  <c r="F207" i="51"/>
  <c r="K206" i="51"/>
  <c r="F206" i="51"/>
  <c r="K205" i="51"/>
  <c r="F205" i="51"/>
  <c r="K204" i="51"/>
  <c r="F204" i="51"/>
  <c r="F203" i="51"/>
  <c r="K202" i="51"/>
  <c r="F202" i="51"/>
  <c r="H182" i="51"/>
  <c r="G182" i="51"/>
  <c r="F182" i="51"/>
  <c r="H181" i="51"/>
  <c r="G181" i="51"/>
  <c r="F181" i="51"/>
  <c r="H180" i="51"/>
  <c r="G180" i="51"/>
  <c r="F180" i="51"/>
  <c r="H179" i="51"/>
  <c r="G179" i="51"/>
  <c r="F179" i="51"/>
  <c r="H178" i="51"/>
  <c r="G178" i="51"/>
  <c r="F178" i="51"/>
  <c r="H177" i="51"/>
  <c r="G177" i="51"/>
  <c r="F177" i="51"/>
  <c r="H176" i="51"/>
  <c r="G176" i="51"/>
  <c r="F176" i="51"/>
  <c r="H175" i="51"/>
  <c r="G175" i="51"/>
  <c r="F175" i="51"/>
  <c r="H174" i="51"/>
  <c r="G174" i="51"/>
  <c r="F174" i="51"/>
  <c r="H173" i="51"/>
  <c r="G173" i="51"/>
  <c r="F173" i="51"/>
  <c r="H172" i="51"/>
  <c r="G172" i="51"/>
  <c r="F172" i="51"/>
  <c r="H171" i="51"/>
  <c r="G171" i="51"/>
  <c r="F171" i="51"/>
  <c r="H170" i="51"/>
  <c r="G170" i="51"/>
  <c r="F170" i="51"/>
  <c r="H169" i="51"/>
  <c r="G169" i="51"/>
  <c r="F169" i="51"/>
  <c r="H168" i="51"/>
  <c r="G168" i="51"/>
  <c r="F168" i="51"/>
  <c r="H167" i="51"/>
  <c r="G167" i="51"/>
  <c r="F167" i="51"/>
  <c r="H166" i="51"/>
  <c r="G166" i="51"/>
  <c r="F166" i="51"/>
  <c r="H165" i="51"/>
  <c r="G165" i="51"/>
  <c r="F165" i="51"/>
  <c r="H164" i="51"/>
  <c r="G164" i="51"/>
  <c r="F164" i="51"/>
  <c r="H163" i="51"/>
  <c r="G163" i="51"/>
  <c r="F163" i="51"/>
  <c r="H162" i="51"/>
  <c r="G162" i="51"/>
  <c r="F162" i="51"/>
  <c r="H161" i="51"/>
  <c r="G161" i="51"/>
  <c r="F161" i="51"/>
  <c r="H160" i="51"/>
  <c r="G160" i="51"/>
  <c r="F160" i="51"/>
  <c r="H159" i="51"/>
  <c r="G159" i="51"/>
  <c r="F159" i="51"/>
  <c r="H158" i="51"/>
  <c r="G158" i="51"/>
  <c r="F158" i="51"/>
  <c r="H157" i="51"/>
  <c r="G157" i="51"/>
  <c r="F157" i="51"/>
  <c r="H156" i="51"/>
  <c r="G156" i="51"/>
  <c r="F156" i="51"/>
  <c r="H155" i="51"/>
  <c r="G155" i="51"/>
  <c r="F155" i="51"/>
  <c r="H154" i="51"/>
  <c r="G154" i="51"/>
  <c r="F154" i="51"/>
  <c r="H153" i="51"/>
  <c r="G153" i="51"/>
  <c r="F153" i="51"/>
  <c r="H152" i="51"/>
  <c r="G152" i="51"/>
  <c r="F152" i="51"/>
  <c r="H151" i="51"/>
  <c r="G151" i="51"/>
  <c r="F151" i="51"/>
  <c r="H150" i="51"/>
  <c r="G150" i="51"/>
  <c r="F150" i="51"/>
  <c r="H149" i="51"/>
  <c r="G149" i="51"/>
  <c r="F149" i="51"/>
  <c r="H148" i="51"/>
  <c r="G148" i="51"/>
  <c r="F148" i="51"/>
  <c r="H147" i="51"/>
  <c r="G147" i="51"/>
  <c r="F147" i="51"/>
  <c r="H146" i="51"/>
  <c r="G146" i="51"/>
  <c r="F146" i="51"/>
  <c r="H145" i="51"/>
  <c r="G145" i="51"/>
  <c r="F145" i="51"/>
  <c r="H144" i="51"/>
  <c r="G144" i="51"/>
  <c r="F144" i="51"/>
  <c r="H143" i="51"/>
  <c r="G143" i="51"/>
  <c r="F143" i="51"/>
  <c r="H142" i="51"/>
  <c r="G142" i="51"/>
  <c r="F142" i="51"/>
  <c r="H141" i="51"/>
  <c r="G141" i="51"/>
  <c r="F141" i="51"/>
  <c r="H140" i="51"/>
  <c r="G140" i="51"/>
  <c r="F140" i="51"/>
  <c r="H139" i="51"/>
  <c r="G139" i="51"/>
  <c r="F139" i="51"/>
  <c r="H138" i="51"/>
  <c r="G138" i="51"/>
  <c r="F138" i="51"/>
  <c r="H137" i="51"/>
  <c r="G137" i="51"/>
  <c r="F137" i="51"/>
  <c r="H136" i="51"/>
  <c r="G136" i="51"/>
  <c r="F136" i="51"/>
  <c r="H135" i="51"/>
  <c r="G135" i="51"/>
  <c r="F135" i="51"/>
  <c r="H134" i="51"/>
  <c r="G134" i="51"/>
  <c r="F134" i="51"/>
  <c r="H133" i="51"/>
  <c r="G133" i="51"/>
  <c r="F133" i="51"/>
  <c r="H132" i="51"/>
  <c r="G132" i="51"/>
  <c r="F132" i="51"/>
  <c r="H131" i="51"/>
  <c r="G131" i="51"/>
  <c r="F131" i="51"/>
  <c r="H130" i="51"/>
  <c r="G130" i="51"/>
  <c r="F130" i="51"/>
  <c r="H129" i="51"/>
  <c r="G129" i="51"/>
  <c r="F129" i="51"/>
  <c r="H128" i="51"/>
  <c r="G128" i="51"/>
  <c r="F128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P43" i="51"/>
  <c r="H123" i="51"/>
  <c r="G123" i="51"/>
  <c r="F123" i="51"/>
  <c r="P42" i="51"/>
  <c r="H122" i="51"/>
  <c r="G122" i="51"/>
  <c r="F122" i="51"/>
  <c r="P41" i="51"/>
  <c r="H121" i="51"/>
  <c r="G121" i="51"/>
  <c r="F121" i="51"/>
  <c r="P40" i="51"/>
  <c r="H120" i="51"/>
  <c r="G120" i="51"/>
  <c r="F120" i="51"/>
  <c r="P39" i="51"/>
  <c r="H119" i="51"/>
  <c r="G119" i="51"/>
  <c r="F119" i="51"/>
  <c r="P38" i="51"/>
  <c r="H118" i="51"/>
  <c r="G118" i="51"/>
  <c r="F118" i="51"/>
  <c r="P37" i="51"/>
  <c r="H117" i="51"/>
  <c r="G117" i="51"/>
  <c r="F117" i="51"/>
  <c r="P36" i="51"/>
  <c r="H116" i="51"/>
  <c r="G116" i="51"/>
  <c r="F116" i="51"/>
  <c r="P35" i="51"/>
  <c r="H115" i="51"/>
  <c r="G115" i="51"/>
  <c r="F115" i="51"/>
  <c r="P34" i="51"/>
  <c r="H114" i="51"/>
  <c r="G114" i="51"/>
  <c r="F114" i="51"/>
  <c r="P33" i="51"/>
  <c r="H113" i="51"/>
  <c r="G113" i="51"/>
  <c r="F113" i="51"/>
  <c r="P32" i="51"/>
  <c r="H112" i="51"/>
  <c r="G112" i="51"/>
  <c r="F112" i="51"/>
  <c r="P31" i="51"/>
  <c r="H111" i="51"/>
  <c r="G111" i="51"/>
  <c r="F111" i="51"/>
  <c r="P30" i="51"/>
  <c r="H110" i="51"/>
  <c r="G110" i="51"/>
  <c r="F110" i="51"/>
  <c r="P29" i="51"/>
  <c r="H109" i="51"/>
  <c r="G109" i="51"/>
  <c r="F109" i="51"/>
  <c r="P28" i="51"/>
  <c r="P27" i="51"/>
  <c r="P26" i="51"/>
  <c r="P25" i="51"/>
  <c r="P24" i="51"/>
  <c r="P23" i="51"/>
  <c r="H54" i="51"/>
  <c r="G54" i="51"/>
  <c r="F54" i="51"/>
  <c r="H53" i="51"/>
  <c r="G53" i="51"/>
  <c r="F53" i="51"/>
  <c r="H52" i="51"/>
  <c r="G52" i="51"/>
  <c r="F52" i="51"/>
  <c r="H51" i="51"/>
  <c r="G51" i="51"/>
  <c r="F51" i="51"/>
  <c r="H50" i="51"/>
  <c r="G50" i="51"/>
  <c r="F50" i="51"/>
  <c r="H49" i="51"/>
  <c r="G49" i="51"/>
  <c r="F49" i="51"/>
  <c r="H48" i="51"/>
  <c r="G48" i="51"/>
  <c r="F48" i="51"/>
  <c r="M41" i="51"/>
  <c r="H41" i="51"/>
  <c r="F6" i="51"/>
  <c r="F5" i="51"/>
  <c r="F4" i="51"/>
  <c r="F3" i="51"/>
  <c r="K2" i="51"/>
  <c r="K41" i="51" s="1"/>
  <c r="F2" i="51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H176" i="25"/>
  <c r="G176" i="25"/>
  <c r="H175" i="25"/>
  <c r="G175" i="25"/>
  <c r="H174" i="25"/>
  <c r="G174" i="25"/>
  <c r="H173" i="25"/>
  <c r="G173" i="25"/>
  <c r="H172" i="25"/>
  <c r="G172" i="25"/>
  <c r="H171" i="25"/>
  <c r="G171" i="25"/>
  <c r="H69" i="25"/>
  <c r="C69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P69" i="25"/>
  <c r="P68" i="25"/>
  <c r="P67" i="25"/>
  <c r="P66" i="25"/>
  <c r="P65" i="25"/>
  <c r="P64" i="25"/>
  <c r="P63" i="25"/>
  <c r="P62" i="25"/>
  <c r="P61" i="25"/>
  <c r="P60" i="25"/>
  <c r="P59" i="25"/>
  <c r="P58" i="25"/>
  <c r="P57" i="25"/>
  <c r="P56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AE40" i="69"/>
  <c r="AE39" i="69"/>
  <c r="AE38" i="69"/>
  <c r="AE37" i="69"/>
  <c r="AE36" i="69"/>
  <c r="AE35" i="69"/>
  <c r="AE34" i="69"/>
  <c r="AE33" i="69"/>
  <c r="AE32" i="69"/>
  <c r="AE31" i="69"/>
  <c r="AE30" i="69"/>
  <c r="AE29" i="69"/>
  <c r="AE28" i="69"/>
  <c r="AE27" i="69"/>
  <c r="AE26" i="69"/>
  <c r="AE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AE6" i="69"/>
  <c r="AE5" i="69"/>
  <c r="AE4" i="69"/>
  <c r="AE3" i="69"/>
  <c r="AE2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O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O348" i="38" s="1"/>
  <c r="K348" i="38"/>
  <c r="L348" i="38" s="1"/>
  <c r="H348" i="38"/>
  <c r="G348" i="38"/>
  <c r="E348" i="38"/>
  <c r="D348" i="38"/>
  <c r="S347" i="38"/>
  <c r="M347" i="38"/>
  <c r="N347" i="38" s="1"/>
  <c r="O347" i="38" s="1"/>
  <c r="K347" i="38"/>
  <c r="L347" i="38" s="1"/>
  <c r="H347" i="38"/>
  <c r="G347" i="38"/>
  <c r="E347" i="38"/>
  <c r="D347" i="38"/>
  <c r="S346" i="38"/>
  <c r="M346" i="38"/>
  <c r="N346" i="38" s="1"/>
  <c r="O346" i="38" s="1"/>
  <c r="K346" i="38"/>
  <c r="L346" i="38" s="1"/>
  <c r="H346" i="38"/>
  <c r="G346" i="38"/>
  <c r="E346" i="38"/>
  <c r="D346" i="38"/>
  <c r="S345" i="38"/>
  <c r="M345" i="38"/>
  <c r="N345" i="38" s="1"/>
  <c r="O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O337" i="38" s="1"/>
  <c r="K337" i="38"/>
  <c r="L337" i="38" s="1"/>
  <c r="H337" i="38"/>
  <c r="G337" i="38"/>
  <c r="E337" i="38"/>
  <c r="D337" i="38"/>
  <c r="S336" i="38"/>
  <c r="M336" i="38"/>
  <c r="N336" i="38" s="1"/>
  <c r="O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O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O322" i="38" s="1"/>
  <c r="K322" i="38"/>
  <c r="L322" i="38" s="1"/>
  <c r="H322" i="38"/>
  <c r="G322" i="38"/>
  <c r="E322" i="38"/>
  <c r="D322" i="38"/>
  <c r="S321" i="38"/>
  <c r="M321" i="38"/>
  <c r="N321" i="38" s="1"/>
  <c r="O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O315" i="38" s="1"/>
  <c r="K315" i="38"/>
  <c r="L315" i="38" s="1"/>
  <c r="H315" i="38"/>
  <c r="G315" i="38"/>
  <c r="E315" i="38"/>
  <c r="D315" i="38"/>
  <c r="S314" i="38"/>
  <c r="M314" i="38"/>
  <c r="N314" i="38" s="1"/>
  <c r="O314" i="38" s="1"/>
  <c r="K314" i="38"/>
  <c r="L314" i="38" s="1"/>
  <c r="H314" i="38"/>
  <c r="G314" i="38"/>
  <c r="E314" i="38"/>
  <c r="D314" i="38"/>
  <c r="S313" i="38"/>
  <c r="M313" i="38"/>
  <c r="N313" i="38" s="1"/>
  <c r="O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O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O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O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O299" i="38" s="1"/>
  <c r="K299" i="38"/>
  <c r="L299" i="38" s="1"/>
  <c r="H299" i="38"/>
  <c r="G299" i="38"/>
  <c r="E299" i="38"/>
  <c r="D299" i="38"/>
  <c r="S298" i="38"/>
  <c r="M298" i="38"/>
  <c r="N298" i="38" s="1"/>
  <c r="O298" i="38" s="1"/>
  <c r="K298" i="38"/>
  <c r="L298" i="38" s="1"/>
  <c r="H298" i="38"/>
  <c r="G298" i="38"/>
  <c r="E298" i="38"/>
  <c r="D298" i="38"/>
  <c r="S297" i="38"/>
  <c r="M297" i="38"/>
  <c r="N297" i="38" s="1"/>
  <c r="O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O290" i="38" s="1"/>
  <c r="K290" i="38"/>
  <c r="L290" i="38" s="1"/>
  <c r="H290" i="38"/>
  <c r="G290" i="38"/>
  <c r="E290" i="38"/>
  <c r="D290" i="38"/>
  <c r="S289" i="38"/>
  <c r="M289" i="38"/>
  <c r="N289" i="38" s="1"/>
  <c r="O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O286" i="38" s="1"/>
  <c r="K286" i="38"/>
  <c r="L286" i="38" s="1"/>
  <c r="H286" i="38"/>
  <c r="G286" i="38"/>
  <c r="E286" i="38"/>
  <c r="D286" i="38"/>
  <c r="S285" i="38"/>
  <c r="M285" i="38"/>
  <c r="N285" i="38" s="1"/>
  <c r="O285" i="38" s="1"/>
  <c r="K285" i="38"/>
  <c r="L285" i="38" s="1"/>
  <c r="H285" i="38"/>
  <c r="G285" i="38"/>
  <c r="E285" i="38"/>
  <c r="D285" i="38"/>
  <c r="S284" i="38"/>
  <c r="M284" i="38"/>
  <c r="N284" i="38" s="1"/>
  <c r="O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O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O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O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O265" i="38" s="1"/>
  <c r="K265" i="38"/>
  <c r="L265" i="38" s="1"/>
  <c r="H265" i="38"/>
  <c r="G265" i="38"/>
  <c r="E265" i="38"/>
  <c r="D265" i="38"/>
  <c r="S264" i="38"/>
  <c r="M264" i="38"/>
  <c r="N264" i="38" s="1"/>
  <c r="O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O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O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O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O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O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O226" i="38" s="1"/>
  <c r="K226" i="38"/>
  <c r="L226" i="38" s="1"/>
  <c r="H226" i="38"/>
  <c r="G226" i="38"/>
  <c r="E226" i="38"/>
  <c r="D226" i="38"/>
  <c r="S225" i="38"/>
  <c r="M225" i="38"/>
  <c r="N225" i="38" s="1"/>
  <c r="O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O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O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O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O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O205" i="38" s="1"/>
  <c r="K205" i="38"/>
  <c r="L205" i="38" s="1"/>
  <c r="H205" i="38"/>
  <c r="G205" i="38"/>
  <c r="E205" i="38"/>
  <c r="D205" i="38"/>
  <c r="S204" i="38"/>
  <c r="M204" i="38"/>
  <c r="N204" i="38" s="1"/>
  <c r="O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O202" i="38" s="1"/>
  <c r="K202" i="38"/>
  <c r="L202" i="38" s="1"/>
  <c r="H202" i="38"/>
  <c r="G202" i="38"/>
  <c r="E202" i="38"/>
  <c r="D202" i="38"/>
  <c r="S201" i="38"/>
  <c r="M201" i="38"/>
  <c r="N201" i="38" s="1"/>
  <c r="O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O198" i="38" s="1"/>
  <c r="K198" i="38"/>
  <c r="L198" i="38" s="1"/>
  <c r="H198" i="38"/>
  <c r="G198" i="38"/>
  <c r="E198" i="38"/>
  <c r="D198" i="38"/>
  <c r="S197" i="38"/>
  <c r="M197" i="38"/>
  <c r="N197" i="38" s="1"/>
  <c r="O197" i="38" s="1"/>
  <c r="K197" i="38"/>
  <c r="L197" i="38" s="1"/>
  <c r="H197" i="38"/>
  <c r="G197" i="38"/>
  <c r="E197" i="38"/>
  <c r="D197" i="38"/>
  <c r="S196" i="38"/>
  <c r="M196" i="38"/>
  <c r="N196" i="38" s="1"/>
  <c r="O196" i="38" s="1"/>
  <c r="K196" i="38"/>
  <c r="L196" i="38" s="1"/>
  <c r="H196" i="38"/>
  <c r="G196" i="38"/>
  <c r="E196" i="38"/>
  <c r="D196" i="38"/>
  <c r="S195" i="38"/>
  <c r="M195" i="38"/>
  <c r="N195" i="38" s="1"/>
  <c r="O195" i="38" s="1"/>
  <c r="K195" i="38"/>
  <c r="L195" i="38" s="1"/>
  <c r="H195" i="38"/>
  <c r="G195" i="38"/>
  <c r="E195" i="38"/>
  <c r="D195" i="38"/>
  <c r="S194" i="38"/>
  <c r="M194" i="38"/>
  <c r="N194" i="38" s="1"/>
  <c r="O194" i="38" s="1"/>
  <c r="K194" i="38"/>
  <c r="L194" i="38" s="1"/>
  <c r="H194" i="38"/>
  <c r="G194" i="38"/>
  <c r="E194" i="38"/>
  <c r="D194" i="38"/>
  <c r="S193" i="38"/>
  <c r="M193" i="38"/>
  <c r="N193" i="38" s="1"/>
  <c r="O193" i="38" s="1"/>
  <c r="K193" i="38"/>
  <c r="L193" i="38" s="1"/>
  <c r="H193" i="38"/>
  <c r="G193" i="38"/>
  <c r="E193" i="38"/>
  <c r="D193" i="38"/>
  <c r="S192" i="38"/>
  <c r="M192" i="38"/>
  <c r="N192" i="38" s="1"/>
  <c r="O192" i="38" s="1"/>
  <c r="K192" i="38"/>
  <c r="L192" i="38" s="1"/>
  <c r="H192" i="38"/>
  <c r="G192" i="38"/>
  <c r="E192" i="38"/>
  <c r="D192" i="38"/>
  <c r="S191" i="38"/>
  <c r="M191" i="38"/>
  <c r="N191" i="38" s="1"/>
  <c r="O191" i="38" s="1"/>
  <c r="K191" i="38"/>
  <c r="L191" i="38" s="1"/>
  <c r="H191" i="38"/>
  <c r="G191" i="38"/>
  <c r="E191" i="38"/>
  <c r="D191" i="38"/>
  <c r="S190" i="38"/>
  <c r="M190" i="38"/>
  <c r="N190" i="38" s="1"/>
  <c r="O190" i="38" s="1"/>
  <c r="K190" i="38"/>
  <c r="L190" i="38" s="1"/>
  <c r="H190" i="38"/>
  <c r="G190" i="38"/>
  <c r="E190" i="38"/>
  <c r="D190" i="38"/>
  <c r="S189" i="38"/>
  <c r="M189" i="38"/>
  <c r="N189" i="38" s="1"/>
  <c r="O189" i="38" s="1"/>
  <c r="K189" i="38"/>
  <c r="L189" i="38" s="1"/>
  <c r="H189" i="38"/>
  <c r="G189" i="38"/>
  <c r="E189" i="38"/>
  <c r="D189" i="38"/>
  <c r="S188" i="38"/>
  <c r="M188" i="38"/>
  <c r="N188" i="38" s="1"/>
  <c r="O188" i="38" s="1"/>
  <c r="K188" i="38"/>
  <c r="L188" i="38" s="1"/>
  <c r="H188" i="38"/>
  <c r="G188" i="38"/>
  <c r="E188" i="38"/>
  <c r="D188" i="38"/>
  <c r="S187" i="38"/>
  <c r="M187" i="38"/>
  <c r="N187" i="38" s="1"/>
  <c r="O187" i="38" s="1"/>
  <c r="K187" i="38"/>
  <c r="L187" i="38" s="1"/>
  <c r="H187" i="38"/>
  <c r="G187" i="38"/>
  <c r="E187" i="38"/>
  <c r="D187" i="38"/>
  <c r="S186" i="38"/>
  <c r="M186" i="38"/>
  <c r="N186" i="38" s="1"/>
  <c r="O186" i="38" s="1"/>
  <c r="K186" i="38"/>
  <c r="L186" i="38" s="1"/>
  <c r="H186" i="38"/>
  <c r="G186" i="38"/>
  <c r="E186" i="38"/>
  <c r="D186" i="38"/>
  <c r="S185" i="38"/>
  <c r="M185" i="38"/>
  <c r="N185" i="38" s="1"/>
  <c r="O185" i="38" s="1"/>
  <c r="K185" i="38"/>
  <c r="L185" i="38" s="1"/>
  <c r="H185" i="38"/>
  <c r="G185" i="38"/>
  <c r="E185" i="38"/>
  <c r="D185" i="38"/>
  <c r="S184" i="38"/>
  <c r="M184" i="38"/>
  <c r="N184" i="38" s="1"/>
  <c r="O184" i="38" s="1"/>
  <c r="K184" i="38"/>
  <c r="L184" i="38" s="1"/>
  <c r="H184" i="38"/>
  <c r="G184" i="38"/>
  <c r="E184" i="38"/>
  <c r="D184" i="38"/>
  <c r="S183" i="38"/>
  <c r="M183" i="38"/>
  <c r="N183" i="38" s="1"/>
  <c r="O183" i="38" s="1"/>
  <c r="K183" i="38"/>
  <c r="L183" i="38" s="1"/>
  <c r="H183" i="38"/>
  <c r="G183" i="38"/>
  <c r="E183" i="38"/>
  <c r="D183" i="38"/>
  <c r="S182" i="38"/>
  <c r="M182" i="38"/>
  <c r="N182" i="38" s="1"/>
  <c r="O182" i="38" s="1"/>
  <c r="K182" i="38"/>
  <c r="L182" i="38" s="1"/>
  <c r="H182" i="38"/>
  <c r="G182" i="38"/>
  <c r="E182" i="38"/>
  <c r="D182" i="38"/>
  <c r="S181" i="38"/>
  <c r="M181" i="38"/>
  <c r="N181" i="38" s="1"/>
  <c r="O181" i="38" s="1"/>
  <c r="K181" i="38"/>
  <c r="L181" i="38" s="1"/>
  <c r="H181" i="38"/>
  <c r="G181" i="38"/>
  <c r="E181" i="38"/>
  <c r="D181" i="38"/>
  <c r="S180" i="38"/>
  <c r="M180" i="38"/>
  <c r="N180" i="38" s="1"/>
  <c r="O180" i="38" s="1"/>
  <c r="K180" i="38"/>
  <c r="L180" i="38" s="1"/>
  <c r="H180" i="38"/>
  <c r="G180" i="38"/>
  <c r="E180" i="38"/>
  <c r="D180" i="38"/>
  <c r="S179" i="38"/>
  <c r="M179" i="38"/>
  <c r="N179" i="38" s="1"/>
  <c r="O179" i="38" s="1"/>
  <c r="K179" i="38"/>
  <c r="L179" i="38" s="1"/>
  <c r="H179" i="38"/>
  <c r="G179" i="38"/>
  <c r="E179" i="38"/>
  <c r="D179" i="38"/>
  <c r="S178" i="38"/>
  <c r="M178" i="38"/>
  <c r="N178" i="38" s="1"/>
  <c r="O178" i="38" s="1"/>
  <c r="K178" i="38"/>
  <c r="L178" i="38" s="1"/>
  <c r="H178" i="38"/>
  <c r="G178" i="38"/>
  <c r="E178" i="38"/>
  <c r="D178" i="38"/>
  <c r="S177" i="38"/>
  <c r="M177" i="38"/>
  <c r="N177" i="38" s="1"/>
  <c r="O177" i="38" s="1"/>
  <c r="K177" i="38"/>
  <c r="L177" i="38" s="1"/>
  <c r="H177" i="38"/>
  <c r="G177" i="38"/>
  <c r="E177" i="38"/>
  <c r="D177" i="38"/>
  <c r="S176" i="38"/>
  <c r="M176" i="38"/>
  <c r="N176" i="38" s="1"/>
  <c r="O176" i="38" s="1"/>
  <c r="K176" i="38"/>
  <c r="L176" i="38" s="1"/>
  <c r="H176" i="38"/>
  <c r="G176" i="38"/>
  <c r="E176" i="38"/>
  <c r="D176" i="38"/>
  <c r="S175" i="38"/>
  <c r="M175" i="38"/>
  <c r="N175" i="38" s="1"/>
  <c r="O175" i="38" s="1"/>
  <c r="K175" i="38"/>
  <c r="L175" i="38" s="1"/>
  <c r="H175" i="38"/>
  <c r="G175" i="38"/>
  <c r="E175" i="38"/>
  <c r="D175" i="38"/>
  <c r="S174" i="38"/>
  <c r="M174" i="38"/>
  <c r="N174" i="38" s="1"/>
  <c r="O174" i="38" s="1"/>
  <c r="K174" i="38"/>
  <c r="L174" i="38" s="1"/>
  <c r="H174" i="38"/>
  <c r="G174" i="38"/>
  <c r="E174" i="38"/>
  <c r="D174" i="38"/>
  <c r="S173" i="38"/>
  <c r="M173" i="38"/>
  <c r="N173" i="38" s="1"/>
  <c r="O173" i="38" s="1"/>
  <c r="K173" i="38"/>
  <c r="L173" i="38" s="1"/>
  <c r="H173" i="38"/>
  <c r="G173" i="38"/>
  <c r="E173" i="38"/>
  <c r="D173" i="38"/>
  <c r="S172" i="38"/>
  <c r="M172" i="38"/>
  <c r="N172" i="38" s="1"/>
  <c r="O172" i="38" s="1"/>
  <c r="K172" i="38"/>
  <c r="L172" i="38" s="1"/>
  <c r="H172" i="38"/>
  <c r="G172" i="38"/>
  <c r="E172" i="38"/>
  <c r="D172" i="38"/>
  <c r="S171" i="38"/>
  <c r="M171" i="38"/>
  <c r="N171" i="38" s="1"/>
  <c r="O171" i="38" s="1"/>
  <c r="K171" i="38"/>
  <c r="L171" i="38" s="1"/>
  <c r="H171" i="38"/>
  <c r="G171" i="38"/>
  <c r="E171" i="38"/>
  <c r="D171" i="38"/>
  <c r="S170" i="38"/>
  <c r="M170" i="38"/>
  <c r="N170" i="38" s="1"/>
  <c r="O170" i="38" s="1"/>
  <c r="K170" i="38"/>
  <c r="L170" i="38" s="1"/>
  <c r="H170" i="38"/>
  <c r="G170" i="38"/>
  <c r="E170" i="38"/>
  <c r="D170" i="38"/>
  <c r="S169" i="38"/>
  <c r="M169" i="38"/>
  <c r="N169" i="38" s="1"/>
  <c r="O169" i="38" s="1"/>
  <c r="K169" i="38"/>
  <c r="L169" i="38" s="1"/>
  <c r="H169" i="38"/>
  <c r="G169" i="38"/>
  <c r="E169" i="38"/>
  <c r="D169" i="38"/>
  <c r="S168" i="38"/>
  <c r="M168" i="38"/>
  <c r="N168" i="38" s="1"/>
  <c r="O168" i="38" s="1"/>
  <c r="K168" i="38"/>
  <c r="L168" i="38" s="1"/>
  <c r="H168" i="38"/>
  <c r="G168" i="38"/>
  <c r="E168" i="38"/>
  <c r="D168" i="38"/>
  <c r="S167" i="38"/>
  <c r="M167" i="38"/>
  <c r="N167" i="38" s="1"/>
  <c r="O167" i="38" s="1"/>
  <c r="K167" i="38"/>
  <c r="L167" i="38" s="1"/>
  <c r="H167" i="38"/>
  <c r="G167" i="38"/>
  <c r="E167" i="38"/>
  <c r="D167" i="38"/>
  <c r="S166" i="38"/>
  <c r="M166" i="38"/>
  <c r="N166" i="38" s="1"/>
  <c r="O166" i="38" s="1"/>
  <c r="K166" i="38"/>
  <c r="L166" i="38" s="1"/>
  <c r="H166" i="38"/>
  <c r="G166" i="38"/>
  <c r="E166" i="38"/>
  <c r="D166" i="38"/>
  <c r="S165" i="38"/>
  <c r="M165" i="38"/>
  <c r="N165" i="38" s="1"/>
  <c r="O165" i="38" s="1"/>
  <c r="K165" i="38"/>
  <c r="L165" i="38" s="1"/>
  <c r="H165" i="38"/>
  <c r="G165" i="38"/>
  <c r="E165" i="38"/>
  <c r="D165" i="38"/>
  <c r="S164" i="38"/>
  <c r="M164" i="38"/>
  <c r="N164" i="38" s="1"/>
  <c r="O164" i="38" s="1"/>
  <c r="K164" i="38"/>
  <c r="L164" i="38" s="1"/>
  <c r="H164" i="38"/>
  <c r="G164" i="38"/>
  <c r="E164" i="38"/>
  <c r="D164" i="38"/>
  <c r="S163" i="38"/>
  <c r="M163" i="38"/>
  <c r="N163" i="38" s="1"/>
  <c r="O163" i="38" s="1"/>
  <c r="K163" i="38"/>
  <c r="L163" i="38" s="1"/>
  <c r="H163" i="38"/>
  <c r="G163" i="38"/>
  <c r="E163" i="38"/>
  <c r="D163" i="38"/>
  <c r="S162" i="38"/>
  <c r="M162" i="38"/>
  <c r="N162" i="38" s="1"/>
  <c r="O162" i="38" s="1"/>
  <c r="K162" i="38"/>
  <c r="L162" i="38" s="1"/>
  <c r="H162" i="38"/>
  <c r="G162" i="38"/>
  <c r="E162" i="38"/>
  <c r="D162" i="38"/>
  <c r="S161" i="38"/>
  <c r="M161" i="38"/>
  <c r="N161" i="38" s="1"/>
  <c r="O161" i="38" s="1"/>
  <c r="K161" i="38"/>
  <c r="L161" i="38" s="1"/>
  <c r="H161" i="38"/>
  <c r="G161" i="38"/>
  <c r="E161" i="38"/>
  <c r="D161" i="38"/>
  <c r="S160" i="38"/>
  <c r="M160" i="38"/>
  <c r="N160" i="38" s="1"/>
  <c r="O160" i="38" s="1"/>
  <c r="K160" i="38"/>
  <c r="L160" i="38" s="1"/>
  <c r="H160" i="38"/>
  <c r="G160" i="38"/>
  <c r="E160" i="38"/>
  <c r="D160" i="38"/>
  <c r="S159" i="38"/>
  <c r="M159" i="38"/>
  <c r="N159" i="38" s="1"/>
  <c r="O159" i="38" s="1"/>
  <c r="K159" i="38"/>
  <c r="L159" i="38" s="1"/>
  <c r="H159" i="38"/>
  <c r="G159" i="38"/>
  <c r="E159" i="38"/>
  <c r="D159" i="38"/>
  <c r="S158" i="38"/>
  <c r="M158" i="38"/>
  <c r="N158" i="38" s="1"/>
  <c r="O158" i="38" s="1"/>
  <c r="K158" i="38"/>
  <c r="L158" i="38" s="1"/>
  <c r="H158" i="38"/>
  <c r="G158" i="38"/>
  <c r="E158" i="38"/>
  <c r="D158" i="38"/>
  <c r="S157" i="38"/>
  <c r="M157" i="38"/>
  <c r="N157" i="38" s="1"/>
  <c r="O157" i="38" s="1"/>
  <c r="K157" i="38"/>
  <c r="L157" i="38" s="1"/>
  <c r="H157" i="38"/>
  <c r="G157" i="38"/>
  <c r="E157" i="38"/>
  <c r="D157" i="38"/>
  <c r="S156" i="38"/>
  <c r="M156" i="38"/>
  <c r="N156" i="38" s="1"/>
  <c r="O156" i="38" s="1"/>
  <c r="K156" i="38"/>
  <c r="L156" i="38" s="1"/>
  <c r="H156" i="38"/>
  <c r="G156" i="38"/>
  <c r="E156" i="38"/>
  <c r="D156" i="38"/>
  <c r="S155" i="38"/>
  <c r="M155" i="38"/>
  <c r="N155" i="38" s="1"/>
  <c r="O155" i="38" s="1"/>
  <c r="K155" i="38"/>
  <c r="L155" i="38" s="1"/>
  <c r="H155" i="38"/>
  <c r="G155" i="38"/>
  <c r="E155" i="38"/>
  <c r="D155" i="38"/>
  <c r="S154" i="38"/>
  <c r="M154" i="38"/>
  <c r="N154" i="38" s="1"/>
  <c r="O154" i="38" s="1"/>
  <c r="K154" i="38"/>
  <c r="L154" i="38" s="1"/>
  <c r="H154" i="38"/>
  <c r="G154" i="38"/>
  <c r="E154" i="38"/>
  <c r="D154" i="38"/>
  <c r="S153" i="38"/>
  <c r="M153" i="38"/>
  <c r="N153" i="38" s="1"/>
  <c r="O153" i="38" s="1"/>
  <c r="K153" i="38"/>
  <c r="L153" i="38" s="1"/>
  <c r="H153" i="38"/>
  <c r="G153" i="38"/>
  <c r="E153" i="38"/>
  <c r="D153" i="38"/>
  <c r="S152" i="38"/>
  <c r="M152" i="38"/>
  <c r="N152" i="38" s="1"/>
  <c r="O152" i="38" s="1"/>
  <c r="K152" i="38"/>
  <c r="L152" i="38" s="1"/>
  <c r="H152" i="38"/>
  <c r="G152" i="38"/>
  <c r="E152" i="38"/>
  <c r="D152" i="38"/>
  <c r="S151" i="38"/>
  <c r="M151" i="38"/>
  <c r="N151" i="38" s="1"/>
  <c r="O151" i="38" s="1"/>
  <c r="K151" i="38"/>
  <c r="L151" i="38" s="1"/>
  <c r="H151" i="38"/>
  <c r="G151" i="38"/>
  <c r="E151" i="38"/>
  <c r="D151" i="38"/>
  <c r="S150" i="38"/>
  <c r="M150" i="38"/>
  <c r="N150" i="38" s="1"/>
  <c r="O150" i="38" s="1"/>
  <c r="K150" i="38"/>
  <c r="L150" i="38" s="1"/>
  <c r="H150" i="38"/>
  <c r="G150" i="38"/>
  <c r="E150" i="38"/>
  <c r="D150" i="38"/>
  <c r="S149" i="38"/>
  <c r="M149" i="38"/>
  <c r="N149" i="38" s="1"/>
  <c r="O149" i="38" s="1"/>
  <c r="K149" i="38"/>
  <c r="L149" i="38" s="1"/>
  <c r="H149" i="38"/>
  <c r="G149" i="38"/>
  <c r="E149" i="38"/>
  <c r="D149" i="38"/>
  <c r="S148" i="38"/>
  <c r="M148" i="38"/>
  <c r="N148" i="38" s="1"/>
  <c r="O148" i="38" s="1"/>
  <c r="K148" i="38"/>
  <c r="L148" i="38" s="1"/>
  <c r="H148" i="38"/>
  <c r="G148" i="38"/>
  <c r="E148" i="38"/>
  <c r="D148" i="38"/>
  <c r="M147" i="38"/>
  <c r="N147" i="38" s="1"/>
  <c r="O147" i="38" s="1"/>
  <c r="K147" i="38"/>
  <c r="L147" i="38" s="1"/>
  <c r="H147" i="38"/>
  <c r="G147" i="38"/>
  <c r="E147" i="38"/>
  <c r="D147" i="38"/>
  <c r="M146" i="38"/>
  <c r="N146" i="38" s="1"/>
  <c r="O146" i="38" s="1"/>
  <c r="K146" i="38"/>
  <c r="L146" i="38" s="1"/>
  <c r="H146" i="38"/>
  <c r="G146" i="38"/>
  <c r="E146" i="38"/>
  <c r="D146" i="38"/>
  <c r="M145" i="38"/>
  <c r="N145" i="38" s="1"/>
  <c r="O145" i="38" s="1"/>
  <c r="K145" i="38"/>
  <c r="L145" i="38" s="1"/>
  <c r="H145" i="38"/>
  <c r="G145" i="38"/>
  <c r="E145" i="38"/>
  <c r="D145" i="38"/>
  <c r="M144" i="38"/>
  <c r="N144" i="38" s="1"/>
  <c r="O144" i="38" s="1"/>
  <c r="K144" i="38"/>
  <c r="L144" i="38" s="1"/>
  <c r="H144" i="38"/>
  <c r="G144" i="38"/>
  <c r="E144" i="38"/>
  <c r="D144" i="38"/>
  <c r="M143" i="38"/>
  <c r="N143" i="38" s="1"/>
  <c r="O143" i="38" s="1"/>
  <c r="K143" i="38"/>
  <c r="L143" i="38" s="1"/>
  <c r="H143" i="38"/>
  <c r="G143" i="38"/>
  <c r="E143" i="38"/>
  <c r="D143" i="38"/>
  <c r="M142" i="38"/>
  <c r="N142" i="38" s="1"/>
  <c r="O142" i="38" s="1"/>
  <c r="K142" i="38"/>
  <c r="L142" i="38" s="1"/>
  <c r="H142" i="38"/>
  <c r="G142" i="38"/>
  <c r="E142" i="38"/>
  <c r="D142" i="38"/>
  <c r="M141" i="38"/>
  <c r="N141" i="38" s="1"/>
  <c r="O141" i="38" s="1"/>
  <c r="K141" i="38"/>
  <c r="L141" i="38" s="1"/>
  <c r="H141" i="38"/>
  <c r="G141" i="38"/>
  <c r="E141" i="38"/>
  <c r="D141" i="38"/>
  <c r="M140" i="38"/>
  <c r="N140" i="38" s="1"/>
  <c r="O140" i="38" s="1"/>
  <c r="K140" i="38"/>
  <c r="L140" i="38" s="1"/>
  <c r="H140" i="38"/>
  <c r="G140" i="38"/>
  <c r="E140" i="38"/>
  <c r="D140" i="38"/>
  <c r="M139" i="38"/>
  <c r="N139" i="38" s="1"/>
  <c r="O139" i="38" s="1"/>
  <c r="K139" i="38"/>
  <c r="L139" i="38" s="1"/>
  <c r="H139" i="38"/>
  <c r="G139" i="38"/>
  <c r="E139" i="38"/>
  <c r="D139" i="38"/>
  <c r="M138" i="38"/>
  <c r="N138" i="38" s="1"/>
  <c r="O138" i="38" s="1"/>
  <c r="K138" i="38"/>
  <c r="L138" i="38" s="1"/>
  <c r="H138" i="38"/>
  <c r="G138" i="38"/>
  <c r="E138" i="38"/>
  <c r="D138" i="38"/>
  <c r="M137" i="38"/>
  <c r="N137" i="38" s="1"/>
  <c r="O137" i="38" s="1"/>
  <c r="K137" i="38"/>
  <c r="L137" i="38" s="1"/>
  <c r="H137" i="38"/>
  <c r="G137" i="38"/>
  <c r="E137" i="38"/>
  <c r="D137" i="38"/>
  <c r="M136" i="38"/>
  <c r="N136" i="38" s="1"/>
  <c r="O136" i="38" s="1"/>
  <c r="K136" i="38"/>
  <c r="L136" i="38" s="1"/>
  <c r="H136" i="38"/>
  <c r="G136" i="38"/>
  <c r="E136" i="38"/>
  <c r="D136" i="38"/>
  <c r="M135" i="38"/>
  <c r="N135" i="38" s="1"/>
  <c r="O135" i="38" s="1"/>
  <c r="K135" i="38"/>
  <c r="L135" i="38" s="1"/>
  <c r="H135" i="38"/>
  <c r="G135" i="38"/>
  <c r="E135" i="38"/>
  <c r="D135" i="38"/>
  <c r="M134" i="38"/>
  <c r="N134" i="38" s="1"/>
  <c r="O134" i="38" s="1"/>
  <c r="K134" i="38"/>
  <c r="L134" i="38" s="1"/>
  <c r="H134" i="38"/>
  <c r="G134" i="38"/>
  <c r="E134" i="38"/>
  <c r="D134" i="38"/>
  <c r="M133" i="38"/>
  <c r="N133" i="38" s="1"/>
  <c r="O133" i="38" s="1"/>
  <c r="K133" i="38"/>
  <c r="L133" i="38" s="1"/>
  <c r="H133" i="38"/>
  <c r="G133" i="38"/>
  <c r="E133" i="38"/>
  <c r="D133" i="38"/>
  <c r="M132" i="38"/>
  <c r="N132" i="38" s="1"/>
  <c r="O132" i="38" s="1"/>
  <c r="K132" i="38"/>
  <c r="L132" i="38" s="1"/>
  <c r="H132" i="38"/>
  <c r="G132" i="38"/>
  <c r="E132" i="38"/>
  <c r="D132" i="38"/>
  <c r="M131" i="38"/>
  <c r="N131" i="38" s="1"/>
  <c r="O131" i="38" s="1"/>
  <c r="K131" i="38"/>
  <c r="L131" i="38" s="1"/>
  <c r="H131" i="38"/>
  <c r="G131" i="38"/>
  <c r="E131" i="38"/>
  <c r="D131" i="38"/>
  <c r="M130" i="38"/>
  <c r="N130" i="38" s="1"/>
  <c r="O130" i="38" s="1"/>
  <c r="K130" i="38"/>
  <c r="L130" i="38" s="1"/>
  <c r="H130" i="38"/>
  <c r="G130" i="38"/>
  <c r="E130" i="38"/>
  <c r="D130" i="38"/>
  <c r="M129" i="38"/>
  <c r="N129" i="38" s="1"/>
  <c r="O129" i="38" s="1"/>
  <c r="K129" i="38"/>
  <c r="L129" i="38" s="1"/>
  <c r="H129" i="38"/>
  <c r="G129" i="38"/>
  <c r="E129" i="38"/>
  <c r="D129" i="38"/>
  <c r="M128" i="38"/>
  <c r="N128" i="38" s="1"/>
  <c r="O128" i="38" s="1"/>
  <c r="K128" i="38"/>
  <c r="L128" i="38" s="1"/>
  <c r="H128" i="38"/>
  <c r="G128" i="38"/>
  <c r="E128" i="38"/>
  <c r="D128" i="38"/>
  <c r="M127" i="38"/>
  <c r="N127" i="38" s="1"/>
  <c r="O127" i="38" s="1"/>
  <c r="K127" i="38"/>
  <c r="L127" i="38" s="1"/>
  <c r="H127" i="38"/>
  <c r="G127" i="38"/>
  <c r="E127" i="38"/>
  <c r="D127" i="38"/>
  <c r="M126" i="38"/>
  <c r="N126" i="38" s="1"/>
  <c r="O126" i="38" s="1"/>
  <c r="K126" i="38"/>
  <c r="L126" i="38" s="1"/>
  <c r="H126" i="38"/>
  <c r="G126" i="38"/>
  <c r="E126" i="38"/>
  <c r="D126" i="38"/>
  <c r="M125" i="38"/>
  <c r="N125" i="38" s="1"/>
  <c r="O125" i="38" s="1"/>
  <c r="K125" i="38"/>
  <c r="L125" i="38" s="1"/>
  <c r="H125" i="38"/>
  <c r="G125" i="38"/>
  <c r="E125" i="38"/>
  <c r="D125" i="38"/>
  <c r="M124" i="38"/>
  <c r="N124" i="38" s="1"/>
  <c r="O124" i="38" s="1"/>
  <c r="K124" i="38"/>
  <c r="L124" i="38" s="1"/>
  <c r="H124" i="38"/>
  <c r="G124" i="38"/>
  <c r="E124" i="38"/>
  <c r="D124" i="38"/>
  <c r="M123" i="38"/>
  <c r="N123" i="38" s="1"/>
  <c r="O123" i="38" s="1"/>
  <c r="K123" i="38"/>
  <c r="L123" i="38" s="1"/>
  <c r="H123" i="38"/>
  <c r="G123" i="38"/>
  <c r="E123" i="38"/>
  <c r="D123" i="38"/>
  <c r="M122" i="38"/>
  <c r="N122" i="38" s="1"/>
  <c r="O122" i="38" s="1"/>
  <c r="K122" i="38"/>
  <c r="L122" i="38" s="1"/>
  <c r="H122" i="38"/>
  <c r="G122" i="38"/>
  <c r="E122" i="38"/>
  <c r="D122" i="38"/>
  <c r="M121" i="38"/>
  <c r="N121" i="38" s="1"/>
  <c r="O121" i="38" s="1"/>
  <c r="K121" i="38"/>
  <c r="L121" i="38" s="1"/>
  <c r="H121" i="38"/>
  <c r="G121" i="38"/>
  <c r="E121" i="38"/>
  <c r="D121" i="38"/>
  <c r="M120" i="38"/>
  <c r="N120" i="38" s="1"/>
  <c r="O120" i="38" s="1"/>
  <c r="K120" i="38"/>
  <c r="L120" i="38" s="1"/>
  <c r="H120" i="38"/>
  <c r="G120" i="38"/>
  <c r="E120" i="38"/>
  <c r="D120" i="38"/>
  <c r="M119" i="38"/>
  <c r="N119" i="38" s="1"/>
  <c r="O119" i="38" s="1"/>
  <c r="K119" i="38"/>
  <c r="L119" i="38" s="1"/>
  <c r="H119" i="38"/>
  <c r="G119" i="38"/>
  <c r="E119" i="38"/>
  <c r="D119" i="38"/>
  <c r="M118" i="38"/>
  <c r="N118" i="38" s="1"/>
  <c r="O118" i="38" s="1"/>
  <c r="K118" i="38"/>
  <c r="L118" i="38" s="1"/>
  <c r="H118" i="38"/>
  <c r="G118" i="38"/>
  <c r="E118" i="38"/>
  <c r="D118" i="38"/>
  <c r="M117" i="38"/>
  <c r="N117" i="38" s="1"/>
  <c r="O117" i="38" s="1"/>
  <c r="K117" i="38"/>
  <c r="L117" i="38" s="1"/>
  <c r="H117" i="38"/>
  <c r="G117" i="38"/>
  <c r="E117" i="38"/>
  <c r="D117" i="38"/>
  <c r="M116" i="38"/>
  <c r="N116" i="38" s="1"/>
  <c r="O116" i="38" s="1"/>
  <c r="K116" i="38"/>
  <c r="L116" i="38" s="1"/>
  <c r="H116" i="38"/>
  <c r="G116" i="38"/>
  <c r="E116" i="38"/>
  <c r="D116" i="38"/>
  <c r="M115" i="38"/>
  <c r="N115" i="38" s="1"/>
  <c r="O115" i="38" s="1"/>
  <c r="K115" i="38"/>
  <c r="L115" i="38" s="1"/>
  <c r="H115" i="38"/>
  <c r="G115" i="38"/>
  <c r="E115" i="38"/>
  <c r="D115" i="38"/>
  <c r="M114" i="38"/>
  <c r="N114" i="38" s="1"/>
  <c r="O114" i="38" s="1"/>
  <c r="K114" i="38"/>
  <c r="L114" i="38" s="1"/>
  <c r="H114" i="38"/>
  <c r="G114" i="38"/>
  <c r="E114" i="38"/>
  <c r="D114" i="38"/>
  <c r="M113" i="38"/>
  <c r="N113" i="38" s="1"/>
  <c r="O113" i="38" s="1"/>
  <c r="K113" i="38"/>
  <c r="L113" i="38" s="1"/>
  <c r="H113" i="38"/>
  <c r="G113" i="38"/>
  <c r="E113" i="38"/>
  <c r="D113" i="38"/>
  <c r="M112" i="38"/>
  <c r="N112" i="38" s="1"/>
  <c r="O112" i="38" s="1"/>
  <c r="K112" i="38"/>
  <c r="L112" i="38" s="1"/>
  <c r="H112" i="38"/>
  <c r="G112" i="38"/>
  <c r="E112" i="38"/>
  <c r="D112" i="38"/>
  <c r="M111" i="38"/>
  <c r="N111" i="38" s="1"/>
  <c r="O111" i="38" s="1"/>
  <c r="K111" i="38"/>
  <c r="L111" i="38" s="1"/>
  <c r="H111" i="38"/>
  <c r="G111" i="38"/>
  <c r="E111" i="38"/>
  <c r="D111" i="38"/>
  <c r="M110" i="38"/>
  <c r="N110" i="38" s="1"/>
  <c r="O110" i="38" s="1"/>
  <c r="K110" i="38"/>
  <c r="L110" i="38" s="1"/>
  <c r="H110" i="38"/>
  <c r="G110" i="38"/>
  <c r="E110" i="38"/>
  <c r="D110" i="38"/>
  <c r="M109" i="38"/>
  <c r="N109" i="38" s="1"/>
  <c r="O109" i="38" s="1"/>
  <c r="K109" i="38"/>
  <c r="L109" i="38" s="1"/>
  <c r="H109" i="38"/>
  <c r="G109" i="38"/>
  <c r="E109" i="38"/>
  <c r="D109" i="38"/>
  <c r="M108" i="38"/>
  <c r="N108" i="38" s="1"/>
  <c r="O108" i="38" s="1"/>
  <c r="K108" i="38"/>
  <c r="L108" i="38" s="1"/>
  <c r="H108" i="38"/>
  <c r="G108" i="38"/>
  <c r="E108" i="38"/>
  <c r="D108" i="38"/>
  <c r="M107" i="38"/>
  <c r="N107" i="38" s="1"/>
  <c r="O107" i="38" s="1"/>
  <c r="K107" i="38"/>
  <c r="L107" i="38" s="1"/>
  <c r="H107" i="38"/>
  <c r="G107" i="38"/>
  <c r="E107" i="38"/>
  <c r="D107" i="38"/>
  <c r="M106" i="38"/>
  <c r="N106" i="38" s="1"/>
  <c r="O106" i="38" s="1"/>
  <c r="K106" i="38"/>
  <c r="L106" i="38" s="1"/>
  <c r="H106" i="38"/>
  <c r="G106" i="38"/>
  <c r="E106" i="38"/>
  <c r="D106" i="38"/>
  <c r="M105" i="38"/>
  <c r="N105" i="38" s="1"/>
  <c r="O105" i="38" s="1"/>
  <c r="K105" i="38"/>
  <c r="L105" i="38" s="1"/>
  <c r="H105" i="38"/>
  <c r="G105" i="38"/>
  <c r="E105" i="38"/>
  <c r="D105" i="38"/>
  <c r="M104" i="38"/>
  <c r="N104" i="38" s="1"/>
  <c r="O104" i="38" s="1"/>
  <c r="K104" i="38"/>
  <c r="L104" i="38" s="1"/>
  <c r="H104" i="38"/>
  <c r="G104" i="38"/>
  <c r="E104" i="38"/>
  <c r="D104" i="38"/>
  <c r="M103" i="38"/>
  <c r="N103" i="38" s="1"/>
  <c r="O103" i="38" s="1"/>
  <c r="K103" i="38"/>
  <c r="L103" i="38" s="1"/>
  <c r="H103" i="38"/>
  <c r="G103" i="38"/>
  <c r="E103" i="38"/>
  <c r="D103" i="38"/>
  <c r="M102" i="38"/>
  <c r="N102" i="38" s="1"/>
  <c r="O102" i="38" s="1"/>
  <c r="K102" i="38"/>
  <c r="L102" i="38" s="1"/>
  <c r="H102" i="38"/>
  <c r="G102" i="38"/>
  <c r="E102" i="38"/>
  <c r="D102" i="38"/>
  <c r="M101" i="38"/>
  <c r="N101" i="38" s="1"/>
  <c r="O101" i="38" s="1"/>
  <c r="K101" i="38"/>
  <c r="L101" i="38" s="1"/>
  <c r="H101" i="38"/>
  <c r="G101" i="38"/>
  <c r="E101" i="38"/>
  <c r="D101" i="38"/>
  <c r="M100" i="38"/>
  <c r="N100" i="38" s="1"/>
  <c r="O100" i="38" s="1"/>
  <c r="K100" i="38"/>
  <c r="L100" i="38" s="1"/>
  <c r="H100" i="38"/>
  <c r="G100" i="38"/>
  <c r="E100" i="38"/>
  <c r="D100" i="38"/>
  <c r="M99" i="38"/>
  <c r="N99" i="38" s="1"/>
  <c r="O99" i="38" s="1"/>
  <c r="K99" i="38"/>
  <c r="L99" i="38" s="1"/>
  <c r="H99" i="38"/>
  <c r="G99" i="38"/>
  <c r="E99" i="38"/>
  <c r="D99" i="38"/>
  <c r="M98" i="38"/>
  <c r="N98" i="38" s="1"/>
  <c r="O98" i="38" s="1"/>
  <c r="K98" i="38"/>
  <c r="L98" i="38" s="1"/>
  <c r="H98" i="38"/>
  <c r="G98" i="38"/>
  <c r="E98" i="38"/>
  <c r="D98" i="38"/>
  <c r="M97" i="38"/>
  <c r="N97" i="38" s="1"/>
  <c r="O97" i="38" s="1"/>
  <c r="K97" i="38"/>
  <c r="L97" i="38" s="1"/>
  <c r="H97" i="38"/>
  <c r="G97" i="38"/>
  <c r="E97" i="38"/>
  <c r="D97" i="38"/>
  <c r="M96" i="38"/>
  <c r="N96" i="38" s="1"/>
  <c r="O96" i="38" s="1"/>
  <c r="K96" i="38"/>
  <c r="L96" i="38" s="1"/>
  <c r="H96" i="38"/>
  <c r="G96" i="38"/>
  <c r="E96" i="38"/>
  <c r="D96" i="38"/>
  <c r="M95" i="38"/>
  <c r="N95" i="38" s="1"/>
  <c r="O95" i="38" s="1"/>
  <c r="K95" i="38"/>
  <c r="L95" i="38" s="1"/>
  <c r="H95" i="38"/>
  <c r="G95" i="38"/>
  <c r="E95" i="38"/>
  <c r="D95" i="38"/>
  <c r="M94" i="38"/>
  <c r="N94" i="38" s="1"/>
  <c r="O94" i="38" s="1"/>
  <c r="K94" i="38"/>
  <c r="L94" i="38" s="1"/>
  <c r="H94" i="38"/>
  <c r="G94" i="38"/>
  <c r="E94" i="38"/>
  <c r="D94" i="38"/>
  <c r="M93" i="38"/>
  <c r="N93" i="38" s="1"/>
  <c r="O93" i="38" s="1"/>
  <c r="K93" i="38"/>
  <c r="L93" i="38" s="1"/>
  <c r="H93" i="38"/>
  <c r="G93" i="38"/>
  <c r="E93" i="38"/>
  <c r="D93" i="38"/>
  <c r="M92" i="38"/>
  <c r="N92" i="38" s="1"/>
  <c r="O92" i="38" s="1"/>
  <c r="K92" i="38"/>
  <c r="L92" i="38" s="1"/>
  <c r="H92" i="38"/>
  <c r="G92" i="38"/>
  <c r="E92" i="38"/>
  <c r="D92" i="38"/>
  <c r="M91" i="38"/>
  <c r="N91" i="38" s="1"/>
  <c r="O91" i="38" s="1"/>
  <c r="K91" i="38"/>
  <c r="L91" i="38" s="1"/>
  <c r="H91" i="38"/>
  <c r="G91" i="38"/>
  <c r="E91" i="38"/>
  <c r="D91" i="38"/>
  <c r="M90" i="38"/>
  <c r="N90" i="38" s="1"/>
  <c r="O90" i="38" s="1"/>
  <c r="K90" i="38"/>
  <c r="L90" i="38" s="1"/>
  <c r="H90" i="38"/>
  <c r="G90" i="38"/>
  <c r="E90" i="38"/>
  <c r="D90" i="38"/>
  <c r="M89" i="38"/>
  <c r="N89" i="38" s="1"/>
  <c r="O89" i="38" s="1"/>
  <c r="K89" i="38"/>
  <c r="L89" i="38" s="1"/>
  <c r="H89" i="38"/>
  <c r="G89" i="38"/>
  <c r="E89" i="38"/>
  <c r="D89" i="38"/>
  <c r="M88" i="38"/>
  <c r="N88" i="38" s="1"/>
  <c r="O88" i="38" s="1"/>
  <c r="K88" i="38"/>
  <c r="L88" i="38" s="1"/>
  <c r="H88" i="38"/>
  <c r="G88" i="38"/>
  <c r="E88" i="38"/>
  <c r="D88" i="38"/>
  <c r="M87" i="38"/>
  <c r="N87" i="38" s="1"/>
  <c r="O87" i="38" s="1"/>
  <c r="K87" i="38"/>
  <c r="L87" i="38" s="1"/>
  <c r="H87" i="38"/>
  <c r="G87" i="38"/>
  <c r="E87" i="38"/>
  <c r="D87" i="38"/>
  <c r="M86" i="38"/>
  <c r="N86" i="38" s="1"/>
  <c r="O86" i="38" s="1"/>
  <c r="H86" i="38"/>
  <c r="G86" i="38"/>
  <c r="E86" i="38"/>
  <c r="D86" i="38"/>
  <c r="I85" i="38"/>
  <c r="M85" i="38" s="1"/>
  <c r="N85" i="38" s="1"/>
  <c r="O85" i="38" s="1"/>
  <c r="H85" i="38"/>
  <c r="G85" i="38"/>
  <c r="E85" i="38"/>
  <c r="D85" i="38"/>
  <c r="M84" i="38"/>
  <c r="N84" i="38" s="1"/>
  <c r="O84" i="38" s="1"/>
  <c r="K84" i="38"/>
  <c r="L84" i="38" s="1"/>
  <c r="H84" i="38"/>
  <c r="G84" i="38"/>
  <c r="E84" i="38"/>
  <c r="D84" i="38"/>
  <c r="M83" i="38"/>
  <c r="N83" i="38" s="1"/>
  <c r="O83" i="38" s="1"/>
  <c r="K83" i="38"/>
  <c r="L83" i="38" s="1"/>
  <c r="H83" i="38"/>
  <c r="G83" i="38"/>
  <c r="E83" i="38"/>
  <c r="D83" i="38"/>
  <c r="M82" i="38"/>
  <c r="N82" i="38" s="1"/>
  <c r="O82" i="38" s="1"/>
  <c r="K82" i="38"/>
  <c r="L82" i="38" s="1"/>
  <c r="H82" i="38"/>
  <c r="G82" i="38"/>
  <c r="E82" i="38"/>
  <c r="D82" i="38"/>
  <c r="M81" i="38"/>
  <c r="N81" i="38" s="1"/>
  <c r="O81" i="38" s="1"/>
  <c r="K81" i="38"/>
  <c r="L81" i="38" s="1"/>
  <c r="H81" i="38"/>
  <c r="G81" i="38"/>
  <c r="E81" i="38"/>
  <c r="D81" i="38"/>
  <c r="M80" i="38"/>
  <c r="N80" i="38" s="1"/>
  <c r="O80" i="38" s="1"/>
  <c r="K80" i="38"/>
  <c r="L80" i="38" s="1"/>
  <c r="H80" i="38"/>
  <c r="G80" i="38"/>
  <c r="E80" i="38"/>
  <c r="D80" i="38"/>
  <c r="M79" i="38"/>
  <c r="N79" i="38" s="1"/>
  <c r="O79" i="38" s="1"/>
  <c r="K79" i="38"/>
  <c r="L79" i="38" s="1"/>
  <c r="H79" i="38"/>
  <c r="G79" i="38"/>
  <c r="E79" i="38"/>
  <c r="D79" i="38"/>
  <c r="M78" i="38"/>
  <c r="N78" i="38" s="1"/>
  <c r="O78" i="38" s="1"/>
  <c r="K78" i="38"/>
  <c r="L78" i="38" s="1"/>
  <c r="H78" i="38"/>
  <c r="G78" i="38"/>
  <c r="E78" i="38"/>
  <c r="D78" i="38"/>
  <c r="M77" i="38"/>
  <c r="N77" i="38" s="1"/>
  <c r="O77" i="38" s="1"/>
  <c r="K77" i="38"/>
  <c r="L77" i="38" s="1"/>
  <c r="H77" i="38"/>
  <c r="G77" i="38"/>
  <c r="E77" i="38"/>
  <c r="D77" i="38"/>
  <c r="M76" i="38"/>
  <c r="N76" i="38" s="1"/>
  <c r="O76" i="38" s="1"/>
  <c r="K76" i="38"/>
  <c r="L76" i="38" s="1"/>
  <c r="H76" i="38"/>
  <c r="G76" i="38"/>
  <c r="E76" i="38"/>
  <c r="D76" i="38"/>
  <c r="M75" i="38"/>
  <c r="N75" i="38" s="1"/>
  <c r="O75" i="38" s="1"/>
  <c r="K75" i="38"/>
  <c r="L75" i="38" s="1"/>
  <c r="H75" i="38"/>
  <c r="G75" i="38"/>
  <c r="E75" i="38"/>
  <c r="D75" i="38"/>
  <c r="M74" i="38"/>
  <c r="N74" i="38" s="1"/>
  <c r="O74" i="38" s="1"/>
  <c r="K74" i="38"/>
  <c r="L74" i="38" s="1"/>
  <c r="H74" i="38"/>
  <c r="G74" i="38"/>
  <c r="E74" i="38"/>
  <c r="D74" i="38"/>
  <c r="M73" i="38"/>
  <c r="N73" i="38" s="1"/>
  <c r="O73" i="38" s="1"/>
  <c r="K73" i="38"/>
  <c r="L73" i="38" s="1"/>
  <c r="H73" i="38"/>
  <c r="G73" i="38"/>
  <c r="E73" i="38"/>
  <c r="D73" i="38"/>
  <c r="M72" i="38"/>
  <c r="N72" i="38" s="1"/>
  <c r="O72" i="38" s="1"/>
  <c r="K72" i="38"/>
  <c r="L72" i="38" s="1"/>
  <c r="H72" i="38"/>
  <c r="G72" i="38"/>
  <c r="E72" i="38"/>
  <c r="D72" i="38"/>
  <c r="M71" i="38"/>
  <c r="N71" i="38" s="1"/>
  <c r="O71" i="38" s="1"/>
  <c r="K71" i="38"/>
  <c r="L71" i="38" s="1"/>
  <c r="H71" i="38"/>
  <c r="G71" i="38"/>
  <c r="E71" i="38"/>
  <c r="D71" i="38"/>
  <c r="M70" i="38"/>
  <c r="N70" i="38" s="1"/>
  <c r="O70" i="38" s="1"/>
  <c r="K70" i="38"/>
  <c r="L70" i="38" s="1"/>
  <c r="H70" i="38"/>
  <c r="G70" i="38"/>
  <c r="E70" i="38"/>
  <c r="D70" i="38"/>
  <c r="M69" i="38"/>
  <c r="N69" i="38" s="1"/>
  <c r="O69" i="38" s="1"/>
  <c r="K69" i="38"/>
  <c r="L69" i="38" s="1"/>
  <c r="H69" i="38"/>
  <c r="G69" i="38"/>
  <c r="E69" i="38"/>
  <c r="D69" i="38"/>
  <c r="M68" i="38"/>
  <c r="N68" i="38" s="1"/>
  <c r="O68" i="38" s="1"/>
  <c r="K68" i="38"/>
  <c r="L68" i="38" s="1"/>
  <c r="H68" i="38"/>
  <c r="G68" i="38"/>
  <c r="E68" i="38"/>
  <c r="D68" i="38"/>
  <c r="M67" i="38"/>
  <c r="N67" i="38" s="1"/>
  <c r="O67" i="38" s="1"/>
  <c r="K67" i="38"/>
  <c r="L67" i="38" s="1"/>
  <c r="H67" i="38"/>
  <c r="G67" i="38"/>
  <c r="E67" i="38"/>
  <c r="D67" i="38"/>
  <c r="M66" i="38"/>
  <c r="N66" i="38" s="1"/>
  <c r="O66" i="38" s="1"/>
  <c r="K66" i="38"/>
  <c r="L66" i="38" s="1"/>
  <c r="H66" i="38"/>
  <c r="G66" i="38"/>
  <c r="E66" i="38"/>
  <c r="D66" i="38"/>
  <c r="M65" i="38"/>
  <c r="N65" i="38" s="1"/>
  <c r="O65" i="38" s="1"/>
  <c r="K65" i="38"/>
  <c r="L65" i="38" s="1"/>
  <c r="H65" i="38"/>
  <c r="G65" i="38"/>
  <c r="E65" i="38"/>
  <c r="D65" i="38"/>
  <c r="M64" i="38"/>
  <c r="N64" i="38" s="1"/>
  <c r="O64" i="38" s="1"/>
  <c r="K64" i="38"/>
  <c r="L64" i="38" s="1"/>
  <c r="H64" i="38"/>
  <c r="G64" i="38"/>
  <c r="E64" i="38"/>
  <c r="D64" i="38"/>
  <c r="M63" i="38"/>
  <c r="N63" i="38" s="1"/>
  <c r="O63" i="38" s="1"/>
  <c r="K63" i="38"/>
  <c r="L63" i="38" s="1"/>
  <c r="H63" i="38"/>
  <c r="G63" i="38"/>
  <c r="E63" i="38"/>
  <c r="D63" i="38"/>
  <c r="M62" i="38"/>
  <c r="N62" i="38" s="1"/>
  <c r="O62" i="38" s="1"/>
  <c r="K62" i="38"/>
  <c r="L62" i="38" s="1"/>
  <c r="H62" i="38"/>
  <c r="G62" i="38"/>
  <c r="E62" i="38"/>
  <c r="D62" i="38"/>
  <c r="M61" i="38"/>
  <c r="N61" i="38" s="1"/>
  <c r="O61" i="38" s="1"/>
  <c r="K61" i="38"/>
  <c r="L61" i="38" s="1"/>
  <c r="H61" i="38"/>
  <c r="G61" i="38"/>
  <c r="E61" i="38"/>
  <c r="D61" i="38"/>
  <c r="M60" i="38"/>
  <c r="N60" i="38" s="1"/>
  <c r="O60" i="38" s="1"/>
  <c r="K60" i="38"/>
  <c r="L60" i="38" s="1"/>
  <c r="H60" i="38"/>
  <c r="G60" i="38"/>
  <c r="E60" i="38"/>
  <c r="D60" i="38"/>
  <c r="M59" i="38"/>
  <c r="N59" i="38" s="1"/>
  <c r="O59" i="38" s="1"/>
  <c r="K59" i="38"/>
  <c r="L59" i="38" s="1"/>
  <c r="H59" i="38"/>
  <c r="G59" i="38"/>
  <c r="E59" i="38"/>
  <c r="D59" i="38"/>
  <c r="M58" i="38"/>
  <c r="N58" i="38" s="1"/>
  <c r="O58" i="38" s="1"/>
  <c r="K58" i="38"/>
  <c r="L58" i="38" s="1"/>
  <c r="H58" i="38"/>
  <c r="G58" i="38"/>
  <c r="E58" i="38"/>
  <c r="D58" i="38"/>
  <c r="M57" i="38"/>
  <c r="N57" i="38" s="1"/>
  <c r="O57" i="38" s="1"/>
  <c r="K57" i="38"/>
  <c r="L57" i="38" s="1"/>
  <c r="H57" i="38"/>
  <c r="G57" i="38"/>
  <c r="E57" i="38"/>
  <c r="D57" i="38"/>
  <c r="M56" i="38"/>
  <c r="N56" i="38" s="1"/>
  <c r="O56" i="38" s="1"/>
  <c r="K56" i="38"/>
  <c r="L56" i="38" s="1"/>
  <c r="H56" i="38"/>
  <c r="G56" i="38"/>
  <c r="E56" i="38"/>
  <c r="D56" i="38"/>
  <c r="M55" i="38"/>
  <c r="N55" i="38" s="1"/>
  <c r="O55" i="38" s="1"/>
  <c r="K55" i="38"/>
  <c r="L55" i="38" s="1"/>
  <c r="H55" i="38"/>
  <c r="G55" i="38"/>
  <c r="E55" i="38"/>
  <c r="D55" i="38"/>
  <c r="M54" i="38"/>
  <c r="N54" i="38" s="1"/>
  <c r="O54" i="38" s="1"/>
  <c r="K54" i="38"/>
  <c r="L54" i="38" s="1"/>
  <c r="H54" i="38"/>
  <c r="G54" i="38"/>
  <c r="E54" i="38"/>
  <c r="D54" i="38"/>
  <c r="M53" i="38"/>
  <c r="N53" i="38" s="1"/>
  <c r="O53" i="38" s="1"/>
  <c r="K53" i="38"/>
  <c r="L53" i="38" s="1"/>
  <c r="H53" i="38"/>
  <c r="G53" i="38"/>
  <c r="E53" i="38"/>
  <c r="D53" i="38"/>
  <c r="M52" i="38"/>
  <c r="N52" i="38" s="1"/>
  <c r="O52" i="38" s="1"/>
  <c r="K52" i="38"/>
  <c r="L52" i="38" s="1"/>
  <c r="H52" i="38"/>
  <c r="G52" i="38"/>
  <c r="E52" i="38"/>
  <c r="D52" i="38"/>
  <c r="M51" i="38"/>
  <c r="N51" i="38" s="1"/>
  <c r="O51" i="38" s="1"/>
  <c r="K51" i="38"/>
  <c r="L51" i="38" s="1"/>
  <c r="H51" i="38"/>
  <c r="G51" i="38"/>
  <c r="E51" i="38"/>
  <c r="D51" i="38"/>
  <c r="M50" i="38"/>
  <c r="N50" i="38" s="1"/>
  <c r="O50" i="38" s="1"/>
  <c r="K50" i="38"/>
  <c r="L50" i="38" s="1"/>
  <c r="H50" i="38"/>
  <c r="G50" i="38"/>
  <c r="E50" i="38"/>
  <c r="D50" i="38"/>
  <c r="M49" i="38"/>
  <c r="N49" i="38" s="1"/>
  <c r="O49" i="38" s="1"/>
  <c r="K49" i="38"/>
  <c r="L49" i="38" s="1"/>
  <c r="H49" i="38"/>
  <c r="G49" i="38"/>
  <c r="E49" i="38"/>
  <c r="D49" i="38"/>
  <c r="M48" i="38"/>
  <c r="N48" i="38" s="1"/>
  <c r="O48" i="38" s="1"/>
  <c r="K48" i="38"/>
  <c r="L48" i="38" s="1"/>
  <c r="H48" i="38"/>
  <c r="G48" i="38"/>
  <c r="E48" i="38"/>
  <c r="D48" i="38"/>
  <c r="M47" i="38"/>
  <c r="N47" i="38" s="1"/>
  <c r="O47" i="38" s="1"/>
  <c r="K47" i="38"/>
  <c r="L47" i="38" s="1"/>
  <c r="H47" i="38"/>
  <c r="G47" i="38"/>
  <c r="E47" i="38"/>
  <c r="D47" i="38"/>
  <c r="M46" i="38"/>
  <c r="N46" i="38" s="1"/>
  <c r="O46" i="38" s="1"/>
  <c r="K46" i="38"/>
  <c r="L46" i="38" s="1"/>
  <c r="H46" i="38"/>
  <c r="G46" i="38"/>
  <c r="E46" i="38"/>
  <c r="D46" i="38"/>
  <c r="M45" i="38"/>
  <c r="N45" i="38" s="1"/>
  <c r="O45" i="38" s="1"/>
  <c r="K45" i="38"/>
  <c r="L45" i="38" s="1"/>
  <c r="H45" i="38"/>
  <c r="G45" i="38"/>
  <c r="E45" i="38"/>
  <c r="D45" i="38"/>
  <c r="M44" i="38"/>
  <c r="N44" i="38" s="1"/>
  <c r="O44" i="38" s="1"/>
  <c r="K44" i="38"/>
  <c r="L44" i="38" s="1"/>
  <c r="H44" i="38"/>
  <c r="G44" i="38"/>
  <c r="E44" i="38"/>
  <c r="D44" i="38"/>
  <c r="M43" i="38"/>
  <c r="N43" i="38" s="1"/>
  <c r="O43" i="38" s="1"/>
  <c r="K43" i="38"/>
  <c r="L43" i="38" s="1"/>
  <c r="H43" i="38"/>
  <c r="G43" i="38"/>
  <c r="E43" i="38"/>
  <c r="D43" i="38"/>
  <c r="M42" i="38"/>
  <c r="N42" i="38" s="1"/>
  <c r="O42" i="38" s="1"/>
  <c r="K42" i="38"/>
  <c r="L42" i="38" s="1"/>
  <c r="H42" i="38"/>
  <c r="G42" i="38"/>
  <c r="E42" i="38"/>
  <c r="D42" i="38"/>
  <c r="M41" i="38"/>
  <c r="N41" i="38" s="1"/>
  <c r="O41" i="38" s="1"/>
  <c r="K41" i="38"/>
  <c r="L41" i="38" s="1"/>
  <c r="H41" i="38"/>
  <c r="G41" i="38"/>
  <c r="E41" i="38"/>
  <c r="D41" i="38"/>
  <c r="M40" i="38"/>
  <c r="N40" i="38" s="1"/>
  <c r="O40" i="38" s="1"/>
  <c r="K40" i="38"/>
  <c r="L40" i="38" s="1"/>
  <c r="H40" i="38"/>
  <c r="G40" i="38"/>
  <c r="E40" i="38"/>
  <c r="D40" i="38"/>
  <c r="M39" i="38"/>
  <c r="N39" i="38" s="1"/>
  <c r="O39" i="38" s="1"/>
  <c r="K39" i="38"/>
  <c r="L39" i="38" s="1"/>
  <c r="H39" i="38"/>
  <c r="G39" i="38"/>
  <c r="E39" i="38"/>
  <c r="D39" i="38"/>
  <c r="M38" i="38"/>
  <c r="N38" i="38" s="1"/>
  <c r="O38" i="38" s="1"/>
  <c r="K38" i="38"/>
  <c r="L38" i="38" s="1"/>
  <c r="H38" i="38"/>
  <c r="G38" i="38"/>
  <c r="E38" i="38"/>
  <c r="D38" i="38"/>
  <c r="M37" i="38"/>
  <c r="N37" i="38" s="1"/>
  <c r="O37" i="38" s="1"/>
  <c r="K37" i="38"/>
  <c r="L37" i="38" s="1"/>
  <c r="H37" i="38"/>
  <c r="G37" i="38"/>
  <c r="E37" i="38"/>
  <c r="D37" i="38"/>
  <c r="M36" i="38"/>
  <c r="N36" i="38" s="1"/>
  <c r="O36" i="38" s="1"/>
  <c r="K36" i="38"/>
  <c r="L36" i="38" s="1"/>
  <c r="H36" i="38"/>
  <c r="G36" i="38"/>
  <c r="E36" i="38"/>
  <c r="D36" i="38"/>
  <c r="M35" i="38"/>
  <c r="N35" i="38" s="1"/>
  <c r="O35" i="38" s="1"/>
  <c r="K35" i="38"/>
  <c r="L35" i="38" s="1"/>
  <c r="H35" i="38"/>
  <c r="G35" i="38"/>
  <c r="E35" i="38"/>
  <c r="D35" i="38"/>
  <c r="M34" i="38"/>
  <c r="N34" i="38" s="1"/>
  <c r="O34" i="38" s="1"/>
  <c r="K34" i="38"/>
  <c r="L34" i="38" s="1"/>
  <c r="H34" i="38"/>
  <c r="G34" i="38"/>
  <c r="E34" i="38"/>
  <c r="D34" i="38"/>
  <c r="M33" i="38"/>
  <c r="N33" i="38" s="1"/>
  <c r="O33" i="38" s="1"/>
  <c r="K33" i="38"/>
  <c r="L33" i="38" s="1"/>
  <c r="H33" i="38"/>
  <c r="G33" i="38"/>
  <c r="E33" i="38"/>
  <c r="D33" i="38"/>
  <c r="M32" i="38"/>
  <c r="N32" i="38" s="1"/>
  <c r="O32" i="38" s="1"/>
  <c r="K32" i="38"/>
  <c r="L32" i="38" s="1"/>
  <c r="H32" i="38"/>
  <c r="G32" i="38"/>
  <c r="E32" i="38"/>
  <c r="D32" i="38"/>
  <c r="M31" i="38"/>
  <c r="N31" i="38" s="1"/>
  <c r="O31" i="38" s="1"/>
  <c r="K31" i="38"/>
  <c r="L31" i="38" s="1"/>
  <c r="H31" i="38"/>
  <c r="G31" i="38"/>
  <c r="E31" i="38"/>
  <c r="D31" i="38"/>
  <c r="M30" i="38"/>
  <c r="N30" i="38" s="1"/>
  <c r="O30" i="38" s="1"/>
  <c r="K30" i="38"/>
  <c r="L30" i="38" s="1"/>
  <c r="H30" i="38"/>
  <c r="G30" i="38"/>
  <c r="E30" i="38"/>
  <c r="D30" i="38"/>
  <c r="M29" i="38"/>
  <c r="N29" i="38" s="1"/>
  <c r="O29" i="38" s="1"/>
  <c r="K29" i="38"/>
  <c r="L29" i="38" s="1"/>
  <c r="H29" i="38"/>
  <c r="G29" i="38"/>
  <c r="E29" i="38"/>
  <c r="D29" i="38"/>
  <c r="M28" i="38"/>
  <c r="N28" i="38" s="1"/>
  <c r="O28" i="38" s="1"/>
  <c r="K28" i="38"/>
  <c r="L28" i="38" s="1"/>
  <c r="H28" i="38"/>
  <c r="G28" i="38"/>
  <c r="E28" i="38"/>
  <c r="D28" i="38"/>
  <c r="M27" i="38"/>
  <c r="N27" i="38" s="1"/>
  <c r="O27" i="38" s="1"/>
  <c r="K27" i="38"/>
  <c r="L27" i="38" s="1"/>
  <c r="H27" i="38"/>
  <c r="G27" i="38"/>
  <c r="E27" i="38"/>
  <c r="D27" i="38"/>
  <c r="M26" i="38"/>
  <c r="N26" i="38" s="1"/>
  <c r="O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N267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119" i="7"/>
  <c r="F77" i="70"/>
  <c r="H19" i="3"/>
  <c r="M19" i="71"/>
  <c r="M213" i="57"/>
  <c r="C213" i="57"/>
  <c r="H19" i="61"/>
  <c r="M19" i="60"/>
  <c r="H19" i="41"/>
  <c r="H90" i="72"/>
  <c r="H92" i="45"/>
  <c r="H19" i="75"/>
  <c r="K19" i="61"/>
  <c r="C19" i="54"/>
  <c r="H63" i="66"/>
  <c r="H81" i="61"/>
  <c r="C19" i="41"/>
  <c r="M19" i="55"/>
  <c r="M81" i="61"/>
  <c r="H19" i="62"/>
  <c r="H19" i="71"/>
  <c r="K19" i="45"/>
  <c r="K23" i="58"/>
  <c r="F146" i="58"/>
  <c r="K146" i="58"/>
  <c r="H19" i="66"/>
  <c r="K94" i="52"/>
  <c r="F19" i="60"/>
  <c r="K119" i="7"/>
  <c r="F55" i="50"/>
  <c r="K19" i="59"/>
  <c r="M23" i="17"/>
  <c r="C19" i="3"/>
  <c r="C19" i="34"/>
  <c r="H72" i="59"/>
  <c r="C19" i="52"/>
  <c r="M19" i="69"/>
  <c r="K86" i="53"/>
  <c r="F19" i="43"/>
  <c r="F75" i="41"/>
  <c r="F30" i="40"/>
  <c r="F19" i="34"/>
  <c r="C51" i="54"/>
  <c r="K19" i="53"/>
  <c r="H156" i="49"/>
  <c r="M75" i="41"/>
  <c r="M55" i="50"/>
  <c r="M67" i="60"/>
  <c r="C86" i="53"/>
  <c r="K23" i="57"/>
  <c r="C19" i="50"/>
  <c r="F94" i="52"/>
  <c r="M86" i="53"/>
  <c r="K55" i="50"/>
  <c r="C19" i="66"/>
  <c r="M19" i="72"/>
  <c r="K19" i="41"/>
  <c r="H19" i="69"/>
  <c r="C19" i="68"/>
  <c r="H23" i="17"/>
  <c r="H19" i="55"/>
  <c r="C19" i="71"/>
  <c r="H100" i="34"/>
  <c r="M19" i="70"/>
  <c r="K67" i="60"/>
  <c r="M19" i="50"/>
  <c r="H94" i="52"/>
  <c r="M146" i="58"/>
  <c r="M19" i="41"/>
  <c r="C19" i="59"/>
  <c r="K30" i="49"/>
  <c r="K451" i="17"/>
  <c r="C19" i="63"/>
  <c r="M19" i="34"/>
  <c r="M19" i="61"/>
  <c r="F19" i="54"/>
  <c r="H19" i="70"/>
  <c r="C146" i="58"/>
  <c r="C72" i="59"/>
  <c r="C81" i="61"/>
  <c r="F19" i="3"/>
  <c r="C156" i="49"/>
  <c r="K19" i="69"/>
  <c r="M65" i="71"/>
  <c r="K19" i="75"/>
  <c r="K19" i="70"/>
  <c r="M19" i="52"/>
  <c r="C119" i="7"/>
  <c r="K51" i="54"/>
  <c r="M19" i="73"/>
  <c r="F65" i="71"/>
  <c r="F19" i="50"/>
  <c r="H19" i="60"/>
  <c r="K19" i="34"/>
  <c r="K19" i="68"/>
  <c r="M23" i="58"/>
  <c r="C19" i="53"/>
  <c r="K19" i="52"/>
  <c r="F19" i="45"/>
  <c r="M30" i="49"/>
  <c r="C19" i="64"/>
  <c r="K19" i="60"/>
  <c r="C55" i="50"/>
  <c r="F100" i="34"/>
  <c r="M92" i="45"/>
  <c r="C30" i="40"/>
  <c r="H65" i="63"/>
  <c r="F19" i="75"/>
  <c r="C19" i="61"/>
  <c r="H30" i="49"/>
  <c r="F19" i="72"/>
  <c r="F19" i="66"/>
  <c r="F19" i="71"/>
  <c r="K75" i="41"/>
  <c r="C63" i="66"/>
  <c r="K19" i="62"/>
  <c r="K42" i="51"/>
  <c r="C19" i="72"/>
  <c r="F19" i="70"/>
  <c r="H19" i="68"/>
  <c r="F119" i="7"/>
  <c r="F19" i="61"/>
  <c r="F19" i="53"/>
  <c r="K65" i="63"/>
  <c r="H19" i="73"/>
  <c r="M19" i="45"/>
  <c r="C19" i="55"/>
  <c r="F19" i="68"/>
  <c r="M77" i="70"/>
  <c r="K19" i="71"/>
  <c r="H86" i="53"/>
  <c r="F18" i="74"/>
  <c r="K19" i="73"/>
  <c r="C19" i="45"/>
  <c r="F85" i="64"/>
  <c r="F72" i="59"/>
  <c r="M19" i="75"/>
  <c r="M19" i="62"/>
  <c r="F19" i="55"/>
  <c r="M19" i="54"/>
  <c r="C90" i="72"/>
  <c r="F63" i="66"/>
  <c r="F81" i="61"/>
  <c r="M30" i="40"/>
  <c r="C19" i="62"/>
  <c r="K19" i="3"/>
  <c r="H146" i="58"/>
  <c r="C451" i="17"/>
  <c r="M51" i="54"/>
  <c r="K65" i="71"/>
  <c r="C19" i="70"/>
  <c r="F25" i="31"/>
  <c r="K19" i="54"/>
  <c r="C94" i="52"/>
  <c r="C19" i="60"/>
  <c r="K19" i="66"/>
  <c r="H75" i="41"/>
  <c r="F19" i="41"/>
  <c r="C23" i="17"/>
  <c r="H119" i="7"/>
  <c r="K25" i="31"/>
  <c r="H51" i="54"/>
  <c r="K19" i="55"/>
  <c r="F51" i="54"/>
  <c r="K90" i="72"/>
  <c r="C25" i="31"/>
  <c r="M63" i="66"/>
  <c r="M42" i="51"/>
  <c r="M19" i="63"/>
  <c r="F156" i="49"/>
  <c r="H19" i="72"/>
  <c r="M19" i="68"/>
  <c r="F65" i="63"/>
  <c r="F19" i="69"/>
  <c r="F86" i="53"/>
  <c r="C19" i="73"/>
  <c r="H19" i="63"/>
  <c r="F19" i="59"/>
  <c r="H19" i="59"/>
  <c r="H19" i="45"/>
  <c r="H77" i="70"/>
  <c r="K72" i="59"/>
  <c r="K100" i="34"/>
  <c r="F19" i="64"/>
  <c r="H23" i="58"/>
  <c r="F451" i="17"/>
  <c r="M94" i="52"/>
  <c r="C19" i="75"/>
  <c r="K19" i="50"/>
  <c r="K19" i="63"/>
  <c r="K23" i="17"/>
  <c r="C100" i="34"/>
  <c r="H213" i="57"/>
  <c r="C92" i="45"/>
  <c r="M100" i="34"/>
  <c r="H19" i="53"/>
  <c r="K92" i="45"/>
  <c r="M19" i="66"/>
  <c r="H65" i="71"/>
  <c r="M23" i="57"/>
  <c r="H67" i="60"/>
  <c r="M451" i="17"/>
  <c r="K77" i="70"/>
  <c r="H19" i="54"/>
  <c r="H451" i="17"/>
  <c r="F90" i="72"/>
  <c r="K63" i="66"/>
  <c r="F19" i="52"/>
  <c r="F67" i="60"/>
  <c r="M65" i="63"/>
  <c r="F92" i="45"/>
  <c r="M72" i="59"/>
  <c r="M156" i="49"/>
  <c r="K156" i="49"/>
  <c r="K30" i="40"/>
  <c r="C19" i="69"/>
  <c r="F23" i="17"/>
  <c r="C75" i="41"/>
  <c r="C85" i="64"/>
  <c r="C65" i="71"/>
  <c r="H19" i="50"/>
  <c r="M19" i="53"/>
  <c r="H30" i="40"/>
  <c r="M90" i="72"/>
  <c r="H25" i="31"/>
  <c r="H55" i="50"/>
  <c r="F19" i="73"/>
  <c r="C67" i="60"/>
  <c r="K18" i="74"/>
  <c r="M19" i="3"/>
  <c r="K213" i="57"/>
  <c r="H19" i="34"/>
  <c r="C65" i="63"/>
  <c r="C77" i="70"/>
  <c r="F19" i="63"/>
  <c r="F213" i="57"/>
  <c r="M19" i="59"/>
  <c r="K19" i="72"/>
  <c r="H19" i="52"/>
  <c r="K81" i="61"/>
  <c r="F19" i="62"/>
  <c r="M25" i="31"/>
  <c r="H70" i="25"/>
  <c r="F23" i="57"/>
  <c r="C23" i="57"/>
  <c r="F30" i="49"/>
  <c r="C30" i="49"/>
  <c r="F70" i="25"/>
  <c r="C70" i="25"/>
  <c r="F23" i="58"/>
  <c r="C23" i="58"/>
  <c r="F42" i="51"/>
  <c r="V581" i="38" l="1"/>
  <c r="V580" i="38"/>
  <c r="V579" i="38"/>
  <c r="V578" i="38"/>
  <c r="V577" i="38"/>
  <c r="V576" i="38"/>
  <c r="V575" i="38"/>
  <c r="V574" i="38"/>
  <c r="V573" i="38"/>
  <c r="V572" i="38"/>
  <c r="F41" i="51"/>
  <c r="V571" i="38"/>
  <c r="V569" i="38"/>
  <c r="V570" i="38"/>
  <c r="V568" i="38"/>
  <c r="V567" i="38"/>
  <c r="V566" i="38"/>
  <c r="V565" i="38"/>
  <c r="V564" i="38"/>
  <c r="V556" i="38"/>
  <c r="V563" i="38"/>
  <c r="V562" i="38"/>
  <c r="V561" i="38"/>
  <c r="V560" i="38"/>
  <c r="V559" i="38"/>
  <c r="V557" i="38"/>
  <c r="V558" i="38"/>
  <c r="V555" i="38"/>
  <c r="V553" i="38"/>
  <c r="V554" i="38"/>
  <c r="V552" i="38"/>
  <c r="V551" i="38"/>
  <c r="V550" i="38"/>
  <c r="V549" i="38"/>
  <c r="V548" i="38"/>
  <c r="V547" i="38"/>
  <c r="V546" i="38"/>
  <c r="V545" i="38"/>
  <c r="V544" i="38"/>
  <c r="V543" i="38"/>
  <c r="V542" i="38"/>
  <c r="V541" i="38"/>
  <c r="V540" i="38"/>
  <c r="V539" i="38"/>
  <c r="V538" i="38"/>
  <c r="V537" i="38"/>
  <c r="V536" i="38"/>
  <c r="V535" i="38"/>
  <c r="V534" i="38"/>
  <c r="V533" i="38"/>
  <c r="V532" i="38"/>
  <c r="V531" i="38"/>
  <c r="V530" i="38"/>
  <c r="K29" i="40"/>
  <c r="V529" i="38"/>
  <c r="V528" i="38"/>
  <c r="V527" i="38"/>
  <c r="V526" i="38"/>
  <c r="V525" i="38"/>
  <c r="V524" i="38"/>
  <c r="V523" i="38"/>
  <c r="V522" i="38"/>
  <c r="V521" i="38"/>
  <c r="V520" i="38"/>
  <c r="V519" i="38"/>
  <c r="V518" i="38"/>
  <c r="V517" i="38"/>
  <c r="V516" i="38"/>
  <c r="V515" i="38"/>
  <c r="V514" i="38"/>
  <c r="V513" i="38"/>
  <c r="V512" i="38"/>
  <c r="V511" i="38"/>
  <c r="V510" i="38"/>
  <c r="V509" i="38"/>
  <c r="V508" i="38"/>
  <c r="V507" i="38"/>
  <c r="V506" i="38"/>
  <c r="V505" i="38"/>
  <c r="V504" i="38"/>
  <c r="V503" i="38"/>
  <c r="V502" i="38"/>
  <c r="V501" i="38"/>
  <c r="V500" i="38"/>
  <c r="V499" i="38"/>
  <c r="V498" i="38"/>
  <c r="V497" i="38"/>
  <c r="V496" i="38"/>
  <c r="V495" i="38"/>
  <c r="V494" i="38"/>
  <c r="V493" i="38"/>
  <c r="V492" i="38"/>
  <c r="V491" i="38"/>
  <c r="V490" i="38"/>
  <c r="F64" i="63"/>
  <c r="K64" i="63"/>
  <c r="V489" i="38"/>
  <c r="F212" i="57"/>
  <c r="M177" i="57" s="1"/>
  <c r="V488" i="38"/>
  <c r="F17" i="74"/>
  <c r="K84" i="64"/>
  <c r="V484" i="38"/>
  <c r="V487" i="38"/>
  <c r="V486" i="38"/>
  <c r="V485" i="38"/>
  <c r="F50" i="54"/>
  <c r="V483" i="38"/>
  <c r="V482" i="38"/>
  <c r="K50" i="54"/>
  <c r="K22" i="57"/>
  <c r="K17" i="74"/>
  <c r="V481" i="38"/>
  <c r="V480" i="38"/>
  <c r="V479" i="38"/>
  <c r="V478" i="38"/>
  <c r="V477" i="38"/>
  <c r="V476" i="38"/>
  <c r="V475" i="38"/>
  <c r="K80" i="61"/>
  <c r="V474" i="38"/>
  <c r="F84" i="64"/>
  <c r="V473" i="38"/>
  <c r="V472" i="38"/>
  <c r="V471" i="38"/>
  <c r="V470" i="38"/>
  <c r="V469" i="38"/>
  <c r="V468" i="38"/>
  <c r="V467" i="38"/>
  <c r="V466" i="38"/>
  <c r="V465" i="38"/>
  <c r="V464" i="38"/>
  <c r="V463" i="38"/>
  <c r="V462" i="38"/>
  <c r="V461" i="38"/>
  <c r="V460" i="38"/>
  <c r="V459" i="38"/>
  <c r="V458" i="38"/>
  <c r="V457" i="38"/>
  <c r="V456" i="38"/>
  <c r="V455" i="38"/>
  <c r="V454" i="38"/>
  <c r="V453" i="38"/>
  <c r="V452" i="38"/>
  <c r="V451" i="38"/>
  <c r="V450" i="38"/>
  <c r="V449" i="38"/>
  <c r="V448" i="38"/>
  <c r="V447" i="38"/>
  <c r="V446" i="38"/>
  <c r="V445" i="38"/>
  <c r="V444" i="38"/>
  <c r="V443" i="38"/>
  <c r="V442" i="38"/>
  <c r="V441" i="38"/>
  <c r="V440" i="38"/>
  <c r="V439" i="38"/>
  <c r="V438" i="38"/>
  <c r="V435" i="38"/>
  <c r="V437" i="38"/>
  <c r="V436" i="38"/>
  <c r="V434" i="38"/>
  <c r="V433" i="38"/>
  <c r="V432" i="38"/>
  <c r="V431" i="38"/>
  <c r="V430" i="38"/>
  <c r="V429" i="38"/>
  <c r="V428" i="38"/>
  <c r="V427" i="38"/>
  <c r="V426" i="38"/>
  <c r="V425" i="38"/>
  <c r="V424" i="38"/>
  <c r="V423" i="38"/>
  <c r="V422" i="38"/>
  <c r="V421" i="38"/>
  <c r="V420" i="38"/>
  <c r="V419" i="38"/>
  <c r="V418" i="38"/>
  <c r="V417" i="38"/>
  <c r="V416" i="38"/>
  <c r="V415" i="38"/>
  <c r="V414" i="38"/>
  <c r="V413" i="38"/>
  <c r="V412" i="38"/>
  <c r="V411" i="38"/>
  <c r="F76" i="70"/>
  <c r="K76" i="70"/>
  <c r="V410" i="38"/>
  <c r="V409" i="38"/>
  <c r="V408" i="38"/>
  <c r="V407" i="38"/>
  <c r="V406" i="38"/>
  <c r="V405" i="38"/>
  <c r="V404" i="38"/>
  <c r="V403" i="38"/>
  <c r="V402" i="38"/>
  <c r="V401" i="38"/>
  <c r="V400" i="38"/>
  <c r="V399" i="38"/>
  <c r="V398" i="38"/>
  <c r="V397" i="38"/>
  <c r="V396" i="38"/>
  <c r="V395" i="38"/>
  <c r="F18" i="69"/>
  <c r="V394" i="38"/>
  <c r="V393" i="38"/>
  <c r="V392" i="38"/>
  <c r="V391" i="38"/>
  <c r="F74" i="41"/>
  <c r="V390" i="38"/>
  <c r="V389" i="38"/>
  <c r="V387" i="38"/>
  <c r="V388" i="38"/>
  <c r="V386" i="38"/>
  <c r="V385" i="38"/>
  <c r="V383" i="38"/>
  <c r="V384" i="38"/>
  <c r="V382" i="38"/>
  <c r="K74" i="41"/>
  <c r="V381" i="38"/>
  <c r="F80" i="61"/>
  <c r="V380" i="38"/>
  <c r="V379" i="38"/>
  <c r="F52" i="16"/>
  <c r="F29" i="40"/>
  <c r="V376" i="38"/>
  <c r="V378" i="38"/>
  <c r="V377" i="38"/>
  <c r="K52" i="16"/>
  <c r="K85" i="53"/>
  <c r="Q2" i="74"/>
  <c r="V375" i="38"/>
  <c r="F54" i="50"/>
  <c r="K54" i="50"/>
  <c r="V372" i="38"/>
  <c r="V374" i="38"/>
  <c r="V373" i="38"/>
  <c r="V371" i="38"/>
  <c r="V370" i="38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V368" i="38"/>
  <c r="V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O271" i="38" s="1"/>
  <c r="F18" i="61"/>
  <c r="K237" i="1"/>
  <c r="P11" i="38"/>
  <c r="P39" i="38"/>
  <c r="P99" i="38"/>
  <c r="P132" i="38"/>
  <c r="N267" i="38"/>
  <c r="O267" i="38" s="1"/>
  <c r="N268" i="38"/>
  <c r="O268" i="38" s="1"/>
  <c r="N269" i="38"/>
  <c r="O269" i="38" s="1"/>
  <c r="P334" i="38"/>
  <c r="U337" i="38"/>
  <c r="N213" i="38"/>
  <c r="O213" i="38" s="1"/>
  <c r="N245" i="38"/>
  <c r="O245" i="38" s="1"/>
  <c r="U223" i="38"/>
  <c r="F5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O249" i="38" s="1"/>
  <c r="P257" i="38"/>
  <c r="K258" i="38"/>
  <c r="L258" i="38" s="1"/>
  <c r="P258" i="38" s="1"/>
  <c r="P275" i="38"/>
  <c r="N361" i="38"/>
  <c r="O361" i="38" s="1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O251" i="38" s="1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O207" i="38" s="1"/>
  <c r="U238" i="38"/>
  <c r="P254" i="38"/>
  <c r="M258" i="38"/>
  <c r="U258" i="38" s="1"/>
  <c r="P289" i="38"/>
  <c r="P313" i="38"/>
  <c r="N316" i="38"/>
  <c r="O316" i="38" s="1"/>
  <c r="P336" i="38"/>
  <c r="N339" i="38"/>
  <c r="O339" i="38" s="1"/>
  <c r="P349" i="38"/>
  <c r="Q2" i="33"/>
  <c r="Q3" i="33" s="1"/>
  <c r="Q6" i="33" s="1"/>
  <c r="K73" i="62"/>
  <c r="K93" i="52"/>
  <c r="K120" i="40"/>
  <c r="Y2" i="38"/>
  <c r="N270" i="1" s="1"/>
  <c r="P53" i="38"/>
  <c r="P57" i="38"/>
  <c r="P107" i="38"/>
  <c r="P168" i="38"/>
  <c r="P177" i="38"/>
  <c r="P186" i="38"/>
  <c r="P187" i="38"/>
  <c r="U201" i="38"/>
  <c r="U202" i="38"/>
  <c r="N235" i="38"/>
  <c r="O235" i="38" s="1"/>
  <c r="U254" i="38"/>
  <c r="P329" i="38"/>
  <c r="N331" i="38"/>
  <c r="O331" i="38" s="1"/>
  <c r="N332" i="38"/>
  <c r="O332" i="38" s="1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V364" i="38"/>
  <c r="U241" i="38"/>
  <c r="N241" i="38"/>
  <c r="O241" i="38" s="1"/>
  <c r="P8" i="38"/>
  <c r="P133" i="38"/>
  <c r="P194" i="38"/>
  <c r="U327" i="38"/>
  <c r="N327" i="38"/>
  <c r="O327" i="38" s="1"/>
  <c r="W4" i="38"/>
  <c r="P3" i="38"/>
  <c r="Q3" i="38" s="1"/>
  <c r="P42" i="38"/>
  <c r="P61" i="38"/>
  <c r="P238" i="38"/>
  <c r="P274" i="38"/>
  <c r="N287" i="38"/>
  <c r="O287" i="38" s="1"/>
  <c r="P295" i="38"/>
  <c r="U326" i="38"/>
  <c r="N326" i="38"/>
  <c r="O326" i="38" s="1"/>
  <c r="F27" i="1"/>
  <c r="U217" i="38"/>
  <c r="N217" i="38"/>
  <c r="O217" i="38" s="1"/>
  <c r="U307" i="38"/>
  <c r="N307" i="38"/>
  <c r="O307" i="38" s="1"/>
  <c r="P105" i="38"/>
  <c r="P110" i="38"/>
  <c r="P114" i="38"/>
  <c r="P146" i="38"/>
  <c r="U215" i="38"/>
  <c r="N215" i="38"/>
  <c r="O215" i="38" s="1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O292" i="38" s="1"/>
  <c r="N294" i="38"/>
  <c r="O294" i="38" s="1"/>
  <c r="N295" i="38"/>
  <c r="O295" i="38" s="1"/>
  <c r="N304" i="38"/>
  <c r="O304" i="38" s="1"/>
  <c r="P340" i="38"/>
  <c r="P353" i="38"/>
  <c r="U356" i="38"/>
  <c r="N357" i="38"/>
  <c r="O357" i="38" s="1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O228" i="38" s="1"/>
  <c r="N229" i="38"/>
  <c r="O229" i="38" s="1"/>
  <c r="U298" i="38"/>
  <c r="U303" i="38"/>
  <c r="P312" i="38"/>
  <c r="P331" i="38"/>
  <c r="P332" i="38"/>
  <c r="P352" i="38"/>
  <c r="N358" i="38"/>
  <c r="O358" i="38" s="1"/>
  <c r="Q2" i="57"/>
  <c r="Q5" i="57" s="1"/>
  <c r="M71" i="72"/>
  <c r="Q10" i="72" s="1"/>
  <c r="Q2" i="45"/>
  <c r="Q5" i="45" s="1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45" i="58"/>
  <c r="K145" i="58"/>
  <c r="Q2" i="17"/>
  <c r="Q2" i="75"/>
  <c r="Q5" i="75" s="1"/>
  <c r="Q2" i="53"/>
  <c r="Q5" i="53" s="1"/>
  <c r="N101" i="1"/>
  <c r="O101" i="1" s="1"/>
  <c r="N243" i="38"/>
  <c r="O243" i="38" s="1"/>
  <c r="U243" i="38"/>
  <c r="V357" i="38"/>
  <c r="N19" i="1"/>
  <c r="O19" i="1" s="1"/>
  <c r="F259" i="1"/>
  <c r="P5" i="38"/>
  <c r="P31" i="38"/>
  <c r="N230" i="38"/>
  <c r="O230" i="38" s="1"/>
  <c r="U230" i="38"/>
  <c r="U351" i="38"/>
  <c r="N351" i="38"/>
  <c r="O351" i="38" s="1"/>
  <c r="P21" i="38"/>
  <c r="U350" i="38"/>
  <c r="N350" i="38"/>
  <c r="O350" i="38" s="1"/>
  <c r="P4" i="38"/>
  <c r="P162" i="38"/>
  <c r="U248" i="38"/>
  <c r="N248" i="38"/>
  <c r="O248" i="38" s="1"/>
  <c r="U281" i="38"/>
  <c r="N281" i="38"/>
  <c r="O281" i="38" s="1"/>
  <c r="P29" i="38"/>
  <c r="Q2" i="61"/>
  <c r="Q5" i="61" s="1"/>
  <c r="U312" i="38"/>
  <c r="N312" i="38"/>
  <c r="O312" i="38" s="1"/>
  <c r="U324" i="38"/>
  <c r="N324" i="38"/>
  <c r="O324" i="38" s="1"/>
  <c r="N335" i="38"/>
  <c r="O335" i="38" s="1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O353" i="38" s="1"/>
  <c r="F73" i="55"/>
  <c r="K56" i="22"/>
  <c r="K24" i="31"/>
  <c r="U244" i="38"/>
  <c r="N244" i="38"/>
  <c r="O244" i="38" s="1"/>
  <c r="F450" i="17"/>
  <c r="F35" i="30"/>
  <c r="U279" i="38"/>
  <c r="N279" i="38"/>
  <c r="O279" i="38" s="1"/>
  <c r="K83" i="1"/>
  <c r="N229" i="1"/>
  <c r="O229" i="1" s="1"/>
  <c r="U226" i="38"/>
  <c r="U277" i="38"/>
  <c r="N277" i="38"/>
  <c r="O277" i="38" s="1"/>
  <c r="U342" i="38"/>
  <c r="N342" i="38"/>
  <c r="O342" i="38" s="1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O209" i="38" s="1"/>
  <c r="N210" i="38"/>
  <c r="O210" i="38" s="1"/>
  <c r="U210" i="38"/>
  <c r="U311" i="38"/>
  <c r="N311" i="38"/>
  <c r="O311" i="38" s="1"/>
  <c r="N318" i="38"/>
  <c r="O318" i="38" s="1"/>
  <c r="N319" i="38"/>
  <c r="O319" i="38" s="1"/>
  <c r="N320" i="38"/>
  <c r="O320" i="38" s="1"/>
  <c r="N323" i="38"/>
  <c r="O323" i="38" s="1"/>
  <c r="U323" i="38"/>
  <c r="U336" i="38"/>
  <c r="F18" i="45"/>
  <c r="F85" i="3"/>
  <c r="F93" i="52"/>
  <c r="N197" i="1"/>
  <c r="O197" i="1" s="1"/>
  <c r="K5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O220" i="38" s="1"/>
  <c r="P256" i="38"/>
  <c r="P259" i="38"/>
  <c r="U263" i="38"/>
  <c r="N263" i="38"/>
  <c r="O263" i="38" s="1"/>
  <c r="U273" i="38"/>
  <c r="N273" i="38"/>
  <c r="O273" i="38" s="1"/>
  <c r="P277" i="38"/>
  <c r="P288" i="38"/>
  <c r="U296" i="38"/>
  <c r="N296" i="38"/>
  <c r="O296" i="38" s="1"/>
  <c r="N329" i="38"/>
  <c r="O329" i="38" s="1"/>
  <c r="U329" i="38"/>
  <c r="N338" i="38"/>
  <c r="O338" i="38" s="1"/>
  <c r="U338" i="38"/>
  <c r="U340" i="38"/>
  <c r="N340" i="38"/>
  <c r="O340" i="38" s="1"/>
  <c r="U355" i="38"/>
  <c r="N355" i="38"/>
  <c r="O355" i="38" s="1"/>
  <c r="F18" i="72"/>
  <c r="K91" i="45"/>
  <c r="U247" i="38"/>
  <c r="N247" i="38"/>
  <c r="O247" i="38" s="1"/>
  <c r="U344" i="38"/>
  <c r="N344" i="38"/>
  <c r="O344" i="38" s="1"/>
  <c r="V289" i="38"/>
  <c r="U199" i="38"/>
  <c r="N199" i="38"/>
  <c r="O199" i="38" s="1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O259" i="38" s="1"/>
  <c r="U259" i="38"/>
  <c r="U261" i="38"/>
  <c r="N261" i="38"/>
  <c r="O261" i="38" s="1"/>
  <c r="P282" i="38"/>
  <c r="P320" i="38"/>
  <c r="U321" i="38"/>
  <c r="N359" i="38"/>
  <c r="O359" i="38" s="1"/>
  <c r="U359" i="38"/>
  <c r="N360" i="38"/>
  <c r="O360" i="38" s="1"/>
  <c r="P160" i="38"/>
  <c r="P185" i="38"/>
  <c r="P196" i="38"/>
  <c r="P210" i="38"/>
  <c r="S258" i="38"/>
  <c r="P281" i="38"/>
  <c r="P355" i="38"/>
  <c r="Q2" i="69"/>
  <c r="Q5" i="69" s="1"/>
  <c r="Q2" i="51"/>
  <c r="Q5" i="51" s="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60" i="46"/>
  <c r="F47" i="29"/>
  <c r="Q2" i="30"/>
  <c r="Q8" i="30" s="1"/>
  <c r="P212" i="38"/>
  <c r="P214" i="38"/>
  <c r="P215" i="38"/>
  <c r="P317" i="38"/>
  <c r="N325" i="38"/>
  <c r="O325" i="38" s="1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18" i="43"/>
  <c r="K47" i="29"/>
  <c r="V20" i="38"/>
  <c r="V85" i="38"/>
  <c r="V26" i="38"/>
  <c r="W40" i="38"/>
  <c r="X40" i="38" s="1"/>
  <c r="V46" i="38"/>
  <c r="V53" i="38"/>
  <c r="V97" i="38"/>
  <c r="V126" i="38"/>
  <c r="V205" i="38"/>
  <c r="V221" i="38"/>
  <c r="N61" i="1"/>
  <c r="O61" i="1" s="1"/>
  <c r="V8" i="38"/>
  <c r="V11" i="38"/>
  <c r="P12" i="38"/>
  <c r="V17" i="38"/>
  <c r="V35" i="38"/>
  <c r="V49" i="38"/>
  <c r="W62" i="38"/>
  <c r="X62" i="38" s="1"/>
  <c r="W64" i="38"/>
  <c r="X64" i="38" s="1"/>
  <c r="W81" i="38"/>
  <c r="X81" i="38" s="1"/>
  <c r="V82" i="38"/>
  <c r="V86" i="38"/>
  <c r="V100" i="38"/>
  <c r="V114" i="38"/>
  <c r="V136" i="38"/>
  <c r="V171" i="38"/>
  <c r="U260" i="38"/>
  <c r="N260" i="38"/>
  <c r="O260" i="38" s="1"/>
  <c r="F175" i="1"/>
  <c r="N175" i="1" s="1"/>
  <c r="O175" i="1" s="1"/>
  <c r="W8" i="38"/>
  <c r="V12" i="38"/>
  <c r="W21" i="38"/>
  <c r="W36" i="38"/>
  <c r="X36" i="38" s="1"/>
  <c r="W49" i="38"/>
  <c r="X49" i="38" s="1"/>
  <c r="W56" i="38"/>
  <c r="X56" i="38" s="1"/>
  <c r="V65" i="38"/>
  <c r="W69" i="38"/>
  <c r="X69" i="38" s="1"/>
  <c r="P151" i="38"/>
  <c r="V174" i="38"/>
  <c r="V206" i="38"/>
  <c r="V222" i="38"/>
  <c r="V324" i="38"/>
  <c r="V329" i="38"/>
  <c r="W52" i="38"/>
  <c r="X52" i="38" s="1"/>
  <c r="V209" i="38"/>
  <c r="N291" i="38"/>
  <c r="O291" i="38" s="1"/>
  <c r="U291" i="38"/>
  <c r="V363" i="38"/>
  <c r="V362" i="38"/>
  <c r="V359" i="38"/>
  <c r="V353" i="38"/>
  <c r="V354" i="38"/>
  <c r="V342" i="38"/>
  <c r="V334" i="38"/>
  <c r="V326" i="38"/>
  <c r="V318" i="38"/>
  <c r="V310" i="38"/>
  <c r="V302" i="38"/>
  <c r="V294" i="38"/>
  <c r="V361" i="38"/>
  <c r="V358" i="38"/>
  <c r="V350" i="38"/>
  <c r="V343" i="38"/>
  <c r="V335" i="38"/>
  <c r="V327" i="38"/>
  <c r="V319" i="38"/>
  <c r="V352" i="38"/>
  <c r="V346" i="38"/>
  <c r="V338" i="38"/>
  <c r="V330" i="38"/>
  <c r="V360" i="38"/>
  <c r="V356" i="38"/>
  <c r="V349" i="38"/>
  <c r="V345" i="38"/>
  <c r="V312" i="38"/>
  <c r="V308" i="38"/>
  <c r="V304" i="38"/>
  <c r="V300" i="38"/>
  <c r="V296" i="38"/>
  <c r="V348" i="38"/>
  <c r="V344" i="38"/>
  <c r="V288" i="38"/>
  <c r="V325" i="38"/>
  <c r="V321" i="38"/>
  <c r="V299" i="38"/>
  <c r="V291" i="38"/>
  <c r="V283" i="38"/>
  <c r="V275" i="38"/>
  <c r="V267" i="38"/>
  <c r="V259" i="38"/>
  <c r="V251" i="38"/>
  <c r="V243" i="38"/>
  <c r="V233" i="38"/>
  <c r="V232" i="38"/>
  <c r="V223" i="38"/>
  <c r="V215" i="38"/>
  <c r="V207" i="38"/>
  <c r="V199" i="38"/>
  <c r="V351" i="38"/>
  <c r="V331" i="38"/>
  <c r="V323" i="38"/>
  <c r="V317" i="38"/>
  <c r="V306" i="38"/>
  <c r="V276" i="38"/>
  <c r="V268" i="38"/>
  <c r="V336" i="38"/>
  <c r="V333" i="38"/>
  <c r="V328" i="38"/>
  <c r="V315" i="38"/>
  <c r="V313" i="38"/>
  <c r="V311" i="38"/>
  <c r="V297" i="38"/>
  <c r="V295" i="38"/>
  <c r="V292" i="38"/>
  <c r="V284" i="38"/>
  <c r="V277" i="38"/>
  <c r="V269" i="38"/>
  <c r="V261" i="38"/>
  <c r="V322" i="38"/>
  <c r="V307" i="38"/>
  <c r="V285" i="38"/>
  <c r="V279" i="38"/>
  <c r="V271" i="38"/>
  <c r="V263" i="38"/>
  <c r="V254" i="38"/>
  <c r="V247" i="38"/>
  <c r="V238" i="38"/>
  <c r="V332" i="38"/>
  <c r="V316" i="38"/>
  <c r="V278" i="38"/>
  <c r="V266" i="38"/>
  <c r="V257" i="38"/>
  <c r="V252" i="38"/>
  <c r="V239" i="38"/>
  <c r="V231" i="38"/>
  <c r="V219" i="38"/>
  <c r="V211" i="38"/>
  <c r="V203" i="38"/>
  <c r="V196" i="38"/>
  <c r="V355" i="38"/>
  <c r="V341" i="38"/>
  <c r="V337" i="38"/>
  <c r="V301" i="38"/>
  <c r="V286" i="38"/>
  <c r="V273" i="38"/>
  <c r="V250" i="38"/>
  <c r="V245" i="38"/>
  <c r="V242" i="38"/>
  <c r="V234" i="38"/>
  <c r="V228" i="38"/>
  <c r="V224" i="38"/>
  <c r="V216" i="38"/>
  <c r="V208" i="38"/>
  <c r="V200" i="38"/>
  <c r="V193" i="38"/>
  <c r="V190" i="38"/>
  <c r="V187" i="38"/>
  <c r="V177" i="38"/>
  <c r="V173" i="38"/>
  <c r="V169" i="38"/>
  <c r="V165" i="38"/>
  <c r="V161" i="38"/>
  <c r="V157" i="38"/>
  <c r="V153" i="38"/>
  <c r="V149" i="38"/>
  <c r="V143" i="38"/>
  <c r="V135" i="38"/>
  <c r="V127" i="38"/>
  <c r="V119" i="38"/>
  <c r="V111" i="38"/>
  <c r="V347" i="38"/>
  <c r="V298" i="38"/>
  <c r="V270" i="38"/>
  <c r="V255" i="38"/>
  <c r="V237" i="38"/>
  <c r="V220" i="38"/>
  <c r="V212" i="38"/>
  <c r="V204" i="38"/>
  <c r="V184" i="38"/>
  <c r="V282" i="38"/>
  <c r="V262" i="38"/>
  <c r="V256" i="38"/>
  <c r="V253" i="38"/>
  <c r="V230" i="38"/>
  <c r="V188" i="38"/>
  <c r="V309" i="38"/>
  <c r="V303" i="38"/>
  <c r="V287" i="38"/>
  <c r="V281" i="38"/>
  <c r="V265" i="38"/>
  <c r="V227" i="38"/>
  <c r="V194" i="38"/>
  <c r="V189" i="38"/>
  <c r="V181" i="38"/>
  <c r="V168" i="38"/>
  <c r="V162" i="38"/>
  <c r="V150" i="38"/>
  <c r="V145" i="38"/>
  <c r="V139" i="38"/>
  <c r="V133" i="38"/>
  <c r="V112" i="38"/>
  <c r="V110" i="38"/>
  <c r="V108" i="38"/>
  <c r="V103" i="38"/>
  <c r="V95" i="38"/>
  <c r="V87" i="38"/>
  <c r="V84" i="38"/>
  <c r="V76" i="38"/>
  <c r="V68" i="38"/>
  <c r="V60" i="38"/>
  <c r="V52" i="38"/>
  <c r="V44" i="38"/>
  <c r="V36" i="38"/>
  <c r="V28" i="38"/>
  <c r="V340" i="38"/>
  <c r="V241" i="38"/>
  <c r="V183" i="38"/>
  <c r="V179" i="38"/>
  <c r="V164" i="38"/>
  <c r="V155" i="38"/>
  <c r="V137" i="38"/>
  <c r="V131" i="38"/>
  <c r="V125" i="38"/>
  <c r="V106" i="38"/>
  <c r="V98" i="38"/>
  <c r="V90" i="38"/>
  <c r="V79" i="38"/>
  <c r="V71" i="38"/>
  <c r="V63" i="38"/>
  <c r="V55" i="38"/>
  <c r="V47" i="38"/>
  <c r="V39" i="38"/>
  <c r="V31" i="38"/>
  <c r="V23" i="38"/>
  <c r="V15" i="38"/>
  <c r="V7" i="38"/>
  <c r="V293" i="38"/>
  <c r="V280" i="38"/>
  <c r="V274" i="38"/>
  <c r="V244" i="38"/>
  <c r="V229" i="38"/>
  <c r="V226" i="38"/>
  <c r="V218" i="38"/>
  <c r="V210" i="38"/>
  <c r="V202" i="38"/>
  <c r="V175" i="38"/>
  <c r="V160" i="38"/>
  <c r="V158" i="38"/>
  <c r="V148" i="38"/>
  <c r="V129" i="38"/>
  <c r="V123" i="38"/>
  <c r="V339" i="38"/>
  <c r="V320" i="38"/>
  <c r="V290" i="38"/>
  <c r="V272" i="38"/>
  <c r="V264" i="38"/>
  <c r="V249" i="38"/>
  <c r="V236" i="38"/>
  <c r="V235" i="38"/>
  <c r="V178" i="38"/>
  <c r="V167" i="38"/>
  <c r="V156" i="38"/>
  <c r="V151" i="38"/>
  <c r="V144" i="38"/>
  <c r="V142" i="38"/>
  <c r="V140" i="38"/>
  <c r="V138" i="38"/>
  <c r="V113" i="38"/>
  <c r="V107" i="38"/>
  <c r="V99" i="38"/>
  <c r="V91" i="38"/>
  <c r="V80" i="38"/>
  <c r="V72" i="38"/>
  <c r="V64" i="38"/>
  <c r="V56" i="38"/>
  <c r="V48" i="38"/>
  <c r="V40" i="38"/>
  <c r="V32" i="38"/>
  <c r="V24" i="38"/>
  <c r="V170" i="38"/>
  <c r="V154" i="38"/>
  <c r="V121" i="38"/>
  <c r="V105" i="38"/>
  <c r="V102" i="38"/>
  <c r="V93" i="38"/>
  <c r="V73" i="38"/>
  <c r="V69" i="38"/>
  <c r="V54" i="38"/>
  <c r="V51" i="38"/>
  <c r="V42" i="38"/>
  <c r="V21" i="38"/>
  <c r="V29" i="38"/>
  <c r="V19" i="38"/>
  <c r="V13" i="38"/>
  <c r="V314" i="38"/>
  <c r="V240" i="38"/>
  <c r="V128" i="38"/>
  <c r="V246" i="38"/>
  <c r="V195" i="38"/>
  <c r="V186" i="38"/>
  <c r="V159" i="38"/>
  <c r="V134" i="38"/>
  <c r="V116" i="38"/>
  <c r="V78" i="38"/>
  <c r="V75" i="38"/>
  <c r="V66" i="38"/>
  <c r="V33" i="38"/>
  <c r="V182" i="38"/>
  <c r="V172" i="38"/>
  <c r="V163" i="38"/>
  <c r="V132" i="38"/>
  <c r="V124" i="38"/>
  <c r="V92" i="38"/>
  <c r="V88" i="38"/>
  <c r="V83" i="38"/>
  <c r="V74" i="38"/>
  <c r="V41" i="38"/>
  <c r="V37" i="38"/>
  <c r="V4" i="38"/>
  <c r="W7" i="38"/>
  <c r="W16" i="38"/>
  <c r="W41" i="38"/>
  <c r="X41" i="38" s="1"/>
  <c r="V61" i="38"/>
  <c r="V81" i="38"/>
  <c r="V57" i="38"/>
  <c r="W76" i="38"/>
  <c r="X76" i="38" s="1"/>
  <c r="V109" i="38"/>
  <c r="V115" i="38"/>
  <c r="V146" i="38"/>
  <c r="V147" i="38"/>
  <c r="V201" i="38"/>
  <c r="U250" i="38"/>
  <c r="N250" i="38"/>
  <c r="O250" i="38" s="1"/>
  <c r="V305" i="38"/>
  <c r="N243" i="1"/>
  <c r="O243" i="1" s="1"/>
  <c r="N262" i="1"/>
  <c r="O262" i="1" s="1"/>
  <c r="V5" i="38"/>
  <c r="V6" i="38"/>
  <c r="V9" i="38"/>
  <c r="W23" i="38"/>
  <c r="V43" i="38"/>
  <c r="V50" i="38"/>
  <c r="W70" i="38"/>
  <c r="X70" i="38" s="1"/>
  <c r="P161" i="38"/>
  <c r="V176" i="38"/>
  <c r="V191" i="38"/>
  <c r="V260" i="38"/>
  <c r="K58" i="1"/>
  <c r="F88" i="1"/>
  <c r="F98" i="1"/>
  <c r="N98" i="1" s="1"/>
  <c r="O98" i="1" s="1"/>
  <c r="F194" i="1"/>
  <c r="F233" i="1"/>
  <c r="N233" i="1" s="1"/>
  <c r="O233" i="1" s="1"/>
  <c r="N264" i="1"/>
  <c r="W79" i="38"/>
  <c r="X79" i="38" s="1"/>
  <c r="W71" i="38"/>
  <c r="X71" i="38" s="1"/>
  <c r="W63" i="38"/>
  <c r="X63" i="38" s="1"/>
  <c r="W55" i="38"/>
  <c r="X55" i="38" s="1"/>
  <c r="W47" i="38"/>
  <c r="X47" i="38" s="1"/>
  <c r="W39" i="38"/>
  <c r="X39" i="38" s="1"/>
  <c r="W31" i="38"/>
  <c r="X31" i="38" s="1"/>
  <c r="W82" i="38"/>
  <c r="X82" i="38" s="1"/>
  <c r="W74" i="38"/>
  <c r="X74" i="38" s="1"/>
  <c r="W66" i="38"/>
  <c r="X66" i="38" s="1"/>
  <c r="W58" i="38"/>
  <c r="X58" i="38" s="1"/>
  <c r="W50" i="38"/>
  <c r="X50" i="38" s="1"/>
  <c r="W42" i="38"/>
  <c r="X42" i="38" s="1"/>
  <c r="W34" i="38"/>
  <c r="X34" i="38" s="1"/>
  <c r="W26" i="38"/>
  <c r="X26" i="38" s="1"/>
  <c r="W18" i="38"/>
  <c r="W10" i="38"/>
  <c r="W83" i="38"/>
  <c r="X83" i="38" s="1"/>
  <c r="W75" i="38"/>
  <c r="X75" i="38" s="1"/>
  <c r="W67" i="38"/>
  <c r="X67" i="38" s="1"/>
  <c r="W59" i="38"/>
  <c r="X59" i="38" s="1"/>
  <c r="W51" i="38"/>
  <c r="X51" i="38" s="1"/>
  <c r="W43" i="38"/>
  <c r="X43" i="38" s="1"/>
  <c r="W35" i="38"/>
  <c r="X35" i="38" s="1"/>
  <c r="W27" i="38"/>
  <c r="X27" i="38" s="1"/>
  <c r="W78" i="38"/>
  <c r="X78" i="38" s="1"/>
  <c r="W60" i="38"/>
  <c r="X60" i="38" s="1"/>
  <c r="W48" i="38"/>
  <c r="X48" i="38" s="1"/>
  <c r="W33" i="38"/>
  <c r="X33" i="38" s="1"/>
  <c r="W29" i="38"/>
  <c r="X29" i="38" s="1"/>
  <c r="W19" i="38"/>
  <c r="W13" i="38"/>
  <c r="W53" i="38"/>
  <c r="X53" i="38" s="1"/>
  <c r="W38" i="38"/>
  <c r="X38" i="38" s="1"/>
  <c r="W15" i="38"/>
  <c r="W11" i="38"/>
  <c r="W5" i="38"/>
  <c r="W84" i="38"/>
  <c r="X84" i="38" s="1"/>
  <c r="W72" i="38"/>
  <c r="X72" i="38" s="1"/>
  <c r="W57" i="38"/>
  <c r="X57" i="38" s="1"/>
  <c r="W17" i="38"/>
  <c r="W80" i="38"/>
  <c r="X80" i="38" s="1"/>
  <c r="W65" i="38"/>
  <c r="X65" i="38" s="1"/>
  <c r="W61" i="38"/>
  <c r="X61" i="38" s="1"/>
  <c r="W46" i="38"/>
  <c r="X46" i="38" s="1"/>
  <c r="W28" i="38"/>
  <c r="X28" i="38" s="1"/>
  <c r="W22" i="38"/>
  <c r="W20" i="38"/>
  <c r="W6" i="38"/>
  <c r="W9" i="38"/>
  <c r="V14" i="38"/>
  <c r="W24" i="38"/>
  <c r="W32" i="38"/>
  <c r="X32" i="38" s="1"/>
  <c r="W37" i="38"/>
  <c r="X37" i="38" s="1"/>
  <c r="V59" i="38"/>
  <c r="P64" i="38"/>
  <c r="W73" i="38"/>
  <c r="X73" i="38" s="1"/>
  <c r="V77" i="38"/>
  <c r="V117" i="38"/>
  <c r="V118" i="38"/>
  <c r="V141" i="38"/>
  <c r="V185" i="38"/>
  <c r="V192" i="38"/>
  <c r="U354" i="38"/>
  <c r="N354" i="38"/>
  <c r="O354" i="38" s="1"/>
  <c r="V16" i="38"/>
  <c r="W25" i="38"/>
  <c r="V34" i="38"/>
  <c r="W45" i="38"/>
  <c r="X45" i="38" s="1"/>
  <c r="V180" i="38"/>
  <c r="V225" i="38"/>
  <c r="V27" i="38"/>
  <c r="W54" i="38"/>
  <c r="X54" i="38" s="1"/>
  <c r="V62" i="38"/>
  <c r="W68" i="38"/>
  <c r="X68" i="38" s="1"/>
  <c r="V104" i="38"/>
  <c r="W12" i="38"/>
  <c r="V18" i="38"/>
  <c r="V22" i="38"/>
  <c r="V30" i="38"/>
  <c r="V70" i="38"/>
  <c r="V217" i="38"/>
  <c r="V248" i="38"/>
  <c r="V258" i="38"/>
  <c r="M48" i="60"/>
  <c r="Q10" i="60" s="1"/>
  <c r="N240" i="1"/>
  <c r="O240" i="1" s="1"/>
  <c r="P16" i="38"/>
  <c r="W30" i="38"/>
  <c r="X30" i="38" s="1"/>
  <c r="V58" i="38"/>
  <c r="V94" i="38"/>
  <c r="V101" i="38"/>
  <c r="P155" i="38"/>
  <c r="V197" i="38"/>
  <c r="V213" i="38"/>
  <c r="F252" i="1"/>
  <c r="V10" i="38"/>
  <c r="W14" i="38"/>
  <c r="V25" i="38"/>
  <c r="V38" i="38"/>
  <c r="W44" i="38"/>
  <c r="X44" i="38" s="1"/>
  <c r="V45" i="38"/>
  <c r="P47" i="38"/>
  <c r="V67" i="38"/>
  <c r="W77" i="38"/>
  <c r="X77" i="38" s="1"/>
  <c r="V89" i="38"/>
  <c r="V96" i="38"/>
  <c r="P98" i="38"/>
  <c r="V120" i="38"/>
  <c r="V122" i="38"/>
  <c r="V130" i="38"/>
  <c r="V152" i="38"/>
  <c r="V166" i="38"/>
  <c r="V198" i="38"/>
  <c r="V214" i="38"/>
  <c r="P234" i="38"/>
  <c r="P154" i="38"/>
  <c r="P235" i="38"/>
  <c r="U255" i="38"/>
  <c r="N255" i="38"/>
  <c r="O255" i="38" s="1"/>
  <c r="U306" i="38"/>
  <c r="N306" i="38"/>
  <c r="O306" i="38" s="1"/>
  <c r="P276" i="38"/>
  <c r="U232" i="38"/>
  <c r="N232" i="38"/>
  <c r="O232" i="38" s="1"/>
  <c r="N237" i="38"/>
  <c r="O237" i="38" s="1"/>
  <c r="U237" i="38"/>
  <c r="U283" i="38"/>
  <c r="N283" i="38"/>
  <c r="O283" i="38" s="1"/>
  <c r="P179" i="38"/>
  <c r="M236" i="38"/>
  <c r="S236" i="38"/>
  <c r="K237" i="38"/>
  <c r="L237" i="38" s="1"/>
  <c r="P237" i="38" s="1"/>
  <c r="K236" i="38"/>
  <c r="L236" i="38" s="1"/>
  <c r="P236" i="38" s="1"/>
  <c r="N300" i="38"/>
  <c r="O300" i="38" s="1"/>
  <c r="N330" i="38"/>
  <c r="O330" i="38" s="1"/>
  <c r="U330" i="38"/>
  <c r="K228" i="38"/>
  <c r="L228" i="38" s="1"/>
  <c r="P228" i="38" s="1"/>
  <c r="S227" i="38"/>
  <c r="M227" i="38"/>
  <c r="N280" i="38"/>
  <c r="O280" i="38" s="1"/>
  <c r="U280" i="38"/>
  <c r="U203" i="38"/>
  <c r="N203" i="38"/>
  <c r="O203" i="38" s="1"/>
  <c r="U211" i="38"/>
  <c r="N211" i="38"/>
  <c r="O211" i="38" s="1"/>
  <c r="U219" i="38"/>
  <c r="N219" i="38"/>
  <c r="O219" i="38" s="1"/>
  <c r="U242" i="38"/>
  <c r="N242" i="38"/>
  <c r="O242" i="38" s="1"/>
  <c r="U266" i="38"/>
  <c r="N266" i="38"/>
  <c r="O266" i="38" s="1"/>
  <c r="U275" i="38"/>
  <c r="N275" i="38"/>
  <c r="O275" i="38" s="1"/>
  <c r="N200" i="38"/>
  <c r="O200" i="38" s="1"/>
  <c r="N208" i="38"/>
  <c r="O208" i="38" s="1"/>
  <c r="N216" i="38"/>
  <c r="O216" i="38" s="1"/>
  <c r="N224" i="38"/>
  <c r="O224" i="38" s="1"/>
  <c r="N234" i="38"/>
  <c r="O234" i="38" s="1"/>
  <c r="U239" i="38"/>
  <c r="N239" i="38"/>
  <c r="O239" i="38" s="1"/>
  <c r="P246" i="38"/>
  <c r="K252" i="38"/>
  <c r="L252" i="38" s="1"/>
  <c r="P252" i="38" s="1"/>
  <c r="K253" i="38"/>
  <c r="L253" i="38" s="1"/>
  <c r="P253" i="38" s="1"/>
  <c r="N310" i="38"/>
  <c r="O310" i="38" s="1"/>
  <c r="U310" i="38"/>
  <c r="U282" i="38"/>
  <c r="N282" i="38"/>
  <c r="O282" i="38" s="1"/>
  <c r="U288" i="38"/>
  <c r="N288" i="38"/>
  <c r="O288" i="38" s="1"/>
  <c r="M37" i="65"/>
  <c r="Q10" i="65" s="1"/>
  <c r="U231" i="38"/>
  <c r="N231" i="38"/>
  <c r="O231" i="38" s="1"/>
  <c r="U257" i="38"/>
  <c r="N257" i="38"/>
  <c r="O257" i="38" s="1"/>
  <c r="U301" i="38"/>
  <c r="N301" i="38"/>
  <c r="O301" i="38" s="1"/>
  <c r="M233" i="38"/>
  <c r="U286" i="38"/>
  <c r="U308" i="38"/>
  <c r="U315" i="38"/>
  <c r="P344" i="38"/>
  <c r="N206" i="38"/>
  <c r="O206" i="38" s="1"/>
  <c r="N214" i="38"/>
  <c r="O214" i="38" s="1"/>
  <c r="N222" i="38"/>
  <c r="O222" i="38" s="1"/>
  <c r="N246" i="38"/>
  <c r="O246" i="38" s="1"/>
  <c r="U246" i="38"/>
  <c r="U274" i="38"/>
  <c r="N274" i="38"/>
  <c r="O274" i="38" s="1"/>
  <c r="N276" i="38"/>
  <c r="O276" i="38" s="1"/>
  <c r="P284" i="38"/>
  <c r="N302" i="38"/>
  <c r="O302" i="38" s="1"/>
  <c r="U302" i="38"/>
  <c r="N309" i="38"/>
  <c r="O309" i="38" s="1"/>
  <c r="U333" i="38"/>
  <c r="N333" i="38"/>
  <c r="O333" i="38" s="1"/>
  <c r="N343" i="38"/>
  <c r="O343" i="38" s="1"/>
  <c r="U343" i="38"/>
  <c r="P345" i="38"/>
  <c r="N253" i="38"/>
  <c r="O253" i="38" s="1"/>
  <c r="U253" i="38"/>
  <c r="U317" i="38"/>
  <c r="N317" i="38"/>
  <c r="O317" i="38" s="1"/>
  <c r="P354" i="38"/>
  <c r="F22" i="17"/>
  <c r="U262" i="38"/>
  <c r="U270" i="38"/>
  <c r="U278" i="38"/>
  <c r="U289" i="38"/>
  <c r="U334" i="38"/>
  <c r="N334" i="38"/>
  <c r="O334" i="38" s="1"/>
  <c r="P335" i="38"/>
  <c r="F69" i="25"/>
  <c r="P341" i="38"/>
  <c r="N293" i="38"/>
  <c r="O293" i="38" s="1"/>
  <c r="U341" i="38"/>
  <c r="N341" i="38"/>
  <c r="O341" i="38" s="1"/>
  <c r="U347" i="38"/>
  <c r="K57" i="33"/>
  <c r="F118" i="7"/>
  <c r="U297" i="38"/>
  <c r="U305" i="38"/>
  <c r="U313" i="38"/>
  <c r="U349" i="38"/>
  <c r="N349" i="38"/>
  <c r="O349" i="38" s="1"/>
  <c r="K450" i="17"/>
  <c r="F99" i="34"/>
  <c r="Q5" i="40"/>
  <c r="F91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O352" i="38" s="1"/>
  <c r="P360" i="38"/>
  <c r="F56" i="13"/>
  <c r="F49" i="20"/>
  <c r="F60" i="46"/>
  <c r="F51" i="24"/>
  <c r="F120" i="40"/>
  <c r="M68" i="43"/>
  <c r="Q10" i="43" s="1"/>
  <c r="F228" i="51"/>
  <c r="K228" i="51"/>
  <c r="Q2" i="44"/>
  <c r="Q3" i="44" s="1"/>
  <c r="Q6" i="44" s="1"/>
  <c r="Q2" i="32"/>
  <c r="Q8" i="32" s="1"/>
  <c r="F44" i="26"/>
  <c r="K44" i="26"/>
  <c r="Q2" i="71"/>
  <c r="M104" i="49"/>
  <c r="Q2" i="25"/>
  <c r="W575" i="38" l="1"/>
  <c r="X575" i="38" s="1"/>
  <c r="W576" i="38"/>
  <c r="X576" i="38" s="1"/>
  <c r="W577" i="38"/>
  <c r="X577" i="38" s="1"/>
  <c r="W579" i="38"/>
  <c r="X579" i="38" s="1"/>
  <c r="W578" i="38"/>
  <c r="X578" i="38" s="1"/>
  <c r="W572" i="38"/>
  <c r="X572" i="38" s="1"/>
  <c r="W581" i="38"/>
  <c r="X581" i="38" s="1"/>
  <c r="W573" i="38"/>
  <c r="X573" i="38" s="1"/>
  <c r="W580" i="38"/>
  <c r="X580" i="38" s="1"/>
  <c r="W574" i="38"/>
  <c r="X574" i="38" s="1"/>
  <c r="W571" i="38"/>
  <c r="X571" i="38" s="1"/>
  <c r="W567" i="38"/>
  <c r="X567" i="38" s="1"/>
  <c r="W568" i="38"/>
  <c r="X568" i="38" s="1"/>
  <c r="W570" i="38"/>
  <c r="X570" i="38" s="1"/>
  <c r="W569" i="38"/>
  <c r="X569" i="38" s="1"/>
  <c r="W566" i="38"/>
  <c r="X566" i="38" s="1"/>
  <c r="W564" i="38"/>
  <c r="X564" i="38" s="1"/>
  <c r="W565" i="38"/>
  <c r="X565" i="38" s="1"/>
  <c r="W558" i="38"/>
  <c r="X558" i="38" s="1"/>
  <c r="W563" i="38"/>
  <c r="X563" i="38" s="1"/>
  <c r="W556" i="38"/>
  <c r="X556" i="38" s="1"/>
  <c r="W557" i="38"/>
  <c r="X557" i="38" s="1"/>
  <c r="W559" i="38"/>
  <c r="X559" i="38" s="1"/>
  <c r="W560" i="38"/>
  <c r="X560" i="38" s="1"/>
  <c r="W561" i="38"/>
  <c r="X561" i="38" s="1"/>
  <c r="W562" i="38"/>
  <c r="X562" i="38" s="1"/>
  <c r="W554" i="38"/>
  <c r="X554" i="38" s="1"/>
  <c r="W555" i="38"/>
  <c r="X555" i="38" s="1"/>
  <c r="W553" i="38"/>
  <c r="X553" i="38" s="1"/>
  <c r="W552" i="38"/>
  <c r="X552" i="38" s="1"/>
  <c r="W551" i="38"/>
  <c r="X551" i="38" s="1"/>
  <c r="W550" i="38"/>
  <c r="X550" i="38" s="1"/>
  <c r="W549" i="38"/>
  <c r="X549" i="38" s="1"/>
  <c r="W547" i="38"/>
  <c r="X547" i="38" s="1"/>
  <c r="W548" i="38"/>
  <c r="X548" i="38" s="1"/>
  <c r="W546" i="38"/>
  <c r="X546" i="38" s="1"/>
  <c r="W536" i="38"/>
  <c r="X536" i="38" s="1"/>
  <c r="W537" i="38"/>
  <c r="X537" i="38" s="1"/>
  <c r="W539" i="38"/>
  <c r="X539" i="38" s="1"/>
  <c r="W540" i="38"/>
  <c r="X540" i="38" s="1"/>
  <c r="W538" i="38"/>
  <c r="X538" i="38" s="1"/>
  <c r="W541" i="38"/>
  <c r="X541" i="38" s="1"/>
  <c r="W542" i="38"/>
  <c r="X542" i="38" s="1"/>
  <c r="W543" i="38"/>
  <c r="X543" i="38" s="1"/>
  <c r="W544" i="38"/>
  <c r="X544" i="38" s="1"/>
  <c r="W545" i="38"/>
  <c r="X545" i="38" s="1"/>
  <c r="W533" i="38"/>
  <c r="X533" i="38" s="1"/>
  <c r="W531" i="38"/>
  <c r="X531" i="38" s="1"/>
  <c r="W530" i="38"/>
  <c r="X530" i="38" s="1"/>
  <c r="W534" i="38"/>
  <c r="X534" i="38" s="1"/>
  <c r="W535" i="38"/>
  <c r="X535" i="38" s="1"/>
  <c r="W532" i="38"/>
  <c r="X532" i="38" s="1"/>
  <c r="W529" i="38"/>
  <c r="X529" i="38" s="1"/>
  <c r="W528" i="38"/>
  <c r="X528" i="38" s="1"/>
  <c r="W527" i="38"/>
  <c r="X527" i="38" s="1"/>
  <c r="W512" i="38"/>
  <c r="X512" i="38" s="1"/>
  <c r="W522" i="38"/>
  <c r="X522" i="38" s="1"/>
  <c r="W511" i="38"/>
  <c r="X511" i="38" s="1"/>
  <c r="W513" i="38"/>
  <c r="X513" i="38" s="1"/>
  <c r="W521" i="38"/>
  <c r="X521" i="38" s="1"/>
  <c r="W514" i="38"/>
  <c r="X514" i="38" s="1"/>
  <c r="W520" i="38"/>
  <c r="X520" i="38" s="1"/>
  <c r="W506" i="38"/>
  <c r="X506" i="38" s="1"/>
  <c r="W515" i="38"/>
  <c r="X515" i="38" s="1"/>
  <c r="W516" i="38"/>
  <c r="X516" i="38" s="1"/>
  <c r="W524" i="38"/>
  <c r="X524" i="38" s="1"/>
  <c r="W519" i="38"/>
  <c r="X519" i="38" s="1"/>
  <c r="W523" i="38"/>
  <c r="X523" i="38" s="1"/>
  <c r="W496" i="38"/>
  <c r="X496" i="38" s="1"/>
  <c r="W517" i="38"/>
  <c r="X517" i="38" s="1"/>
  <c r="W525" i="38"/>
  <c r="X525" i="38" s="1"/>
  <c r="W504" i="38"/>
  <c r="X504" i="38" s="1"/>
  <c r="W518" i="38"/>
  <c r="X518" i="38" s="1"/>
  <c r="W526" i="38"/>
  <c r="X526" i="38" s="1"/>
  <c r="W507" i="38"/>
  <c r="X507" i="38" s="1"/>
  <c r="W508" i="38"/>
  <c r="X508" i="38" s="1"/>
  <c r="W495" i="38"/>
  <c r="X495" i="38" s="1"/>
  <c r="W503" i="38"/>
  <c r="X503" i="38" s="1"/>
  <c r="W497" i="38"/>
  <c r="X497" i="38" s="1"/>
  <c r="W505" i="38"/>
  <c r="X505" i="38" s="1"/>
  <c r="W498" i="38"/>
  <c r="X498" i="38" s="1"/>
  <c r="W490" i="38"/>
  <c r="X490" i="38" s="1"/>
  <c r="W491" i="38"/>
  <c r="X491" i="38" s="1"/>
  <c r="W500" i="38"/>
  <c r="X500" i="38" s="1"/>
  <c r="W493" i="38"/>
  <c r="X493" i="38" s="1"/>
  <c r="W501" i="38"/>
  <c r="X501" i="38" s="1"/>
  <c r="W509" i="38"/>
  <c r="X509" i="38" s="1"/>
  <c r="W499" i="38"/>
  <c r="X499" i="38" s="1"/>
  <c r="W492" i="38"/>
  <c r="X492" i="38" s="1"/>
  <c r="W494" i="38"/>
  <c r="X494" i="38" s="1"/>
  <c r="W502" i="38"/>
  <c r="X502" i="38" s="1"/>
  <c r="W510" i="38"/>
  <c r="X510" i="38" s="1"/>
  <c r="W489" i="38"/>
  <c r="X489" i="38" s="1"/>
  <c r="W488" i="38"/>
  <c r="X488" i="38" s="1"/>
  <c r="W484" i="38"/>
  <c r="X484" i="38" s="1"/>
  <c r="W485" i="38"/>
  <c r="X485" i="38" s="1"/>
  <c r="W486" i="38"/>
  <c r="X486" i="38" s="1"/>
  <c r="W487" i="38"/>
  <c r="X487" i="38" s="1"/>
  <c r="W478" i="38"/>
  <c r="X478" i="38" s="1"/>
  <c r="W483" i="38"/>
  <c r="X483" i="38" s="1"/>
  <c r="W476" i="38"/>
  <c r="X476" i="38" s="1"/>
  <c r="W477" i="38"/>
  <c r="X477" i="38" s="1"/>
  <c r="W480" i="38"/>
  <c r="X480" i="38" s="1"/>
  <c r="W481" i="38"/>
  <c r="X481" i="38" s="1"/>
  <c r="W482" i="38"/>
  <c r="X482" i="38" s="1"/>
  <c r="Q5" i="17"/>
  <c r="Q3" i="17"/>
  <c r="Q6" i="17" s="1"/>
  <c r="W479" i="38"/>
  <c r="X479" i="38" s="1"/>
  <c r="W474" i="38"/>
  <c r="X474" i="38" s="1"/>
  <c r="W475" i="38"/>
  <c r="X475" i="38" s="1"/>
  <c r="W473" i="38"/>
  <c r="X473" i="38" s="1"/>
  <c r="W472" i="38"/>
  <c r="X472" i="38" s="1"/>
  <c r="W471" i="38"/>
  <c r="X471" i="38" s="1"/>
  <c r="W470" i="38"/>
  <c r="X470" i="38" s="1"/>
  <c r="W468" i="38"/>
  <c r="X468" i="38" s="1"/>
  <c r="W469" i="38"/>
  <c r="X469" i="38" s="1"/>
  <c r="W461" i="38"/>
  <c r="X461" i="38" s="1"/>
  <c r="W462" i="38"/>
  <c r="X462" i="38" s="1"/>
  <c r="W463" i="38"/>
  <c r="X463" i="38" s="1"/>
  <c r="W465" i="38"/>
  <c r="X465" i="38" s="1"/>
  <c r="W464" i="38"/>
  <c r="X464" i="38" s="1"/>
  <c r="W458" i="38"/>
  <c r="X458" i="38" s="1"/>
  <c r="W466" i="38"/>
  <c r="X466" i="38" s="1"/>
  <c r="W459" i="38"/>
  <c r="X459" i="38" s="1"/>
  <c r="W467" i="38"/>
  <c r="X467" i="38" s="1"/>
  <c r="W460" i="38"/>
  <c r="X460" i="38" s="1"/>
  <c r="W457" i="38"/>
  <c r="X457" i="38" s="1"/>
  <c r="W454" i="38"/>
  <c r="X454" i="38" s="1"/>
  <c r="W456" i="38"/>
  <c r="X456" i="38" s="1"/>
  <c r="W455" i="38"/>
  <c r="X455" i="38" s="1"/>
  <c r="W453" i="38"/>
  <c r="X453" i="38" s="1"/>
  <c r="W452" i="38"/>
  <c r="X452" i="38" s="1"/>
  <c r="W450" i="38"/>
  <c r="X450" i="38" s="1"/>
  <c r="W451" i="38"/>
  <c r="X451" i="38" s="1"/>
  <c r="Q3" i="40"/>
  <c r="Q6" i="40" s="1"/>
  <c r="W449" i="38"/>
  <c r="X449" i="38" s="1"/>
  <c r="W433" i="38"/>
  <c r="X433" i="38" s="1"/>
  <c r="W448" i="38"/>
  <c r="X448" i="38" s="1"/>
  <c r="W437" i="38"/>
  <c r="X437" i="38" s="1"/>
  <c r="W436" i="38"/>
  <c r="X436" i="38" s="1"/>
  <c r="W444" i="38"/>
  <c r="X444" i="38" s="1"/>
  <c r="W435" i="38"/>
  <c r="X435" i="38" s="1"/>
  <c r="W445" i="38"/>
  <c r="X445" i="38" s="1"/>
  <c r="W434" i="38"/>
  <c r="X434" i="38" s="1"/>
  <c r="W438" i="38"/>
  <c r="X438" i="38" s="1"/>
  <c r="W446" i="38"/>
  <c r="X446" i="38" s="1"/>
  <c r="W439" i="38"/>
  <c r="X439" i="38" s="1"/>
  <c r="W447" i="38"/>
  <c r="X447" i="38" s="1"/>
  <c r="W442" i="38"/>
  <c r="X442" i="38" s="1"/>
  <c r="W443" i="38"/>
  <c r="X443" i="38" s="1"/>
  <c r="W440" i="38"/>
  <c r="X440" i="38" s="1"/>
  <c r="W431" i="38"/>
  <c r="X431" i="38" s="1"/>
  <c r="W441" i="38"/>
  <c r="X441" i="38" s="1"/>
  <c r="W425" i="38"/>
  <c r="X425" i="38" s="1"/>
  <c r="W410" i="38"/>
  <c r="X410" i="38" s="1"/>
  <c r="W426" i="38"/>
  <c r="X426" i="38" s="1"/>
  <c r="W427" i="38"/>
  <c r="X427" i="38" s="1"/>
  <c r="W424" i="38"/>
  <c r="X424" i="38" s="1"/>
  <c r="W429" i="38"/>
  <c r="X429" i="38" s="1"/>
  <c r="W432" i="38"/>
  <c r="X432" i="38" s="1"/>
  <c r="W428" i="38"/>
  <c r="X428" i="38" s="1"/>
  <c r="W430" i="38"/>
  <c r="X430" i="38" s="1"/>
  <c r="Q5" i="50"/>
  <c r="Q3" i="50"/>
  <c r="Q6" i="50" s="1"/>
  <c r="W422" i="38"/>
  <c r="X422" i="38" s="1"/>
  <c r="W417" i="38"/>
  <c r="X417" i="38" s="1"/>
  <c r="W418" i="38"/>
  <c r="X418" i="38" s="1"/>
  <c r="W423" i="38"/>
  <c r="X423" i="38" s="1"/>
  <c r="W420" i="38"/>
  <c r="X420" i="38" s="1"/>
  <c r="W419" i="38"/>
  <c r="X419" i="38" s="1"/>
  <c r="W421" i="38"/>
  <c r="X421" i="38" s="1"/>
  <c r="W415" i="38"/>
  <c r="X415" i="38" s="1"/>
  <c r="W416" i="38"/>
  <c r="X416" i="38" s="1"/>
  <c r="W413" i="38"/>
  <c r="X413" i="38" s="1"/>
  <c r="W414" i="38"/>
  <c r="X414" i="38" s="1"/>
  <c r="W411" i="38"/>
  <c r="X411" i="38" s="1"/>
  <c r="W412" i="38"/>
  <c r="X412" i="38" s="1"/>
  <c r="W404" i="38"/>
  <c r="X404" i="38" s="1"/>
  <c r="W409" i="38"/>
  <c r="X409" i="38" s="1"/>
  <c r="W403" i="38"/>
  <c r="X403" i="38" s="1"/>
  <c r="W408" i="38"/>
  <c r="X408" i="38" s="1"/>
  <c r="W406" i="38"/>
  <c r="X406" i="38" s="1"/>
  <c r="W407" i="38"/>
  <c r="X407" i="38" s="1"/>
  <c r="W405" i="38"/>
  <c r="X405" i="38" s="1"/>
  <c r="W401" i="38"/>
  <c r="X401" i="38" s="1"/>
  <c r="W402" i="38"/>
  <c r="X402" i="38" s="1"/>
  <c r="W400" i="38"/>
  <c r="X400" i="38" s="1"/>
  <c r="W397" i="38"/>
  <c r="X397" i="38" s="1"/>
  <c r="W398" i="38"/>
  <c r="X398" i="38" s="1"/>
  <c r="W399" i="38"/>
  <c r="X399" i="38" s="1"/>
  <c r="W394" i="38"/>
  <c r="X394" i="38" s="1"/>
  <c r="W395" i="38"/>
  <c r="X395" i="38" s="1"/>
  <c r="W396" i="38"/>
  <c r="X396" i="38" s="1"/>
  <c r="W392" i="38"/>
  <c r="X392" i="38" s="1"/>
  <c r="W393" i="38"/>
  <c r="X393" i="38" s="1"/>
  <c r="M48" i="41"/>
  <c r="Q10" i="41" s="1"/>
  <c r="Q3" i="10"/>
  <c r="Q6" i="10" s="1"/>
  <c r="Q9" i="10"/>
  <c r="W387" i="38"/>
  <c r="X387" i="38" s="1"/>
  <c r="N237" i="1"/>
  <c r="O237" i="1" s="1"/>
  <c r="W391" i="38"/>
  <c r="X391" i="38" s="1"/>
  <c r="W388" i="38"/>
  <c r="X388" i="38" s="1"/>
  <c r="Q5" i="10"/>
  <c r="W389" i="38"/>
  <c r="X389" i="38" s="1"/>
  <c r="W384" i="38"/>
  <c r="X384" i="38" s="1"/>
  <c r="W390" i="38"/>
  <c r="X390" i="38" s="1"/>
  <c r="W383" i="38"/>
  <c r="X383" i="38" s="1"/>
  <c r="W385" i="38"/>
  <c r="X385" i="38" s="1"/>
  <c r="W382" i="38"/>
  <c r="X382" i="38" s="1"/>
  <c r="W386" i="38"/>
  <c r="X386" i="38" s="1"/>
  <c r="W381" i="38"/>
  <c r="X381" i="38" s="1"/>
  <c r="W380" i="38"/>
  <c r="X380" i="38" s="1"/>
  <c r="W379" i="38"/>
  <c r="X379" i="38" s="1"/>
  <c r="W378" i="38"/>
  <c r="X378" i="38" s="1"/>
  <c r="Q3" i="47"/>
  <c r="Q6" i="47" s="1"/>
  <c r="W377" i="38"/>
  <c r="X377" i="38" s="1"/>
  <c r="W376" i="38"/>
  <c r="X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X371" i="38" s="1"/>
  <c r="Q5" i="60"/>
  <c r="W370" i="38"/>
  <c r="X370" i="38" s="1"/>
  <c r="Q8" i="62"/>
  <c r="Q8" i="47"/>
  <c r="Q5" i="62"/>
  <c r="Q8" i="60"/>
  <c r="Q7" i="60" s="1"/>
  <c r="Q9" i="62"/>
  <c r="W374" i="38"/>
  <c r="X374" i="38" s="1"/>
  <c r="W375" i="38"/>
  <c r="X375" i="38" s="1"/>
  <c r="W373" i="38"/>
  <c r="X373" i="38" s="1"/>
  <c r="Q5" i="55"/>
  <c r="Q8" i="55"/>
  <c r="Q3" i="64"/>
  <c r="Q6" i="64" s="1"/>
  <c r="Q3" i="49"/>
  <c r="Q6" i="49" s="1"/>
  <c r="Q3" i="55"/>
  <c r="Q6" i="55" s="1"/>
  <c r="W372" i="38"/>
  <c r="X372" i="38" s="1"/>
  <c r="Q9" i="26"/>
  <c r="M37" i="47"/>
  <c r="Q10" i="47" s="1"/>
  <c r="N58" i="1"/>
  <c r="O58" i="1" s="1"/>
  <c r="W135" i="38"/>
  <c r="X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X367" i="38" s="1"/>
  <c r="W368" i="38"/>
  <c r="X368" i="38" s="1"/>
  <c r="Q3" i="16"/>
  <c r="Q6" i="16" s="1"/>
  <c r="W369" i="38"/>
  <c r="X369" i="38" s="1"/>
  <c r="Q8" i="75"/>
  <c r="Q7" i="75" s="1"/>
  <c r="Q3" i="58"/>
  <c r="Q6" i="58" s="1"/>
  <c r="Q8" i="74"/>
  <c r="Q7" i="74" s="1"/>
  <c r="W366" i="38"/>
  <c r="X366" i="38" s="1"/>
  <c r="W223" i="38"/>
  <c r="X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X171" i="38" s="1"/>
  <c r="N27" i="1"/>
  <c r="O27" i="1" s="1"/>
  <c r="M55" i="62"/>
  <c r="Q10" i="62" s="1"/>
  <c r="M33" i="24"/>
  <c r="Q10" i="24" s="1"/>
  <c r="Q5" i="46"/>
  <c r="P85" i="38"/>
  <c r="Q580" i="38" s="1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O258" i="38" s="1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X87" i="38" s="1"/>
  <c r="Q6" i="38"/>
  <c r="Q9" i="67"/>
  <c r="Q8" i="48"/>
  <c r="Q3" i="54"/>
  <c r="Q6" i="54" s="1"/>
  <c r="Q9" i="54" s="1"/>
  <c r="W214" i="38"/>
  <c r="X214" i="38" s="1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X217" i="38" s="1"/>
  <c r="Q5" i="52"/>
  <c r="W99" i="38"/>
  <c r="X99" i="38" s="1"/>
  <c r="W146" i="38"/>
  <c r="X146" i="38" s="1"/>
  <c r="W124" i="38"/>
  <c r="X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X365" i="38" s="1"/>
  <c r="W94" i="38"/>
  <c r="X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X364" i="38" s="1"/>
  <c r="Q9" i="44"/>
  <c r="W299" i="38"/>
  <c r="X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0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X320" i="38" s="1"/>
  <c r="Q8" i="59"/>
  <c r="Q7" i="59" s="1"/>
  <c r="Q3" i="68"/>
  <c r="Q6" i="68" s="1"/>
  <c r="M127" i="58"/>
  <c r="Q10" i="58" s="1"/>
  <c r="Q5" i="30"/>
  <c r="Q3" i="30"/>
  <c r="Q6" i="30" s="1"/>
  <c r="Q9" i="30"/>
  <c r="M259" i="17"/>
  <c r="Q10" i="17" s="1"/>
  <c r="Q8" i="61"/>
  <c r="Q3" i="45"/>
  <c r="Q6" i="45" s="1"/>
  <c r="W242" i="38"/>
  <c r="X242" i="38" s="1"/>
  <c r="Q9" i="22"/>
  <c r="Q5" i="22"/>
  <c r="Q3" i="22"/>
  <c r="Q6" i="22" s="1"/>
  <c r="Q8" i="22"/>
  <c r="W338" i="38"/>
  <c r="X338" i="38" s="1"/>
  <c r="Q27" i="38"/>
  <c r="W88" i="38"/>
  <c r="X88" i="38" s="1"/>
  <c r="W157" i="38"/>
  <c r="X157" i="38" s="1"/>
  <c r="W117" i="38"/>
  <c r="X117" i="38" s="1"/>
  <c r="W313" i="38"/>
  <c r="X313" i="38" s="1"/>
  <c r="Q17" i="38"/>
  <c r="Q20" i="38"/>
  <c r="Q73" i="38"/>
  <c r="Q54" i="38"/>
  <c r="Q39" i="38"/>
  <c r="Q22" i="38"/>
  <c r="Q25" i="38"/>
  <c r="Q38" i="38"/>
  <c r="P86" i="38"/>
  <c r="W224" i="38"/>
  <c r="X224" i="38" s="1"/>
  <c r="W181" i="38"/>
  <c r="X181" i="38" s="1"/>
  <c r="W226" i="38"/>
  <c r="X226" i="38" s="1"/>
  <c r="W185" i="38"/>
  <c r="X185" i="38" s="1"/>
  <c r="W116" i="38"/>
  <c r="X116" i="38" s="1"/>
  <c r="W179" i="38"/>
  <c r="X179" i="38" s="1"/>
  <c r="W221" i="38"/>
  <c r="X221" i="38" s="1"/>
  <c r="W123" i="38"/>
  <c r="X123" i="38" s="1"/>
  <c r="W176" i="38"/>
  <c r="X176" i="38" s="1"/>
  <c r="W113" i="38"/>
  <c r="X113" i="38" s="1"/>
  <c r="W328" i="38"/>
  <c r="X328" i="38" s="1"/>
  <c r="W184" i="38"/>
  <c r="X184" i="38" s="1"/>
  <c r="W137" i="38"/>
  <c r="X137" i="38" s="1"/>
  <c r="W102" i="38"/>
  <c r="X102" i="38" s="1"/>
  <c r="W165" i="38"/>
  <c r="X165" i="38" s="1"/>
  <c r="W240" i="38"/>
  <c r="W222" i="38"/>
  <c r="X222" i="38" s="1"/>
  <c r="W175" i="38"/>
  <c r="X175" i="38" s="1"/>
  <c r="W180" i="38"/>
  <c r="X180" i="38" s="1"/>
  <c r="W310" i="38"/>
  <c r="X310" i="38" s="1"/>
  <c r="W110" i="38"/>
  <c r="X110" i="38" s="1"/>
  <c r="Q5" i="73"/>
  <c r="Q9" i="73"/>
  <c r="Q3" i="73"/>
  <c r="Q6" i="73" s="1"/>
  <c r="Q8" i="73"/>
  <c r="W147" i="38"/>
  <c r="X147" i="38" s="1"/>
  <c r="W173" i="38"/>
  <c r="X173" i="38" s="1"/>
  <c r="W216" i="38"/>
  <c r="X216" i="38" s="1"/>
  <c r="Q30" i="38"/>
  <c r="Q5" i="65"/>
  <c r="Q3" i="65"/>
  <c r="Q6" i="65" s="1"/>
  <c r="Q9" i="65" s="1"/>
  <c r="W163" i="38"/>
  <c r="X163" i="38" s="1"/>
  <c r="W178" i="38"/>
  <c r="X178" i="38" s="1"/>
  <c r="Q23" i="38"/>
  <c r="W109" i="38"/>
  <c r="X109" i="38" s="1"/>
  <c r="W89" i="38"/>
  <c r="X89" i="38" s="1"/>
  <c r="W139" i="38"/>
  <c r="X139" i="38" s="1"/>
  <c r="W132" i="38"/>
  <c r="X132" i="38" s="1"/>
  <c r="W348" i="38"/>
  <c r="X348" i="38" s="1"/>
  <c r="W127" i="38"/>
  <c r="X127" i="38" s="1"/>
  <c r="W274" i="38"/>
  <c r="X274" i="38" s="1"/>
  <c r="W155" i="38"/>
  <c r="X155" i="38" s="1"/>
  <c r="W194" i="38"/>
  <c r="X194" i="38" s="1"/>
  <c r="W204" i="38"/>
  <c r="X204" i="38" s="1"/>
  <c r="W183" i="38"/>
  <c r="X183" i="38" s="1"/>
  <c r="W168" i="38"/>
  <c r="X168" i="38" s="1"/>
  <c r="M42" i="61"/>
  <c r="Q10" i="61" s="1"/>
  <c r="Q8" i="66"/>
  <c r="Q7" i="66" s="1"/>
  <c r="Q65" i="38"/>
  <c r="Q36" i="38"/>
  <c r="W192" i="38"/>
  <c r="X192" i="38" s="1"/>
  <c r="W95" i="38"/>
  <c r="X95" i="38" s="1"/>
  <c r="W97" i="38"/>
  <c r="X97" i="38" s="1"/>
  <c r="W211" i="38"/>
  <c r="X211" i="38" s="1"/>
  <c r="W104" i="38"/>
  <c r="X104" i="38" s="1"/>
  <c r="W142" i="38"/>
  <c r="X142" i="38" s="1"/>
  <c r="W144" i="38"/>
  <c r="X144" i="38" s="1"/>
  <c r="W134" i="38"/>
  <c r="X134" i="38" s="1"/>
  <c r="W254" i="38"/>
  <c r="X254" i="38" s="1"/>
  <c r="W129" i="38"/>
  <c r="X129" i="38" s="1"/>
  <c r="W202" i="38"/>
  <c r="X202" i="38" s="1"/>
  <c r="W307" i="38"/>
  <c r="X307" i="38" s="1"/>
  <c r="W90" i="38"/>
  <c r="X90" i="38" s="1"/>
  <c r="W164" i="38"/>
  <c r="X164" i="38" s="1"/>
  <c r="W329" i="38"/>
  <c r="X329" i="38" s="1"/>
  <c r="W197" i="38"/>
  <c r="X197" i="38" s="1"/>
  <c r="W330" i="38"/>
  <c r="X330" i="38" s="1"/>
  <c r="W212" i="38"/>
  <c r="X212" i="38" s="1"/>
  <c r="W293" i="38"/>
  <c r="X293" i="38" s="1"/>
  <c r="W187" i="38"/>
  <c r="X187" i="38" s="1"/>
  <c r="W288" i="38"/>
  <c r="X288" i="38" s="1"/>
  <c r="W319" i="38"/>
  <c r="X319" i="38" s="1"/>
  <c r="W120" i="38"/>
  <c r="X120" i="38" s="1"/>
  <c r="Q21" i="38"/>
  <c r="Q33" i="38"/>
  <c r="W189" i="38"/>
  <c r="X189" i="38" s="1"/>
  <c r="W167" i="38"/>
  <c r="X167" i="38" s="1"/>
  <c r="Q26" i="38"/>
  <c r="N240" i="38"/>
  <c r="O240" i="38" s="1"/>
  <c r="U240" i="38"/>
  <c r="W150" i="38"/>
  <c r="X150" i="38" s="1"/>
  <c r="W203" i="38"/>
  <c r="X203" i="38" s="1"/>
  <c r="W133" i="38"/>
  <c r="X133" i="38" s="1"/>
  <c r="W182" i="38"/>
  <c r="X182" i="38" s="1"/>
  <c r="W199" i="38"/>
  <c r="X199" i="38" s="1"/>
  <c r="W326" i="38"/>
  <c r="X326" i="38" s="1"/>
  <c r="W225" i="38"/>
  <c r="X225" i="38" s="1"/>
  <c r="W248" i="38"/>
  <c r="X248" i="38" s="1"/>
  <c r="W276" i="38"/>
  <c r="X276" i="38" s="1"/>
  <c r="W311" i="38"/>
  <c r="X311" i="38" s="1"/>
  <c r="W143" i="38"/>
  <c r="X143" i="38" s="1"/>
  <c r="W91" i="38"/>
  <c r="X91" i="38" s="1"/>
  <c r="W172" i="38"/>
  <c r="X172" i="38" s="1"/>
  <c r="Q3" i="61"/>
  <c r="Q6" i="61" s="1"/>
  <c r="M42" i="3"/>
  <c r="Q10" i="3" s="1"/>
  <c r="Q7" i="3" s="1"/>
  <c r="Q5" i="66"/>
  <c r="Q28" i="38"/>
  <c r="W140" i="38"/>
  <c r="X140" i="38" s="1"/>
  <c r="W118" i="38"/>
  <c r="X118" i="38" s="1"/>
  <c r="W219" i="38"/>
  <c r="X219" i="38" s="1"/>
  <c r="W112" i="38"/>
  <c r="X112" i="38" s="1"/>
  <c r="W159" i="38"/>
  <c r="X159" i="38" s="1"/>
  <c r="W136" i="38"/>
  <c r="X136" i="38" s="1"/>
  <c r="W267" i="38"/>
  <c r="X267" i="38" s="1"/>
  <c r="W148" i="38"/>
  <c r="X148" i="38" s="1"/>
  <c r="W207" i="38"/>
  <c r="X207" i="38" s="1"/>
  <c r="W98" i="38"/>
  <c r="X98" i="38" s="1"/>
  <c r="W177" i="38"/>
  <c r="X177" i="38" s="1"/>
  <c r="W162" i="38"/>
  <c r="X162" i="38" s="1"/>
  <c r="W201" i="38"/>
  <c r="X201" i="38" s="1"/>
  <c r="W114" i="38"/>
  <c r="X114" i="38" s="1"/>
  <c r="W220" i="38"/>
  <c r="X220" i="38" s="1"/>
  <c r="W314" i="38"/>
  <c r="X314" i="38" s="1"/>
  <c r="W191" i="38"/>
  <c r="X191" i="38" s="1"/>
  <c r="W340" i="38"/>
  <c r="X340" i="38" s="1"/>
  <c r="W362" i="38"/>
  <c r="X362" i="38" s="1"/>
  <c r="Q42" i="38"/>
  <c r="Q3" i="63"/>
  <c r="Q6" i="63" s="1"/>
  <c r="Q5" i="63"/>
  <c r="Q8" i="63"/>
  <c r="M46" i="46"/>
  <c r="Q10" i="46" s="1"/>
  <c r="W243" i="38"/>
  <c r="X243" i="38" s="1"/>
  <c r="W119" i="38"/>
  <c r="X119" i="38" s="1"/>
  <c r="W153" i="38"/>
  <c r="X153" i="38" s="1"/>
  <c r="W188" i="38"/>
  <c r="X188" i="38" s="1"/>
  <c r="W205" i="38"/>
  <c r="X205" i="38" s="1"/>
  <c r="W190" i="38"/>
  <c r="X190" i="38" s="1"/>
  <c r="W195" i="38"/>
  <c r="X195" i="38" s="1"/>
  <c r="W354" i="38"/>
  <c r="X354" i="38" s="1"/>
  <c r="W105" i="38"/>
  <c r="X105" i="38" s="1"/>
  <c r="Q5" i="20"/>
  <c r="Q12" i="38"/>
  <c r="Q45" i="38"/>
  <c r="W111" i="38"/>
  <c r="X111" i="38" s="1"/>
  <c r="Q79" i="38"/>
  <c r="Q32" i="38"/>
  <c r="Q19" i="38"/>
  <c r="W152" i="38"/>
  <c r="X152" i="38" s="1"/>
  <c r="W128" i="38"/>
  <c r="X128" i="38" s="1"/>
  <c r="W231" i="38"/>
  <c r="X231" i="38" s="1"/>
  <c r="W154" i="38"/>
  <c r="X154" i="38" s="1"/>
  <c r="W121" i="38"/>
  <c r="X121" i="38" s="1"/>
  <c r="W93" i="38"/>
  <c r="X93" i="38" s="1"/>
  <c r="W158" i="38"/>
  <c r="X158" i="38" s="1"/>
  <c r="W215" i="38"/>
  <c r="X215" i="38" s="1"/>
  <c r="W125" i="38"/>
  <c r="X125" i="38" s="1"/>
  <c r="W198" i="38"/>
  <c r="X198" i="38" s="1"/>
  <c r="W170" i="38"/>
  <c r="X170" i="38" s="1"/>
  <c r="W209" i="38"/>
  <c r="X209" i="38" s="1"/>
  <c r="W130" i="38"/>
  <c r="X130" i="38" s="1"/>
  <c r="W193" i="38"/>
  <c r="X193" i="38" s="1"/>
  <c r="W309" i="38"/>
  <c r="X309" i="38" s="1"/>
  <c r="W200" i="38"/>
  <c r="X200" i="38" s="1"/>
  <c r="W341" i="38"/>
  <c r="X341" i="38" s="1"/>
  <c r="Q31" i="38"/>
  <c r="Q8" i="43"/>
  <c r="Q7" i="43" s="1"/>
  <c r="W196" i="38"/>
  <c r="X196" i="38" s="1"/>
  <c r="Q8" i="38"/>
  <c r="W107" i="38"/>
  <c r="X107" i="38" s="1"/>
  <c r="Q11" i="38"/>
  <c r="W103" i="38"/>
  <c r="X103" i="38" s="1"/>
  <c r="M58" i="70"/>
  <c r="Q10" i="70" s="1"/>
  <c r="Q3" i="70"/>
  <c r="Q6" i="70" s="1"/>
  <c r="Q9" i="66"/>
  <c r="W96" i="38"/>
  <c r="X96" i="38" s="1"/>
  <c r="W141" i="38"/>
  <c r="X141" i="38" s="1"/>
  <c r="W115" i="38"/>
  <c r="X115" i="38" s="1"/>
  <c r="W186" i="38"/>
  <c r="X186" i="38" s="1"/>
  <c r="W149" i="38"/>
  <c r="X149" i="38" s="1"/>
  <c r="W85" i="38"/>
  <c r="X85" i="38" s="1"/>
  <c r="W210" i="38"/>
  <c r="X210" i="38" s="1"/>
  <c r="W106" i="38"/>
  <c r="X106" i="38" s="1"/>
  <c r="W166" i="38"/>
  <c r="X166" i="38" s="1"/>
  <c r="W122" i="38"/>
  <c r="X122" i="38" s="1"/>
  <c r="W300" i="38"/>
  <c r="X300" i="38" s="1"/>
  <c r="W342" i="38"/>
  <c r="X342" i="38" s="1"/>
  <c r="Q3" i="32"/>
  <c r="Q6" i="32" s="1"/>
  <c r="Q5" i="24"/>
  <c r="M39" i="33"/>
  <c r="Q10" i="33" s="1"/>
  <c r="Q4" i="38"/>
  <c r="Q37" i="38"/>
  <c r="W227" i="38"/>
  <c r="W151" i="38"/>
  <c r="X151" i="38" s="1"/>
  <c r="W108" i="38"/>
  <c r="X108" i="38" s="1"/>
  <c r="W156" i="38"/>
  <c r="X156" i="38" s="1"/>
  <c r="W145" i="38"/>
  <c r="X145" i="38" s="1"/>
  <c r="W86" i="38"/>
  <c r="X86" i="38" s="1"/>
  <c r="W161" i="38"/>
  <c r="X161" i="38" s="1"/>
  <c r="W169" i="38"/>
  <c r="X169" i="38" s="1"/>
  <c r="W101" i="38"/>
  <c r="X101" i="38" s="1"/>
  <c r="W160" i="38"/>
  <c r="X160" i="38" s="1"/>
  <c r="W218" i="38"/>
  <c r="X218" i="38" s="1"/>
  <c r="W131" i="38"/>
  <c r="X131" i="38" s="1"/>
  <c r="W206" i="38"/>
  <c r="X206" i="38" s="1"/>
  <c r="W174" i="38"/>
  <c r="X174" i="38" s="1"/>
  <c r="W213" i="38"/>
  <c r="X213" i="38" s="1"/>
  <c r="W138" i="38"/>
  <c r="X138" i="38" s="1"/>
  <c r="W228" i="38"/>
  <c r="X228" i="38" s="1"/>
  <c r="W304" i="38"/>
  <c r="X304" i="38" s="1"/>
  <c r="W208" i="38"/>
  <c r="X208" i="38" s="1"/>
  <c r="W353" i="38"/>
  <c r="X353" i="38" s="1"/>
  <c r="Q7" i="38"/>
  <c r="W100" i="38"/>
  <c r="X100" i="38" s="1"/>
  <c r="W126" i="38"/>
  <c r="X126" i="38" s="1"/>
  <c r="W92" i="38"/>
  <c r="X92" i="38" s="1"/>
  <c r="Q3" i="51"/>
  <c r="Q6" i="51" s="1"/>
  <c r="Q8" i="51"/>
  <c r="Q8" i="25"/>
  <c r="Q7" i="25" s="1"/>
  <c r="Q3" i="25"/>
  <c r="Q6" i="25" s="1"/>
  <c r="Q5" i="25"/>
  <c r="N233" i="38"/>
  <c r="O233" i="38" s="1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O227" i="38" s="1"/>
  <c r="U227" i="38"/>
  <c r="Q5" i="32"/>
  <c r="Q9" i="32"/>
  <c r="M200" i="51"/>
  <c r="Q10" i="51" s="1"/>
  <c r="Q8" i="57"/>
  <c r="Q51" i="38"/>
  <c r="W253" i="38"/>
  <c r="X253" i="38" s="1"/>
  <c r="W247" i="38"/>
  <c r="X247" i="38" s="1"/>
  <c r="W245" i="38"/>
  <c r="X245" i="38" s="1"/>
  <c r="W333" i="38"/>
  <c r="X333" i="38" s="1"/>
  <c r="W331" i="38"/>
  <c r="X331" i="38" s="1"/>
  <c r="W363" i="38"/>
  <c r="X363" i="38" s="1"/>
  <c r="W305" i="38"/>
  <c r="X305" i="38" s="1"/>
  <c r="W232" i="38"/>
  <c r="X232" i="38" s="1"/>
  <c r="W264" i="38"/>
  <c r="X264" i="38" s="1"/>
  <c r="W344" i="38"/>
  <c r="X344" i="38" s="1"/>
  <c r="W236" i="38"/>
  <c r="W259" i="38"/>
  <c r="X259" i="38" s="1"/>
  <c r="W334" i="38"/>
  <c r="X334" i="38" s="1"/>
  <c r="W296" i="38"/>
  <c r="X296" i="38" s="1"/>
  <c r="W233" i="38"/>
  <c r="W246" i="38"/>
  <c r="X246" i="38" s="1"/>
  <c r="W235" i="38"/>
  <c r="X235" i="38" s="1"/>
  <c r="W308" i="38"/>
  <c r="X308" i="38" s="1"/>
  <c r="W263" i="38"/>
  <c r="X263" i="38" s="1"/>
  <c r="W272" i="38"/>
  <c r="X272" i="38" s="1"/>
  <c r="W332" i="38"/>
  <c r="X332" i="38" s="1"/>
  <c r="W277" i="38"/>
  <c r="X277" i="38" s="1"/>
  <c r="W234" i="38"/>
  <c r="X234" i="38" s="1"/>
  <c r="W298" i="38"/>
  <c r="X298" i="38" s="1"/>
  <c r="W357" i="38"/>
  <c r="X357" i="38" s="1"/>
  <c r="W347" i="38"/>
  <c r="X347" i="38" s="1"/>
  <c r="W351" i="38"/>
  <c r="X351" i="38" s="1"/>
  <c r="W343" i="38"/>
  <c r="X343" i="38" s="1"/>
  <c r="Q59" i="38"/>
  <c r="Q63" i="38"/>
  <c r="Q18" i="38"/>
  <c r="Q15" i="38"/>
  <c r="W345" i="38"/>
  <c r="X345" i="38" s="1"/>
  <c r="W237" i="38"/>
  <c r="X237" i="38" s="1"/>
  <c r="W261" i="38"/>
  <c r="X261" i="38" s="1"/>
  <c r="W346" i="38"/>
  <c r="X346" i="38" s="1"/>
  <c r="W241" i="38"/>
  <c r="X241" i="38" s="1"/>
  <c r="W324" i="38"/>
  <c r="X324" i="38" s="1"/>
  <c r="W289" i="38"/>
  <c r="X289" i="38" s="1"/>
  <c r="W335" i="38"/>
  <c r="X335" i="38" s="1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X251" i="38" s="1"/>
  <c r="W302" i="38"/>
  <c r="X302" i="38" s="1"/>
  <c r="W266" i="38"/>
  <c r="X266" i="38" s="1"/>
  <c r="W249" i="38"/>
  <c r="X249" i="38" s="1"/>
  <c r="W258" i="38"/>
  <c r="W321" i="38"/>
  <c r="X321" i="38" s="1"/>
  <c r="W273" i="38"/>
  <c r="X273" i="38" s="1"/>
  <c r="W280" i="38"/>
  <c r="X280" i="38" s="1"/>
  <c r="W262" i="38"/>
  <c r="X262" i="38" s="1"/>
  <c r="W284" i="38"/>
  <c r="X284" i="38" s="1"/>
  <c r="W244" i="38"/>
  <c r="X244" i="38" s="1"/>
  <c r="W306" i="38"/>
  <c r="X306" i="38" s="1"/>
  <c r="W315" i="38"/>
  <c r="X315" i="38" s="1"/>
  <c r="W356" i="38"/>
  <c r="X356" i="38" s="1"/>
  <c r="W355" i="38"/>
  <c r="X355" i="38" s="1"/>
  <c r="W350" i="38"/>
  <c r="X350" i="38" s="1"/>
  <c r="Q46" i="38"/>
  <c r="Q62" i="38"/>
  <c r="W257" i="38"/>
  <c r="X257" i="38" s="1"/>
  <c r="Q75" i="38"/>
  <c r="W316" i="38"/>
  <c r="X316" i="38" s="1"/>
  <c r="W283" i="38"/>
  <c r="X283" i="38" s="1"/>
  <c r="W229" i="38"/>
  <c r="X229" i="38" s="1"/>
  <c r="W255" i="38"/>
  <c r="X255" i="38" s="1"/>
  <c r="W336" i="38"/>
  <c r="X336" i="38" s="1"/>
  <c r="W282" i="38"/>
  <c r="X282" i="38" s="1"/>
  <c r="W275" i="38"/>
  <c r="X275" i="38" s="1"/>
  <c r="W269" i="38"/>
  <c r="X269" i="38" s="1"/>
  <c r="W352" i="38"/>
  <c r="X352" i="38" s="1"/>
  <c r="W256" i="38"/>
  <c r="X256" i="38" s="1"/>
  <c r="Q49" i="38"/>
  <c r="Q68" i="38"/>
  <c r="Q5" i="44"/>
  <c r="Q3" i="69"/>
  <c r="Q6" i="69" s="1"/>
  <c r="Q52" i="38"/>
  <c r="Q61" i="38"/>
  <c r="Q34" i="38"/>
  <c r="Q13" i="38"/>
  <c r="Q43" i="38"/>
  <c r="W281" i="38"/>
  <c r="X281" i="38" s="1"/>
  <c r="W312" i="38"/>
  <c r="X312" i="38" s="1"/>
  <c r="W279" i="38"/>
  <c r="X279" i="38" s="1"/>
  <c r="W265" i="38"/>
  <c r="X265" i="38" s="1"/>
  <c r="W301" i="38"/>
  <c r="X301" i="38" s="1"/>
  <c r="W286" i="38"/>
  <c r="X286" i="38" s="1"/>
  <c r="W270" i="38"/>
  <c r="X270" i="38" s="1"/>
  <c r="W292" i="38"/>
  <c r="X292" i="38" s="1"/>
  <c r="W260" i="38"/>
  <c r="X260" i="38" s="1"/>
  <c r="W317" i="38"/>
  <c r="X317" i="38" s="1"/>
  <c r="W323" i="38"/>
  <c r="X323" i="38" s="1"/>
  <c r="W359" i="38"/>
  <c r="X359" i="38" s="1"/>
  <c r="W295" i="38"/>
  <c r="X295" i="38" s="1"/>
  <c r="W358" i="38"/>
  <c r="X358" i="38" s="1"/>
  <c r="Q66" i="38"/>
  <c r="Q40" i="38"/>
  <c r="Q71" i="38"/>
  <c r="Q83" i="38"/>
  <c r="W271" i="38"/>
  <c r="X271" i="38" s="1"/>
  <c r="W238" i="38"/>
  <c r="X238" i="38" s="1"/>
  <c r="W318" i="38"/>
  <c r="X318" i="38" s="1"/>
  <c r="W349" i="38"/>
  <c r="X349" i="38" s="1"/>
  <c r="W327" i="38"/>
  <c r="X327" i="38" s="1"/>
  <c r="W287" i="38"/>
  <c r="X287" i="38" s="1"/>
  <c r="W291" i="38"/>
  <c r="X291" i="38" s="1"/>
  <c r="W250" i="38"/>
  <c r="X250" i="38" s="1"/>
  <c r="W339" i="38"/>
  <c r="X339" i="38" s="1"/>
  <c r="Q77" i="38"/>
  <c r="Q8" i="17"/>
  <c r="Q44" i="38"/>
  <c r="Q53" i="38"/>
  <c r="N236" i="38"/>
  <c r="O236" i="38" s="1"/>
  <c r="X236" i="38" s="1"/>
  <c r="U236" i="38"/>
  <c r="W252" i="38"/>
  <c r="X252" i="38" s="1"/>
  <c r="W230" i="38"/>
  <c r="X230" i="38" s="1"/>
  <c r="W322" i="38"/>
  <c r="X322" i="38" s="1"/>
  <c r="W294" i="38"/>
  <c r="X294" i="38" s="1"/>
  <c r="W285" i="38"/>
  <c r="X285" i="38" s="1"/>
  <c r="W239" i="38"/>
  <c r="X239" i="38" s="1"/>
  <c r="W290" i="38"/>
  <c r="X290" i="38" s="1"/>
  <c r="W278" i="38"/>
  <c r="X278" i="38" s="1"/>
  <c r="W297" i="38"/>
  <c r="X297" i="38" s="1"/>
  <c r="W268" i="38"/>
  <c r="X268" i="38" s="1"/>
  <c r="W325" i="38"/>
  <c r="X325" i="38" s="1"/>
  <c r="W337" i="38"/>
  <c r="X337" i="38" s="1"/>
  <c r="W360" i="38"/>
  <c r="X360" i="38" s="1"/>
  <c r="W303" i="38"/>
  <c r="X303" i="38" s="1"/>
  <c r="W361" i="38"/>
  <c r="X361" i="38" s="1"/>
  <c r="Q24" i="38"/>
  <c r="Q29" i="38"/>
  <c r="Q70" i="38"/>
  <c r="Q573" i="38" l="1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X227" i="38"/>
  <c r="X240" i="38"/>
  <c r="Q562" i="38"/>
  <c r="Q567" i="38"/>
  <c r="Q560" i="38"/>
  <c r="Q565" i="38"/>
  <c r="Q564" i="38"/>
  <c r="X233" i="38"/>
  <c r="X258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N273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Q7" i="87" l="1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2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3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4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5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6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7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8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9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0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1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2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3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4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5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6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7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8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9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0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1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2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3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6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57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8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59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60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1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2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63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4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65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66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67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6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6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7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7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7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7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7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7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7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7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7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8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8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8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8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84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85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86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87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<sst xmlns="http://schemas.openxmlformats.org/spreadsheetml/2006/main" count="6948" uniqueCount="991">
  <si>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</si>
  <si>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</si>
  <si>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</si>
  <si>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</si>
  <si>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</si>
  <si>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</si>
  <si>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</si>
  <si>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</si>
  <si>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</si>
  <si>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</si>
  <si>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</si>
  <si>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</si>
  <si>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</si>
  <si>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</si>
  <si>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</si>
  <si>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</si>
  <si>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</si>
  <si>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</si>
  <si>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</si>
  <si>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</si>
  <si>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</si>
  <si>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</si>
  <si>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</si>
  <si>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</si>
  <si>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</si>
  <si>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</si>
  <si>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</si>
  <si>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</si>
  <si>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</si>
  <si>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</si>
  <si>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</si>
  <si>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</si>
  <si>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</si>
  <si>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</si>
  <si>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</si>
  <si>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</si>
  <si>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</si>
  <si>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</si>
  <si>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</si>
  <si>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</si>
  <si>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</si>
  <si>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</si>
  <si>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</si>
  <si>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</si>
  <si>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</si>
  <si>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</si>
  <si>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</si>
  <si>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</si>
  <si>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</si>
  <si>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</si>
  <si>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</si>
  <si>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</si>
  <si>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</si>
  <si>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</si>
  <si>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</si>
  <si>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</si>
  <si>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</si>
  <si>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</si>
  <si>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</si>
  <si>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</si>
  <si>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</si>
  <si>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</si>
  <si>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</si>
  <si>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</si>
  <si>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</si>
  <si>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</si>
  <si>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</si>
  <si>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</si>
  <si>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</si>
  <si>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</si>
  <si>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</si>
  <si>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</si>
  <si>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</si>
  <si>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</si>
  <si>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</si>
  <si>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</si>
  <si>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</si>
  <si>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</si>
  <si>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</si>
  <si>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</si>
  <si>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</si>
  <si>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</si>
  <si>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</si>
  <si>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</si>
  <si>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</si>
  <si>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</si>
  <si>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</si>
  <si>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</si>
  <si>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</si>
  <si>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</si>
  <si>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</si>
  <si>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</si>
  <si>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</si>
  <si>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</si>
  <si>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</si>
  <si>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</si>
  <si>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</si>
  <si>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</si>
  <si>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</si>
  <si>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</si>
  <si>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</si>
  <si>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</si>
  <si>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</si>
  <si>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</si>
  <si>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</si>
  <si>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</si>
  <si>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</si>
  <si>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</si>
  <si>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</si>
  <si>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</si>
  <si>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</si>
  <si>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</si>
  <si>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</si>
  <si>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</si>
  <si>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</si>
  <si>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</si>
  <si>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</si>
  <si>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</si>
  <si>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</si>
  <si>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</si>
  <si>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</si>
  <si>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</si>
  <si>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</si>
  <si>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</si>
  <si>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</si>
  <si>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</si>
  <si>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</si>
  <si>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</si>
  <si>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</si>
  <si>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</si>
  <si>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</si>
  <si>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</si>
  <si>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</si>
  <si>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</si>
  <si>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</si>
  <si>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</si>
  <si>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</si>
  <si>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</si>
  <si>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</si>
  <si>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</si>
  <si>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</si>
  <si>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</si>
  <si>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</si>
  <si>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</si>
  <si>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</si>
  <si>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</si>
  <si>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</si>
  <si>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</si>
  <si>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</si>
  <si>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</si>
  <si>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</si>
  <si>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</si>
  <si>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</si>
  <si>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</si>
  <si>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</si>
  <si>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</si>
  <si>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</si>
  <si>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</si>
  <si>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</si>
  <si>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</si>
  <si>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</si>
  <si>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</si>
  <si>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</si>
  <si>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</si>
  <si>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</si>
  <si>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</si>
  <si>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</si>
  <si>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</si>
  <si>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</si>
  <si>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</si>
  <si>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</si>
  <si>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</si>
  <si>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</si>
  <si>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</si>
  <si>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</si>
  <si>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</si>
  <si>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</si>
  <si>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</si>
  <si>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</si>
  <si>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</si>
  <si>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</si>
  <si>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</si>
  <si>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</si>
  <si>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</si>
  <si>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</si>
  <si>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</si>
  <si>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</si>
  <si>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</si>
  <si>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</si>
  <si>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</si>
  <si>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</si>
  <si>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</si>
  <si>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</si>
  <si>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</si>
  <si>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</si>
  <si>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</si>
  <si>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</si>
  <si>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</si>
  <si>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</si>
  <si>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</si>
  <si>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</si>
  <si>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</si>
  <si>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</si>
  <si>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</si>
  <si>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</si>
  <si>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</si>
  <si>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</si>
  <si>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</si>
  <si>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</si>
  <si>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</si>
  <si>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</si>
  <si>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</si>
  <si>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</si>
  <si>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</si>
  <si>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</si>
  <si>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</si>
  <si>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</si>
  <si>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</si>
  <si>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</si>
  <si>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</si>
  <si>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</si>
  <si>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</si>
  <si>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</si>
  <si>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</si>
  <si>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</si>
  <si>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</si>
  <si>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</si>
  <si>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</si>
  <si>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</si>
  <si>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</si>
  <si>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</si>
  <si>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</si>
  <si>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</si>
  <si>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</si>
  <si>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</si>
  <si>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</si>
  <si>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</si>
  <si>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</si>
  <si>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</si>
  <si>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</si>
  <si>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</si>
  <si>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</si>
  <si>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</si>
  <si>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</si>
  <si>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</si>
  <si>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</si>
  <si>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</si>
  <si>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</si>
  <si>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</si>
  <si>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</si>
  <si>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</si>
  <si>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</si>
  <si>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</si>
  <si>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</si>
  <si>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</si>
  <si>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</si>
  <si>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</si>
  <si>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</si>
  <si>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</si>
  <si>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</si>
  <si>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</si>
  <si>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</si>
  <si>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</si>
  <si>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</si>
  <si>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</si>
  <si>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</si>
  <si>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</si>
  <si>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</si>
  <si>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</si>
  <si>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</si>
  <si>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</si>
  <si>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</si>
  <si>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</si>
  <si>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</si>
  <si>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</si>
  <si>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</si>
  <si>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</si>
  <si>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</si>
  <si>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</si>
  <si>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</si>
  <si>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</si>
  <si>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</si>
  <si>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</si>
  <si>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</si>
  <si>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</si>
  <si>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</si>
  <si>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</si>
  <si>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</si>
  <si>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</si>
  <si>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</si>
  <si>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</si>
  <si>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</si>
  <si>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</si>
  <si>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</si>
  <si>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</si>
  <si>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</si>
  <si>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</si>
  <si>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</si>
  <si>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</si>
  <si>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</si>
  <si>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</si>
  <si>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</si>
  <si>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</si>
  <si>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</si>
  <si>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</si>
  <si>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</si>
  <si>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</si>
  <si>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</si>
  <si>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</si>
  <si>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</si>
  <si>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</si>
  <si>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</si>
  <si>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</si>
  <si>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</si>
  <si>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</si>
  <si>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</si>
  <si>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</si>
  <si>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</si>
  <si>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</si>
  <si>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</si>
  <si>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</si>
  <si>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</si>
  <si>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</si>
  <si>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</si>
  <si>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</si>
  <si>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</si>
  <si>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</si>
  <si>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</si>
  <si>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</si>
  <si>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</si>
  <si>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</si>
  <si>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</si>
  <si>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</si>
  <si>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</si>
  <si>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</si>
  <si>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</si>
  <si>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</si>
  <si>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</si>
  <si>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</si>
  <si>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</si>
  <si>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</si>
  <si>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</si>
  <si>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</si>
  <si>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</si>
  <si>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</si>
  <si>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</si>
  <si>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</si>
  <si>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</si>
  <si>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</si>
  <si>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</si>
  <si>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</si>
  <si>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</si>
  <si>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</si>
  <si>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0.50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</si>
  <si>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</si>
  <si>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</si>
  <si>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</si>
  <si>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</si>
  <si>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</si>
  <si>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</si>
  <si>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</si>
  <si>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</si>
  <si>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</si>
  <si>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</si>
  <si>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</si>
  <si>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</si>
  <si>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</si>
  <si>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</si>
  <si>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</si>
  <si>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</si>
  <si>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</si>
  <si>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</si>
  <si>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</si>
  <si>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</si>
  <si>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</si>
  <si>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</si>
  <si>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</si>
  <si>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</si>
  <si>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</si>
  <si>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</si>
  <si>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</si>
  <si>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</si>
  <si>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</si>
  <si>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</si>
  <si>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</si>
  <si>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</si>
  <si>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</si>
  <si>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</si>
  <si>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</si>
  <si>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</si>
  <si>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</si>
  <si>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</si>
  <si>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</si>
  <si>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</si>
  <si>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</si>
  <si>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</si>
  <si>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</si>
  <si>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</si>
  <si>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</si>
  <si>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</si>
  <si>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</si>
  <si>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</si>
  <si>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</si>
  <si>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</si>
  <si>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</si>
  <si>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</si>
  <si>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</si>
  <si>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</si>
  <si>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</si>
  <si>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</si>
  <si>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</si>
  <si>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</si>
  <si>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</si>
  <si>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</si>
  <si>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</si>
  <si>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</si>
  <si>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</si>
  <si>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</si>
  <si>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</si>
  <si>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</si>
  <si>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</si>
  <si>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</si>
  <si>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</si>
  <si>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</si>
  <si>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</si>
  <si>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</si>
  <si>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</si>
  <si>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</si>
  <si>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</si>
  <si>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</si>
  <si>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</si>
  <si>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</si>
  <si>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</si>
  <si>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</si>
  <si>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</si>
  <si>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</si>
  <si>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</si>
  <si>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</si>
  <si>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</si>
  <si>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</si>
  <si>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</si>
  <si>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</si>
  <si>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</si>
  <si>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</si>
  <si>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</si>
  <si>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</si>
  <si>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</si>
  <si>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</si>
  <si>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</si>
  <si>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</si>
  <si>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</si>
  <si>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</si>
  <si>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</si>
  <si>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</si>
  <si>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</si>
  <si>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</si>
  <si>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</si>
  <si>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</si>
  <si>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</si>
  <si>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</si>
  <si>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</si>
  <si>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</si>
  <si>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</si>
  <si>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</si>
  <si>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</si>
  <si>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</si>
  <si>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</si>
  <si>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</si>
  <si>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</si>
  <si>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</si>
  <si>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</si>
  <si>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</si>
  <si>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</si>
  <si>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</si>
  <si>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</si>
  <si>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</si>
  <si>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</si>
  <si>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</si>
  <si>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</si>
  <si>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</si>
  <si>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</si>
  <si>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</si>
  <si>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</si>
  <si>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</si>
  <si>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</si>
  <si>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35.42 - 59.68</t>
  </si>
  <si>
    <t>2-May-17CVS Earnings announcement</t>
  </si>
  <si>
    <t>20.77 - 37.17</t>
  </si>
  <si>
    <t>May 30 - Jun 5 (Est.)</t>
  </si>
  <si>
    <t>80,    30</t>
  </si>
  <si>
    <t>43.55 - 59.99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</si>
  <si>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</si>
  <si>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</si>
  <si>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</si>
  <si>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</si>
  <si>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</si>
  <si>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</si>
  <si>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</si>
  <si>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</si>
  <si>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</si>
  <si>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</si>
  <si>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</si>
  <si>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</si>
  <si>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</si>
  <si>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</si>
  <si>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</si>
  <si>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</si>
  <si>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</si>
  <si>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</si>
  <si>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</si>
  <si>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</si>
  <si>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</si>
  <si>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</si>
  <si>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</si>
  <si>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</si>
  <si>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</si>
  <si>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</si>
  <si>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</si>
  <si>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</si>
  <si>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</si>
  <si>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</si>
  <si>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</si>
  <si>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</si>
  <si>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15-Jun-17KR Earnings announcement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</si>
  <si>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</si>
  <si>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</si>
  <si>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</si>
  <si>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</si>
  <si>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</si>
  <si>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</si>
  <si>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</si>
  <si>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</si>
  <si>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</si>
  <si>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</si>
  <si>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</si>
  <si>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</si>
  <si>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</si>
  <si>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</si>
  <si>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</si>
  <si>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</si>
  <si>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</si>
  <si>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</si>
  <si>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</si>
  <si>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</si>
  <si>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</si>
  <si>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</si>
  <si>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</si>
  <si>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</si>
  <si>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</si>
  <si>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</si>
  <si>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</si>
  <si>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</si>
  <si>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</si>
  <si>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</si>
  <si>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</si>
  <si>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</si>
  <si>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</si>
  <si>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</si>
  <si>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</si>
  <si>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</si>
  <si>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0.48 (1.63%)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</si>
  <si>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</si>
  <si>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</si>
  <si>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</si>
  <si>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</si>
  <si>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</si>
  <si>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</si>
  <si>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</si>
  <si>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</si>
  <si>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</si>
  <si>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</si>
  <si>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</si>
  <si>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</si>
  <si>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</si>
  <si>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</si>
  <si>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</si>
  <si>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</si>
  <si>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</si>
  <si>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</si>
  <si>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</si>
  <si>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</si>
  <si>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</si>
  <si>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</si>
  <si>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</si>
  <si>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</si>
  <si>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</si>
  <si>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</si>
  <si>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</si>
  <si>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</si>
  <si>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</si>
  <si>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</si>
  <si>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</si>
  <si>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</si>
  <si>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</si>
  <si>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</si>
  <si>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</si>
  <si>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</si>
  <si>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</si>
  <si>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</si>
  <si>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</si>
  <si>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</si>
  <si>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</si>
  <si>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</si>
  <si>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</si>
  <si>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</si>
  <si>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</si>
  <si>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</si>
  <si>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</si>
  <si>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</si>
  <si>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</si>
  <si>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</si>
  <si>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</si>
  <si>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</si>
  <si>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</si>
  <si>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</si>
  <si>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</si>
  <si>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</si>
  <si>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</si>
  <si>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</si>
  <si>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</si>
  <si>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</si>
  <si>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</si>
  <si>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</si>
  <si>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</si>
  <si>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</si>
  <si>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</si>
  <si>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</si>
  <si>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</si>
  <si>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</si>
  <si>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</si>
  <si>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</si>
  <si>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</si>
  <si>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</si>
  <si>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</si>
  <si>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</si>
  <si>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</si>
  <si>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</si>
  <si>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</si>
  <si>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</si>
  <si>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</si>
  <si>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</si>
  <si>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</si>
  <si>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</si>
  <si>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</si>
  <si>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</si>
  <si>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</si>
  <si>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</si>
  <si>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</si>
  <si>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</si>
  <si>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</si>
  <si>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</si>
  <si>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</si>
  <si>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</si>
  <si>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</si>
  <si>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</si>
  <si>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</si>
  <si>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</si>
  <si>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</si>
  <si>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</si>
  <si>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</si>
  <si>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</si>
  <si>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</si>
  <si>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</si>
  <si>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</si>
  <si>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</si>
  <si>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</si>
  <si>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</si>
  <si>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</si>
  <si>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</si>
  <si>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</si>
  <si>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</si>
  <si>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</si>
  <si>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</si>
  <si>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</si>
  <si>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</si>
  <si>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</si>
  <si>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</si>
  <si>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</si>
  <si>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</si>
  <si>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</si>
  <si>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</si>
  <si>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</si>
  <si>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</si>
  <si>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</si>
  <si>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</si>
  <si>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</si>
  <si>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</si>
  <si>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</si>
  <si>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</si>
  <si>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</si>
  <si>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</si>
  <si>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</si>
  <si>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</si>
  <si>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</si>
  <si>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</si>
  <si>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</si>
  <si>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</si>
  <si>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</si>
  <si>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</si>
  <si>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</si>
  <si>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</si>
  <si>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</si>
  <si>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</si>
  <si>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</si>
  <si>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</si>
  <si>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</si>
  <si>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</si>
  <si>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</si>
  <si>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</si>
  <si>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</si>
  <si>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</si>
  <si>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</si>
  <si>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</si>
  <si>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</si>
  <si>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</si>
  <si>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</si>
  <si>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</si>
  <si>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</si>
  <si>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</si>
  <si>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</si>
  <si>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</si>
  <si>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</si>
  <si>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</si>
  <si>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</si>
  <si>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</si>
  <si>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</si>
  <si>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</si>
  <si>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Before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</si>
  <si>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</si>
  <si>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</si>
  <si>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</si>
  <si>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</si>
  <si>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</si>
  <si>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</si>
  <si>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</si>
  <si>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</si>
  <si>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</si>
  <si>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Q3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</si>
  <si>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</si>
  <si>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</si>
  <si>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</si>
  <si>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</si>
  <si>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</si>
  <si>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</si>
  <si>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</si>
  <si>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</si>
  <si>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</si>
  <si>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</si>
  <si>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</si>
  <si>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</si>
  <si>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</si>
  <si>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</si>
  <si>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</si>
  <si>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</si>
  <si>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</si>
  <si>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</si>
  <si>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</si>
  <si>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P</t>
  </si>
  <si>
    <t>K</t>
  </si>
  <si>
    <t>International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</si>
  <si>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</si>
  <si>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</si>
  <si>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</si>
  <si>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</si>
  <si>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</si>
  <si>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</si>
  <si>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</si>
  <si>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Actual sum gross margin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</si>
  <si>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</si>
  <si>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</si>
  <si>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</si>
  <si>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</si>
  <si>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</si>
  <si>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</si>
  <si>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</si>
  <si>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</si>
  <si>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</si>
  <si>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</si>
  <si>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</si>
  <si>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</si>
  <si>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Gross margin actual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</si>
  <si>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</si>
  <si>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</si>
  <si>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</si>
  <si>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</si>
  <si>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</si>
  <si>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</si>
  <si>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</si>
  <si>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</si>
  <si>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</si>
  <si>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</si>
  <si>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</si>
  <si>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</si>
  <si>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</si>
  <si>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</si>
  <si>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LT debt (billion)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</si>
  <si>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</si>
  <si>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</si>
  <si>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</si>
  <si>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</si>
  <si>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</si>
  <si>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</si>
  <si>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</si>
  <si>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</si>
  <si>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</si>
  <si>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Q4 2017</t>
  </si>
  <si>
    <t>Aft</t>
  </si>
  <si>
    <t>65.00 --&gt;64.50</t>
  </si>
  <si>
    <t>57.00 -&gt;56.50</t>
  </si>
  <si>
    <t>64.50 --&gt;63.50</t>
  </si>
  <si>
    <t>80.00-&gt;79.50</t>
  </si>
  <si>
    <t>4Q2017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</si>
  <si>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</si>
  <si>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</si>
  <si>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</si>
  <si>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</si>
  <si>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</si>
  <si>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</si>
  <si>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</si>
  <si>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</si>
  <si>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</si>
  <si>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</si>
  <si>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</si>
  <si>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</si>
  <si>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</si>
  <si>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</si>
  <si>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</si>
  <si>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</si>
  <si>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Last Price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</si>
  <si>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</si>
  <si>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</si>
  <si>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</si>
  <si>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</si>
  <si>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</si>
  <si>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</si>
  <si>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</si>
  <si>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</si>
  <si>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</si>
  <si>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</si>
  <si>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</si>
  <si>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Logs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</si>
  <si>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</si>
  <si>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</si>
  <si>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</si>
  <si>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</si>
  <si>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</si>
  <si>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</si>
  <si>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</si>
  <si>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</si>
  <si>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</si>
  <si>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</si>
  <si>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</si>
  <si>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</si>
  <si>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</si>
  <si>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</si>
  <si>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</si>
  <si>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</si>
  <si>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</si>
  <si>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</si>
  <si>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</si>
  <si>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</si>
  <si>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</si>
  <si>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</si>
  <si>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</si>
  <si>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</si>
  <si>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</si>
  <si>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</si>
  <si>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</si>
  <si>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</si>
  <si>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</si>
  <si>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</si>
  <si>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</si>
  <si>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</si>
  <si>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</si>
  <si>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</si>
  <si>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</si>
  <si>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</si>
  <si>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</si>
  <si>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</si>
  <si>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</si>
  <si>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</si>
  <si>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</si>
  <si>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</si>
  <si>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</si>
  <si>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</si>
  <si>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</si>
  <si>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</si>
  <si>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</si>
  <si>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</si>
  <si>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</si>
  <si>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</si>
  <si>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</si>
  <si>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</si>
  <si>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ER B4</t>
  </si>
  <si>
    <t>shares sold too cheap, but got tax loss. No hurry to BB, no hurry to Sell</t>
  </si>
  <si>
    <t>T50-100-200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</si>
  <si>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</si>
  <si>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</si>
  <si>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</si>
  <si>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</si>
  <si>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</si>
  <si>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</si>
  <si>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</si>
  <si>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</si>
  <si>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</si>
  <si>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</si>
  <si>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</si>
  <si>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</si>
  <si>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</si>
  <si>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</si>
  <si>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</si>
  <si>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</si>
  <si>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</si>
  <si>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</si>
  <si>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</si>
  <si>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</si>
  <si>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</si>
  <si>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</si>
  <si>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</si>
  <si>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</si>
  <si>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50^-100-200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</si>
  <si>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</si>
  <si>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</si>
  <si>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</si>
  <si>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</si>
  <si>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</si>
  <si>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</si>
  <si>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</si>
  <si>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</si>
  <si>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</si>
  <si>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</si>
  <si>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</si>
  <si>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</si>
  <si>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</si>
  <si>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</si>
  <si>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</si>
  <si>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</si>
  <si>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</si>
  <si>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</si>
  <si>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</si>
  <si>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</si>
  <si>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</si>
  <si>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Estimate ER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</si>
  <si>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</si>
  <si>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</si>
  <si>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</si>
  <si>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</si>
  <si>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</si>
  <si>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</si>
  <si>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</si>
  <si>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</si>
  <si>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</si>
  <si>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</si>
  <si>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</si>
  <si>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</si>
  <si>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</si>
  <si>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</si>
  <si>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</si>
  <si>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</si>
  <si>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</si>
  <si>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</si>
  <si>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</si>
  <si>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</si>
  <si>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2/8/2018 (ex 1/24)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</si>
  <si>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</si>
  <si>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</si>
  <si>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</si>
  <si>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</si>
  <si>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</si>
  <si>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</si>
  <si>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</si>
  <si>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</si>
  <si>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</si>
  <si>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</si>
  <si>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</si>
  <si>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</si>
  <si>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</si>
  <si>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</si>
  <si>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SFM ER</t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</si>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</sst>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1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vertical="center"/>
    </xf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174" fontId="4" fillId="29" borderId="0" xfId="0" applyNumberFormat="1" applyFont="1" applyFill="1"/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14" fontId="0" fillId="0" borderId="0" xfId="0" applyNumberFormat="1" applyFont="1" applyFill="1"/>
    <xf numFmtId="0" fontId="0" fillId="0" borderId="0" xfId="0" applyFont="1" applyFill="1"/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165" fontId="14" fillId="0" borderId="0" xfId="0" applyNumberFormat="1" applyFont="1" applyAlignment="1">
      <alignment horizontal="left"/>
    </xf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0" fillId="0" borderId="0" xfId="3" applyNumberFormat="1" applyFont="1" applyAlignment="1">
      <alignment horizontal="center"/>
    </xf>
    <xf numFmtId="10" fontId="12" fillId="0" borderId="0" xfId="3" applyNumberFormat="1" applyFont="1" applyAlignment="1">
      <alignment horizontal="center"/>
    </xf>
    <xf numFmtId="14" fontId="14" fillId="0" borderId="0" xfId="0" applyNumberFormat="1" applyFont="1"/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4" fillId="0" borderId="0" xfId="0" applyNumberFormat="1" applyFont="1" applyFill="1" applyBorder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284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283"/>
      <tableStyleElement type="headerRow" dxfId="2282"/>
    </tableStyle>
  </tableStyles>
  <colors>
    <mruColors>
      <color rgb="FFED5C55"/>
      <color rgb="FFFF3300"/>
      <color rgb="FFFF7C5D"/>
      <color rgb="FFE7271D"/>
      <color rgb="FF00221A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Balance!$B$2:$B$641</c:f>
              <c:numCache>
                <c:formatCode>m/d/yyyy</c:formatCode>
                <c:ptCount val="6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</c:numCache>
            </c:numRef>
          </c:xVal>
          <c:yVal>
            <c:numRef>
              <c:f>Balance!$I$2:$I$643</c:f>
              <c:numCache>
                <c:formatCode>0.00</c:formatCode>
                <c:ptCount val="6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53872"/>
        <c:axId val="465379064"/>
      </c:scatterChart>
      <c:valAx>
        <c:axId val="20145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379064"/>
        <c:crosses val="autoZero"/>
        <c:crossBetween val="midCat"/>
      </c:valAx>
      <c:valAx>
        <c:axId val="465379064"/>
        <c:scaling>
          <c:orientation val="minMax"/>
          <c:max val="43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53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Balance!$B$2:$B$643</c:f>
              <c:numCache>
                <c:formatCode>m/d/yyyy</c:formatCode>
                <c:ptCount val="6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</c:numCache>
            </c:numRef>
          </c:xVal>
          <c:yVal>
            <c:numRef>
              <c:f>Balance!$M$2:$M$643</c:f>
              <c:numCache>
                <c:formatCode>0.00</c:formatCode>
                <c:ptCount val="6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71464"/>
        <c:axId val="73242360"/>
      </c:scatterChart>
      <c:valAx>
        <c:axId val="465271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42360"/>
        <c:crosses val="autoZero"/>
        <c:crossBetween val="midCat"/>
      </c:valAx>
      <c:valAx>
        <c:axId val="7324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71464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Balance!$B$2:$B$693</c:f>
              <c:numCache>
                <c:formatCode>m/d/yyyy</c:formatCode>
                <c:ptCount val="69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</c:numCache>
            </c:numRef>
          </c:xVal>
          <c:yVal>
            <c:numRef>
              <c:f>Balance!$C$2:$C$695</c:f>
              <c:numCache>
                <c:formatCode>0.00</c:formatCode>
                <c:ptCount val="69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912096"/>
        <c:axId val="147004944"/>
      </c:scatterChart>
      <c:valAx>
        <c:axId val="475912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004944"/>
        <c:crosses val="autoZero"/>
        <c:crossBetween val="midCat"/>
      </c:valAx>
      <c:valAx>
        <c:axId val="14700494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912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</c:numCache>
            </c:numRef>
          </c:xVal>
          <c:yVal>
            <c:numRef>
              <c:f>Balance!$Q$2:$Q$746</c:f>
              <c:numCache>
                <c:formatCode>0.00%</c:formatCode>
                <c:ptCount val="7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493568"/>
        <c:axId val="485493952"/>
      </c:scatterChart>
      <c:valAx>
        <c:axId val="48549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93952"/>
        <c:crosses val="autoZero"/>
        <c:crossBetween val="midCat"/>
      </c:valAx>
      <c:valAx>
        <c:axId val="485493952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493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</c:numCache>
            </c:numRef>
          </c:xVal>
          <c:yVal>
            <c:numRef>
              <c:f>Balance!$W$2:$W$797</c:f>
              <c:numCache>
                <c:formatCode>0.00%</c:formatCode>
                <c:ptCount val="79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681200"/>
        <c:axId val="485889496"/>
      </c:scatterChart>
      <c:valAx>
        <c:axId val="199681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89496"/>
        <c:crosses val="autoZero"/>
        <c:crossBetween val="midCat"/>
      </c:valAx>
      <c:valAx>
        <c:axId val="485889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81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Balance!$B$2:$B$743</c:f>
              <c:numCache>
                <c:formatCode>m/d/yyyy</c:formatCode>
                <c:ptCount val="7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</c:numCache>
            </c:numRef>
          </c:xVal>
          <c:yVal>
            <c:numRef>
              <c:f>Balance!$X$2:$X$747</c:f>
              <c:numCache>
                <c:formatCode>0.00</c:formatCode>
                <c:ptCount val="746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890672"/>
        <c:axId val="485891064"/>
      </c:scatterChart>
      <c:valAx>
        <c:axId val="485890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1064"/>
        <c:crosses val="autoZero"/>
        <c:crossBetween val="midCat"/>
      </c:valAx>
      <c:valAx>
        <c:axId val="485891064"/>
        <c:scaling>
          <c:orientation val="minMax"/>
          <c:min val="-3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0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Balance!$B$2:$B$691</c:f>
              <c:numCache>
                <c:formatCode>m/d/yyyy</c:formatCode>
                <c:ptCount val="69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</c:numCache>
            </c:numRef>
          </c:xVal>
          <c:yVal>
            <c:numRef>
              <c:f>Balance!$S$2:$S$697</c:f>
              <c:numCache>
                <c:formatCode>0.00%</c:formatCode>
                <c:ptCount val="69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891848"/>
        <c:axId val="485892240"/>
      </c:scatterChart>
      <c:valAx>
        <c:axId val="485891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2240"/>
        <c:crosses val="autoZero"/>
        <c:crossBetween val="midCat"/>
      </c:valAx>
      <c:valAx>
        <c:axId val="485892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1848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80808"/>
        <c:axId val="199680416"/>
      </c:lineChart>
      <c:dateAx>
        <c:axId val="199680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80416"/>
        <c:crosses val="autoZero"/>
        <c:auto val="1"/>
        <c:lblOffset val="100"/>
        <c:baseTimeUnit val="days"/>
      </c:dateAx>
      <c:valAx>
        <c:axId val="19968041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8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890280"/>
        <c:axId val="201500136"/>
      </c:lineChart>
      <c:dateAx>
        <c:axId val="485890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500136"/>
        <c:crosses val="autoZero"/>
        <c:auto val="1"/>
        <c:lblOffset val="100"/>
        <c:baseTimeUnit val="days"/>
      </c:dateAx>
      <c:valAx>
        <c:axId val="20150013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0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7354080"/>
        <c:axId val="487354472"/>
      </c:lineChart>
      <c:dateAx>
        <c:axId val="487354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54472"/>
        <c:crosses val="autoZero"/>
        <c:auto val="1"/>
        <c:lblOffset val="100"/>
        <c:baseTimeUnit val="days"/>
      </c:dateAx>
      <c:valAx>
        <c:axId val="48735447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735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273792"/>
        <c:axId val="486274184"/>
      </c:lineChart>
      <c:dateAx>
        <c:axId val="486273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74184"/>
        <c:crosses val="autoZero"/>
        <c:auto val="1"/>
        <c:lblOffset val="100"/>
        <c:baseTimeUnit val="days"/>
      </c:dateAx>
      <c:valAx>
        <c:axId val="48627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7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276144"/>
        <c:axId val="486276536"/>
      </c:lineChart>
      <c:dateAx>
        <c:axId val="4862761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76536"/>
        <c:crosses val="autoZero"/>
        <c:auto val="1"/>
        <c:lblOffset val="100"/>
        <c:baseTimeUnit val="days"/>
      </c:dateAx>
      <c:valAx>
        <c:axId val="4862765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27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86744"/>
        <c:axId val="488187136"/>
      </c:lineChart>
      <c:dateAx>
        <c:axId val="488186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87136"/>
        <c:crosses val="autoZero"/>
        <c:auto val="1"/>
        <c:lblOffset val="100"/>
        <c:baseTimeUnit val="days"/>
      </c:dateAx>
      <c:valAx>
        <c:axId val="48818713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86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189096"/>
        <c:axId val="488189488"/>
      </c:lineChart>
      <c:dateAx>
        <c:axId val="488189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89488"/>
        <c:crosses val="autoZero"/>
        <c:auto val="1"/>
        <c:lblOffset val="100"/>
        <c:baseTimeUnit val="days"/>
      </c:dateAx>
      <c:valAx>
        <c:axId val="48818948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8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8547360"/>
        <c:axId val="488547752"/>
      </c:lineChart>
      <c:dateAx>
        <c:axId val="4885473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47752"/>
        <c:crosses val="autoZero"/>
        <c:auto val="1"/>
        <c:lblOffset val="100"/>
        <c:baseTimeUnit val="days"/>
      </c:dateAx>
      <c:valAx>
        <c:axId val="4885477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54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727800"/>
        <c:axId val="486728192"/>
      </c:lineChart>
      <c:catAx>
        <c:axId val="486727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28192"/>
        <c:crosses val="autoZero"/>
        <c:auto val="1"/>
        <c:lblAlgn val="ctr"/>
        <c:lblOffset val="100"/>
        <c:noMultiLvlLbl val="0"/>
      </c:catAx>
      <c:valAx>
        <c:axId val="4867281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6727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9200"/>
        <c:axId val="500799592"/>
      </c:lineChart>
      <c:dateAx>
        <c:axId val="500799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99592"/>
        <c:crosses val="autoZero"/>
        <c:auto val="1"/>
        <c:lblOffset val="100"/>
        <c:baseTimeUnit val="days"/>
      </c:dateAx>
      <c:valAx>
        <c:axId val="50079959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99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801944"/>
        <c:axId val="501088984"/>
      </c:lineChart>
      <c:dateAx>
        <c:axId val="500801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88984"/>
        <c:crosses val="autoZero"/>
        <c:auto val="1"/>
        <c:lblOffset val="100"/>
        <c:baseTimeUnit val="days"/>
      </c:dateAx>
      <c:valAx>
        <c:axId val="501088984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80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1090944"/>
        <c:axId val="501091336"/>
      </c:lineChart>
      <c:catAx>
        <c:axId val="501090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91336"/>
        <c:crosses val="autoZero"/>
        <c:auto val="1"/>
        <c:lblAlgn val="ctr"/>
        <c:lblOffset val="100"/>
        <c:noMultiLvlLbl val="0"/>
      </c:catAx>
      <c:valAx>
        <c:axId val="501091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109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040400"/>
        <c:axId val="521040792"/>
      </c:lineChart>
      <c:catAx>
        <c:axId val="521040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040792"/>
        <c:crosses val="autoZero"/>
        <c:auto val="1"/>
        <c:lblAlgn val="ctr"/>
        <c:lblOffset val="100"/>
        <c:noMultiLvlLbl val="0"/>
      </c:catAx>
      <c:valAx>
        <c:axId val="5210407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04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994240"/>
        <c:axId val="520994632"/>
      </c:lineChart>
      <c:dateAx>
        <c:axId val="5209942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994632"/>
        <c:crosses val="autoZero"/>
        <c:auto val="1"/>
        <c:lblOffset val="100"/>
        <c:baseTimeUnit val="days"/>
      </c:dateAx>
      <c:valAx>
        <c:axId val="5209946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99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996592"/>
        <c:axId val="520996984"/>
      </c:lineChart>
      <c:catAx>
        <c:axId val="520996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996984"/>
        <c:crosses val="autoZero"/>
        <c:auto val="1"/>
        <c:lblAlgn val="ctr"/>
        <c:lblOffset val="100"/>
        <c:noMultiLvlLbl val="0"/>
      </c:catAx>
      <c:valAx>
        <c:axId val="5209969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996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9416504"/>
        <c:axId val="539416896"/>
      </c:lineChart>
      <c:dateAx>
        <c:axId val="5394165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16896"/>
        <c:crosses val="autoZero"/>
        <c:auto val="1"/>
        <c:lblOffset val="100"/>
        <c:baseTimeUnit val="days"/>
      </c:dateAx>
      <c:valAx>
        <c:axId val="53941689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941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274704"/>
        <c:axId val="511275096"/>
      </c:lineChart>
      <c:dateAx>
        <c:axId val="511274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75096"/>
        <c:crosses val="autoZero"/>
        <c:auto val="1"/>
        <c:lblOffset val="100"/>
        <c:baseTimeUnit val="days"/>
      </c:dateAx>
      <c:valAx>
        <c:axId val="51127509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27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404464"/>
        <c:axId val="550404856"/>
      </c:lineChart>
      <c:dateAx>
        <c:axId val="55040446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04856"/>
        <c:crosses val="autoZero"/>
        <c:auto val="0"/>
        <c:lblOffset val="100"/>
        <c:baseTimeUnit val="days"/>
      </c:dateAx>
      <c:valAx>
        <c:axId val="55040485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04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407992"/>
        <c:axId val="550408384"/>
      </c:lineChart>
      <c:dateAx>
        <c:axId val="5504079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08384"/>
        <c:crosses val="autoZero"/>
        <c:auto val="1"/>
        <c:lblOffset val="100"/>
        <c:baseTimeUnit val="days"/>
      </c:dateAx>
      <c:valAx>
        <c:axId val="5504083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0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410344"/>
        <c:axId val="550410736"/>
      </c:lineChart>
      <c:catAx>
        <c:axId val="550410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10736"/>
        <c:crosses val="autoZero"/>
        <c:auto val="1"/>
        <c:lblAlgn val="ctr"/>
        <c:lblOffset val="100"/>
        <c:noMultiLvlLbl val="0"/>
      </c:catAx>
      <c:valAx>
        <c:axId val="5504107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410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367088"/>
        <c:axId val="550367480"/>
      </c:lineChart>
      <c:catAx>
        <c:axId val="550367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367480"/>
        <c:crosses val="autoZero"/>
        <c:auto val="1"/>
        <c:lblAlgn val="ctr"/>
        <c:lblOffset val="100"/>
        <c:noMultiLvlLbl val="0"/>
      </c:catAx>
      <c:valAx>
        <c:axId val="55036748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36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0369440"/>
        <c:axId val="550369832"/>
      </c:lineChart>
      <c:catAx>
        <c:axId val="550369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369832"/>
        <c:crosses val="autoZero"/>
        <c:auto val="1"/>
        <c:lblAlgn val="ctr"/>
        <c:lblOffset val="100"/>
        <c:noMultiLvlLbl val="0"/>
      </c:catAx>
      <c:valAx>
        <c:axId val="55036983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036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337216"/>
        <c:axId val="561337608"/>
      </c:lineChart>
      <c:dateAx>
        <c:axId val="561337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7608"/>
        <c:crosses val="autoZero"/>
        <c:auto val="1"/>
        <c:lblOffset val="100"/>
        <c:baseTimeUnit val="days"/>
      </c:dateAx>
      <c:valAx>
        <c:axId val="56133760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37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340744"/>
        <c:axId val="561341136"/>
      </c:lineChart>
      <c:dateAx>
        <c:axId val="561340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41136"/>
        <c:crosses val="autoZero"/>
        <c:auto val="1"/>
        <c:lblOffset val="100"/>
        <c:baseTimeUnit val="days"/>
      </c:dateAx>
      <c:valAx>
        <c:axId val="56134113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34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45000"/>
        <c:axId val="574145392"/>
      </c:lineChart>
      <c:catAx>
        <c:axId val="574145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45392"/>
        <c:crosses val="autoZero"/>
        <c:auto val="1"/>
        <c:lblAlgn val="ctr"/>
        <c:lblOffset val="100"/>
        <c:noMultiLvlLbl val="0"/>
      </c:catAx>
      <c:valAx>
        <c:axId val="5741453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45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150880"/>
        <c:axId val="574151272"/>
      </c:lineChart>
      <c:dateAx>
        <c:axId val="574150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51272"/>
        <c:crosses val="autoZero"/>
        <c:auto val="1"/>
        <c:lblOffset val="100"/>
        <c:baseTimeUnit val="days"/>
      </c:dateAx>
      <c:valAx>
        <c:axId val="57415127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15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gif"/><Relationship Id="rId3" Type="http://schemas.openxmlformats.org/officeDocument/2006/relationships/image" Target="../media/image7.gif"/><Relationship Id="rId7" Type="http://schemas.openxmlformats.org/officeDocument/2006/relationships/image" Target="../media/image11.gif"/><Relationship Id="rId2" Type="http://schemas.openxmlformats.org/officeDocument/2006/relationships/image" Target="../media/image6.gif"/><Relationship Id="rId1" Type="http://schemas.openxmlformats.org/officeDocument/2006/relationships/image" Target="../media/image5.gif"/><Relationship Id="rId6" Type="http://schemas.openxmlformats.org/officeDocument/2006/relationships/image" Target="../media/image10.gif"/><Relationship Id="rId5" Type="http://schemas.openxmlformats.org/officeDocument/2006/relationships/image" Target="../media/image9.gif"/><Relationship Id="rId4" Type="http://schemas.openxmlformats.org/officeDocument/2006/relationships/image" Target="../media/image8.gi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8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300037</xdr:colOff>
      <xdr:row>30</xdr:row>
      <xdr:rowOff>9525</xdr:rowOff>
    </xdr:from>
    <xdr:to>
      <xdr:col>41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266700</xdr:colOff>
      <xdr:row>15</xdr:row>
      <xdr:rowOff>47625</xdr:rowOff>
    </xdr:from>
    <xdr:to>
      <xdr:col>41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276225</xdr:colOff>
      <xdr:row>0</xdr:row>
      <xdr:rowOff>28575</xdr:rowOff>
    </xdr:from>
    <xdr:to>
      <xdr:col>41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323850</xdr:colOff>
      <xdr:row>45</xdr:row>
      <xdr:rowOff>114300</xdr:rowOff>
    </xdr:from>
    <xdr:to>
      <xdr:col>42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25</xdr:col>
      <xdr:colOff>323850</xdr:colOff>
      <xdr:row>63</xdr:row>
      <xdr:rowOff>219075</xdr:rowOff>
    </xdr:from>
    <xdr:to>
      <xdr:col>42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304800</xdr:colOff>
      <xdr:row>82</xdr:row>
      <xdr:rowOff>123825</xdr:rowOff>
    </xdr:from>
    <xdr:to>
      <xdr:col>41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323850</xdr:colOff>
      <xdr:row>100</xdr:row>
      <xdr:rowOff>161925</xdr:rowOff>
    </xdr:from>
    <xdr:to>
      <xdr:col>42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17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18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6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6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AAPL" backgroundRefresh="0" connectionId="7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XP+Historical+Prices" backgroundRefresh="0" adjustColumnWidth="0" connectionId="3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XP" backgroundRefresh="0" connectionId="6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dg" backgroundRefresh="0" connectionId="7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pinc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pinc" backgroundRefresh="0" adjustColumnWidth="0" connectionId="8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oxa" backgroundRefresh="0" connectionId="7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oxa" backgroundRefresh="0" adjustColumnWidth="0" connectionId="7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uv&amp;ql=1" backgroundRefresh="0" connectionId="73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LUV" backgroundRefresh="0" adjustColumnWidth="0" connectionId="7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KAM+Historical+Prices" backgroundRefresh="0" adjustColumnWidth="0" connectionId="7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KAM" backgroundRefresh="0" connectionId="7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vs" backgroundRefresh="0" adjustColumnWidth="0" connectionId="8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vs" backgroundRefresh="0" connectionId="8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R" backgroundRefresh="0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F" backgroundRefresh="0" adjustColumnWidth="0" connectionId="6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jnj" backgroundRefresh="0" adjustColumnWidth="0" connectionId="84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JNJ" backgroundRefresh="0" connectionId="8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PN+Historical+Prices" backgroundRefresh="0" adjustColumnWidth="0" connectionId="4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CPN" backgroundRefresh="0" connectionId="3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ke" backgroundRefresh="0" adjustColumnWidt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KE" backgroundRefresh="0" connectionId="1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vgk" backgroundRefresh="0" connectionId="69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vgk" backgroundRefresh="0" connectionId="6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IP" backgroundRefresh="0" adjustColumnWidth="0" connectionId="5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P" backgroundRefresh="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INTC+Historical+Prices" backgroundRefresh="0" adjustColumnWidth="0" connectionId="2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INTC" backgroundRefresh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HES" backgroundRefresh="0" connectionId="7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HES" backgroundRefresh="0" adjustColumnWidth="0" connectionId="7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NP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nclh" backgroundRefresh="0" adjustColumnWidth="0" connectionId="8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nclh" backgroundRefresh="0" connectionId="8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SWKS" backgroundRefresh="0" connectionId="5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SWKS" backgroundRefresh="0" adjustColumnWidth="0" connectionId="5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CNI" backgroundRefresh="0" adjustColumnWidth="0" connectionId="5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NI" backgroundRefresh="0" adjustColumnWidth="0" connectionId="4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WFC" backgroundRefresh="0" adjustColumnWidth="0" connectionId="5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WFC" backgroundRefresh="0" connectionId="5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F" backgroundRefresh="0" connectionId="3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WL" backgroundRefresh="0" connectionId="5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KORS" backgroundRefresh="0" adjustColumnWidth="0" connectionId="3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ALL+Historical+Prices" backgroundRefresh="0" adjustColumnWidth="0" connectionId="6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sc" backgroundRefresh="0" adjustColumnWidth="0" connectionId="1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NSC" backgroundRefresh="0" adjustColumnWidth="0" connectionId="1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AVGO" backgroundRefresh="0" adjustColumnWidth="0" connectionId="2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AVGO" backgroundRefresh="0" adjustColumnWidth="0" connectionId="2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UAL" connectionId="2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ual" backgroundRefresh="0" adjustColumnWidth="0" connectionId="2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AH" backgroundRefresh="0" adjustColumnWidth="0" connectionId="35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CAH" backgroundRefresh="0" connectionId="36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DAL" backgroundRefresh="0" adjustColumnWidth="0" connectionId="5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DAL" backgroundRefresh="0" adjustColumnWidth="0" connectionId="6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DIS" backgroundRefresh="0" adjustColumnWidth="0" connectionId="2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DIS" backgroundRefresh="0" adjustColumnWidth="0" connectionId="2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FTR" backgroundRefresh="0" adjustColumnWidth="0" connectionId="4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GILD" backgroundRefresh="0" connectionId="29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WWD" backgroundRefresh="0" adjustColumnWidth="0" connectionId="4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GIS_1" backgroundRefresh="0" adjustColumnWidth="0" connectionId="6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GIS" adjustColumnWidth="0" connectionId="62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GM" backgroundRefresh="0" connectionId="30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GM" backgroundRefresh="0" adjustColumnWidth="0" connectionId="3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tmo" backgroundRefresh="0" adjustColumnWidth="0" connectionId="4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tmo" backgroundRefresh="0" adjustColumnWidth="0" connectionId="5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TKR" backgroundRefresh="0" adjustColumnWidth="0" connectionId="1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TKR" backgroundRefresh="0" adjustColumnWidth="0" connectionId="2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UTX" backgroundRefresh="0" adjustColumnWidth="0" connectionId="4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UNH" backgroundRefresh="0" adjustColumnWidth="0" connectionId="39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UNH" backgroundRefresh="0" adjustColumnWidth="0" connectionId="4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le24" displayName="Table24" ref="O14:W25" totalsRowShown="0" headerRowDxfId="2281" dataDxfId="2280">
  <autoFilter ref="O14:W25"/>
  <tableColumns count="9">
    <tableColumn id="1" name="Date" dataDxfId="2279"/>
    <tableColumn id="2" name="Quarter" dataDxfId="2278"/>
    <tableColumn id="3" name="Time" dataDxfId="2277"/>
    <tableColumn id="4" name="EPS estimate" dataDxfId="2276"/>
    <tableColumn id="5" name="EPS Actual" dataDxfId="2275"/>
    <tableColumn id="6" name="Sales Estiamte (B)" dataDxfId="2274"/>
    <tableColumn id="7" name="Sales Actual (B)" dataDxfId="2273"/>
    <tableColumn id="8" name="Guidance" dataDxfId="2272"/>
    <tableColumn id="9" name="Reaction" dataDxfId="2271" dataCellStyle="Percent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6" name="Table27" displayName="Table27" ref="O16:W27" totalsRowShown="0" headerRowDxfId="2270" dataDxfId="2269">
  <autoFilter ref="O16:W27"/>
  <tableColumns count="9">
    <tableColumn id="1" name="Date" dataDxfId="2268"/>
    <tableColumn id="2" name="Quarter" dataDxfId="2267"/>
    <tableColumn id="3" name="Time" dataDxfId="2266"/>
    <tableColumn id="4" name="EPS estimate" dataDxfId="2265"/>
    <tableColumn id="5" name="EPS Actual" dataDxfId="2264"/>
    <tableColumn id="6" name="Sales Estiamte (B)" dataDxfId="2263"/>
    <tableColumn id="7" name="Sales Actual (B)" dataDxfId="2262"/>
    <tableColumn id="8" name="Guidance" dataDxfId="2261"/>
    <tableColumn id="9" name="Reaction" dataDxfId="2260" dataCellStyle="Percen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1" name="Table242" displayName="Table242" ref="T80:AB91" totalsRowShown="0" headerRowDxfId="2259" dataDxfId="2258">
  <autoFilter ref="T80:AB91"/>
  <tableColumns count="9">
    <tableColumn id="1" name="Date" dataDxfId="2257"/>
    <tableColumn id="2" name="Quarter" dataDxfId="2256"/>
    <tableColumn id="3" name="Time" dataDxfId="2255"/>
    <tableColumn id="4" name="EPS estimate" dataDxfId="2254"/>
    <tableColumn id="5" name="EPS Actual" dataDxfId="2253"/>
    <tableColumn id="6" name="Sales Estiamte (B)" dataDxfId="2252"/>
    <tableColumn id="7" name="Sales Actual (B)" dataDxfId="2251"/>
    <tableColumn id="8" name="Guidance" dataDxfId="2250"/>
    <tableColumn id="9" name="Reaction" dataDxfId="2249" dataCellStyle="Percent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Table248" displayName="Table248" ref="O15:W26" totalsRowShown="0" headerRowDxfId="2248" dataDxfId="2247">
  <autoFilter ref="O15:W26"/>
  <tableColumns count="9">
    <tableColumn id="1" name="Date" dataDxfId="2246"/>
    <tableColumn id="2" name="Quarter" dataDxfId="2245"/>
    <tableColumn id="3" name="Time" dataDxfId="2244"/>
    <tableColumn id="4" name="EPS estimate" dataDxfId="2243"/>
    <tableColumn id="5" name="EPS Actual" dataDxfId="2242"/>
    <tableColumn id="6" name="Sales Estiamte (B)" dataDxfId="2241"/>
    <tableColumn id="7" name="Sales Actual (B)" dataDxfId="2240"/>
    <tableColumn id="8" name="Guidance" dataDxfId="2239"/>
    <tableColumn id="9" name="Reaction" dataDxfId="223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queryTable" Target="../queryTables/queryTable2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5" Type="http://schemas.openxmlformats.org/officeDocument/2006/relationships/queryTable" Target="../queryTables/queryTable23.xml"/><Relationship Id="rId4" Type="http://schemas.openxmlformats.org/officeDocument/2006/relationships/drawing" Target="../drawings/drawing16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queryTable" Target="../queryTables/queryTable27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32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http://www.nasdaq.com/markets/corn.aspx?timeframe=2y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34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http://www.trendforce.com/price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3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40.xml"/><Relationship Id="rId4" Type="http://schemas.openxmlformats.org/officeDocument/2006/relationships/queryTable" Target="../queryTables/queryTable39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42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44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4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6.bin"/><Relationship Id="rId4" Type="http://schemas.openxmlformats.org/officeDocument/2006/relationships/queryTable" Target="../queryTables/queryTable50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52.xml"/><Relationship Id="rId4" Type="http://schemas.openxmlformats.org/officeDocument/2006/relationships/queryTable" Target="../queryTables/queryTable51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1.bin"/><Relationship Id="rId4" Type="http://schemas.openxmlformats.org/officeDocument/2006/relationships/queryTable" Target="../queryTables/queryTable57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59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3.bin"/><Relationship Id="rId4" Type="http://schemas.openxmlformats.org/officeDocument/2006/relationships/queryTable" Target="../queryTables/queryTable63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queryTable" Target="../queryTables/queryTable64.xml"/><Relationship Id="rId1" Type="http://schemas.openxmlformats.org/officeDocument/2006/relationships/printerSettings" Target="../printerSettings/printerSettings64.bin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queryTable" Target="../queryTables/queryTable66.xml"/><Relationship Id="rId1" Type="http://schemas.openxmlformats.org/officeDocument/2006/relationships/printerSettings" Target="../printerSettings/printerSettings65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printerSettings" Target="../printerSettings/printerSettings66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queryTable" Target="../queryTables/queryTable70.xml"/><Relationship Id="rId1" Type="http://schemas.openxmlformats.org/officeDocument/2006/relationships/drawing" Target="../drawings/drawing35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2.xml"/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3.xml"/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queryTable" Target="../queryTables/queryTable74.xml"/><Relationship Id="rId1" Type="http://schemas.openxmlformats.org/officeDocument/2006/relationships/drawing" Target="../drawings/drawing36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7.xml"/><Relationship Id="rId1" Type="http://schemas.openxmlformats.org/officeDocument/2006/relationships/queryTable" Target="../queryTables/queryTable76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queryTable" Target="../queryTables/queryTable78.xml"/><Relationship Id="rId1" Type="http://schemas.openxmlformats.org/officeDocument/2006/relationships/drawing" Target="../drawings/drawing37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81.xml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2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83.xml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4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85.xml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queryTable" Target="../queryTables/queryTable86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97"/>
  <sheetViews>
    <sheetView tabSelected="1" zoomScaleNormal="100" workbookViewId="0">
      <pane ySplit="1" topLeftCell="A2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9.140625" style="52"/>
    <col min="4" max="4" width="9.140625" style="49"/>
    <col min="5" max="5" width="6.85546875" style="53" bestFit="1" customWidth="1"/>
    <col min="6" max="6" width="10.85546875" style="48" bestFit="1" customWidth="1"/>
    <col min="7" max="7" width="10.7109375" style="48" bestFit="1" customWidth="1"/>
    <col min="8" max="8" width="12.140625" style="49" customWidth="1"/>
    <col min="9" max="9" width="10.7109375" style="48" bestFit="1" customWidth="1"/>
    <col min="10" max="10" width="14.140625" style="367" bestFit="1" customWidth="1"/>
    <col min="11" max="11" width="14.140625" style="134" bestFit="1" customWidth="1"/>
    <col min="12" max="12" width="14.42578125" style="48" bestFit="1" customWidth="1"/>
    <col min="13" max="13" width="12.7109375" bestFit="1" customWidth="1"/>
    <col min="14" max="14" width="10.28515625" style="48" bestFit="1" customWidth="1"/>
    <col min="15" max="15" width="9.140625" style="790" bestFit="1" customWidth="1"/>
    <col min="16" max="16" width="12.85546875" style="134" customWidth="1"/>
    <col min="17" max="17" width="10.28515625" style="49" bestFit="1" customWidth="1"/>
    <col min="18" max="18" width="10.7109375" style="49" bestFit="1" customWidth="1"/>
    <col min="19" max="22" width="10.28515625" style="49" bestFit="1" customWidth="1"/>
    <col min="23" max="16384" width="9.140625" style="49"/>
  </cols>
  <sheetData>
    <row r="1" spans="1:22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57" t="s">
        <v>142</v>
      </c>
      <c r="G1" s="57" t="s">
        <v>73</v>
      </c>
      <c r="H1" s="56" t="s">
        <v>57</v>
      </c>
      <c r="I1" s="57" t="s">
        <v>74</v>
      </c>
      <c r="J1" s="365" t="s">
        <v>180</v>
      </c>
      <c r="K1" s="352" t="s">
        <v>208</v>
      </c>
      <c r="L1" s="57" t="s">
        <v>178</v>
      </c>
      <c r="M1" s="57" t="s">
        <v>231</v>
      </c>
      <c r="N1" s="57" t="s">
        <v>828</v>
      </c>
      <c r="O1" s="352" t="s">
        <v>207</v>
      </c>
      <c r="P1" s="57" t="s">
        <v>283</v>
      </c>
    </row>
    <row r="2" spans="1:22" ht="21.95" customHeight="1" x14ac:dyDescent="0.25">
      <c r="A2" s="50"/>
      <c r="B2" s="50"/>
      <c r="C2" s="51"/>
      <c r="E2" s="22" t="s">
        <v>50</v>
      </c>
      <c r="F2" s="2">
        <v>15.51</v>
      </c>
      <c r="G2" s="2">
        <v>15.825178181818169</v>
      </c>
      <c r="H2" s="329">
        <v>5500</v>
      </c>
      <c r="I2" s="48">
        <v>87038.479999999923</v>
      </c>
      <c r="J2" s="366">
        <v>-1733.4799999999232</v>
      </c>
      <c r="K2" s="353">
        <v>-1.9916248537427704E-2</v>
      </c>
      <c r="L2" s="366">
        <v>12882.091000001703</v>
      </c>
      <c r="M2">
        <v>2300</v>
      </c>
      <c r="N2" s="363"/>
      <c r="O2" s="789">
        <v>1.2894906511927789E-2</v>
      </c>
      <c r="P2" s="134">
        <v>-1.0800000000000001E-2</v>
      </c>
      <c r="Q2" s="148"/>
      <c r="R2" s="48"/>
      <c r="S2" s="48"/>
      <c r="T2" s="48"/>
    </row>
    <row r="3" spans="1:22" ht="21.95" customHeight="1" x14ac:dyDescent="0.25">
      <c r="A3" s="50"/>
      <c r="B3" s="50"/>
      <c r="C3" s="51"/>
      <c r="E3" s="22" t="s">
        <v>196</v>
      </c>
      <c r="F3" s="2">
        <v>27.66</v>
      </c>
      <c r="G3" s="2">
        <v>29.961077777777767</v>
      </c>
      <c r="H3" s="49">
        <v>1800</v>
      </c>
      <c r="I3" s="48">
        <v>53929.939999999981</v>
      </c>
      <c r="J3" s="366">
        <v>-4141.9399999999878</v>
      </c>
      <c r="K3" s="353">
        <v>-7.680223638298099E-2</v>
      </c>
      <c r="L3" s="48">
        <v>-2393.9699999999939</v>
      </c>
      <c r="M3">
        <v>400</v>
      </c>
      <c r="N3" s="363"/>
      <c r="O3" s="789">
        <v>1.8076644974692697E-2</v>
      </c>
      <c r="P3" s="134">
        <v>2.8999999999999998E-3</v>
      </c>
      <c r="Q3" s="437"/>
      <c r="R3" s="48"/>
      <c r="S3" s="48"/>
    </row>
    <row r="4" spans="1:22" ht="21.95" customHeight="1" x14ac:dyDescent="0.25">
      <c r="A4" s="51"/>
      <c r="B4" s="50"/>
      <c r="C4" s="51"/>
      <c r="E4" s="22" t="s">
        <v>227</v>
      </c>
      <c r="F4" s="2">
        <v>24.35</v>
      </c>
      <c r="G4" s="2">
        <v>23.379166666666656</v>
      </c>
      <c r="H4" s="329">
        <v>600</v>
      </c>
      <c r="I4" s="48">
        <v>14027.499999999993</v>
      </c>
      <c r="J4" s="366">
        <v>582.50000000000728</v>
      </c>
      <c r="K4" s="353">
        <v>4.1525574763857258E-2</v>
      </c>
      <c r="L4" s="366">
        <v>2034.7600000000057</v>
      </c>
      <c r="M4">
        <v>50</v>
      </c>
      <c r="N4" s="363"/>
      <c r="O4" s="789">
        <v>4.1067761806981521E-3</v>
      </c>
      <c r="P4" s="134">
        <v>9.1000000000000004E-3</v>
      </c>
      <c r="R4" s="48"/>
      <c r="S4" s="48"/>
      <c r="T4" s="48"/>
    </row>
    <row r="5" spans="1:22" ht="21.95" customHeight="1" x14ac:dyDescent="0.25">
      <c r="A5" s="50"/>
      <c r="B5" s="50"/>
      <c r="C5" s="50"/>
      <c r="E5" s="22" t="s">
        <v>175</v>
      </c>
      <c r="F5" s="2">
        <v>261.5</v>
      </c>
      <c r="G5" s="2">
        <v>265.11799999999999</v>
      </c>
      <c r="H5" s="329">
        <v>50</v>
      </c>
      <c r="I5" s="48">
        <v>13255.9</v>
      </c>
      <c r="J5" s="366">
        <v>-180.89999999999964</v>
      </c>
      <c r="K5" s="353">
        <v>-1.3646753521073616E-2</v>
      </c>
      <c r="L5" s="366">
        <v>-20.069999999999709</v>
      </c>
      <c r="M5" s="29">
        <v>43167</v>
      </c>
      <c r="N5" s="363"/>
      <c r="O5" s="789">
        <v>0</v>
      </c>
      <c r="P5" s="134">
        <v>1.4999999999999999E-2</v>
      </c>
      <c r="Q5" s="48"/>
      <c r="S5" s="48"/>
    </row>
    <row r="6" spans="1:22" ht="21.95" customHeight="1" x14ac:dyDescent="0.25">
      <c r="A6" s="155"/>
      <c r="B6" s="50"/>
      <c r="C6" s="51"/>
      <c r="E6" s="22" t="s">
        <v>981</v>
      </c>
      <c r="F6" s="2">
        <v>242.03</v>
      </c>
      <c r="G6" s="2">
        <v>241.09177777777779</v>
      </c>
      <c r="H6" s="329">
        <v>45</v>
      </c>
      <c r="I6" s="48">
        <v>10849.130000000001</v>
      </c>
      <c r="J6" s="366">
        <v>42.219999999999345</v>
      </c>
      <c r="K6" s="353">
        <v>3.8915562814713597E-3</v>
      </c>
      <c r="L6" s="366">
        <v>42.219999999999345</v>
      </c>
      <c r="M6" s="29">
        <v>43167</v>
      </c>
      <c r="N6" s="363"/>
      <c r="O6" s="789">
        <v>0</v>
      </c>
      <c r="P6" s="134">
        <v>1.41E-2</v>
      </c>
      <c r="Q6" s="148"/>
      <c r="R6" s="48"/>
      <c r="S6" s="48"/>
      <c r="T6" s="48"/>
    </row>
    <row r="7" spans="1:22" ht="21.95" customHeight="1" x14ac:dyDescent="0.25">
      <c r="A7" s="50"/>
      <c r="B7" s="50"/>
      <c r="C7" s="51"/>
      <c r="E7" s="22" t="s">
        <v>881</v>
      </c>
      <c r="F7" s="2">
        <v>33.15</v>
      </c>
      <c r="G7" s="2">
        <v>35.963333333333331</v>
      </c>
      <c r="H7" s="49">
        <v>300</v>
      </c>
      <c r="I7" s="48">
        <v>10789</v>
      </c>
      <c r="J7" s="366">
        <v>-844</v>
      </c>
      <c r="K7" s="353">
        <v>-7.8227824636203522E-2</v>
      </c>
      <c r="L7" s="48">
        <v>-844</v>
      </c>
      <c r="M7">
        <v>100</v>
      </c>
      <c r="N7" s="363"/>
      <c r="O7" s="789">
        <v>3.1372549019607843E-2</v>
      </c>
      <c r="P7" s="134">
        <v>8.2000000000000007E-3</v>
      </c>
    </row>
    <row r="8" spans="1:22" ht="21.95" customHeight="1" x14ac:dyDescent="0.25">
      <c r="A8" s="50"/>
      <c r="B8" s="51"/>
      <c r="C8" s="51"/>
      <c r="E8" s="22" t="s">
        <v>741</v>
      </c>
      <c r="F8" s="2">
        <v>218.55</v>
      </c>
      <c r="G8" s="2">
        <v>195.88545454545462</v>
      </c>
      <c r="H8" s="329">
        <v>55</v>
      </c>
      <c r="I8" s="48">
        <v>10773.700000000004</v>
      </c>
      <c r="J8" s="366">
        <v>1246.5499999999956</v>
      </c>
      <c r="K8" s="353">
        <v>0.11570305466088679</v>
      </c>
      <c r="L8" s="366">
        <v>1471.3199999999961</v>
      </c>
      <c r="M8" s="29">
        <v>43168</v>
      </c>
      <c r="N8" s="363"/>
      <c r="O8" s="789">
        <v>0</v>
      </c>
      <c r="P8" s="134">
        <v>4.5199999999999997E-2</v>
      </c>
    </row>
    <row r="9" spans="1:22" ht="21.95" customHeight="1" x14ac:dyDescent="0.25">
      <c r="A9" s="50"/>
      <c r="B9" s="50"/>
      <c r="C9" s="51"/>
      <c r="E9" s="22" t="s">
        <v>174</v>
      </c>
      <c r="F9" s="2">
        <v>27.61</v>
      </c>
      <c r="G9" s="2">
        <v>37.765464285714266</v>
      </c>
      <c r="H9" s="329">
        <v>280</v>
      </c>
      <c r="I9" s="48">
        <v>10574.329999999994</v>
      </c>
      <c r="J9" s="366">
        <v>-2843.5299999999943</v>
      </c>
      <c r="K9" s="353">
        <v>-0.26890876301382649</v>
      </c>
      <c r="L9" s="366">
        <v>-2768.5099999999943</v>
      </c>
      <c r="M9">
        <v>100</v>
      </c>
      <c r="N9" s="363"/>
      <c r="O9" s="789">
        <v>3.3321260412893884E-2</v>
      </c>
      <c r="P9" s="134">
        <v>-0.01</v>
      </c>
      <c r="Q9" s="437"/>
      <c r="R9" s="48"/>
      <c r="S9" s="48"/>
    </row>
    <row r="10" spans="1:22" ht="21.95" customHeight="1" x14ac:dyDescent="0.25">
      <c r="A10" s="51"/>
      <c r="B10" s="51"/>
      <c r="C10" s="51"/>
      <c r="E10" s="22" t="s">
        <v>786</v>
      </c>
      <c r="F10" s="2">
        <v>68.459999999999994</v>
      </c>
      <c r="G10" s="2">
        <v>70.04340000000002</v>
      </c>
      <c r="H10" s="329">
        <v>150</v>
      </c>
      <c r="I10" s="48">
        <v>10506.510000000002</v>
      </c>
      <c r="J10" s="366">
        <v>-237.51000000000386</v>
      </c>
      <c r="K10" s="353">
        <v>-2.2605984289740724E-2</v>
      </c>
      <c r="L10" s="366">
        <v>-237.51000000000386</v>
      </c>
      <c r="M10">
        <v>50</v>
      </c>
      <c r="N10" s="363"/>
      <c r="O10" s="789">
        <v>2.3371311714869999E-2</v>
      </c>
      <c r="P10" s="134">
        <v>3.5000000000000001E-3</v>
      </c>
      <c r="R10" s="48"/>
      <c r="S10" s="48"/>
      <c r="T10" s="48"/>
      <c r="V10" s="48"/>
    </row>
    <row r="11" spans="1:22" ht="21.95" customHeight="1" x14ac:dyDescent="0.25">
      <c r="A11" s="51"/>
      <c r="B11" s="51"/>
      <c r="C11" s="51"/>
      <c r="E11" s="22" t="s">
        <v>215</v>
      </c>
      <c r="F11" s="2">
        <v>48.96</v>
      </c>
      <c r="G11" s="2">
        <v>58.868533333333325</v>
      </c>
      <c r="H11" s="329">
        <v>150</v>
      </c>
      <c r="I11" s="48">
        <v>8830.2799999999988</v>
      </c>
      <c r="J11" s="366">
        <v>-1486.2799999999988</v>
      </c>
      <c r="K11" s="353">
        <v>-0.16831629348106728</v>
      </c>
      <c r="L11" s="366">
        <v>-328.41000000000349</v>
      </c>
      <c r="M11">
        <v>50</v>
      </c>
      <c r="N11" s="363"/>
      <c r="O11" s="789">
        <v>2.5326797385620915E-2</v>
      </c>
      <c r="P11" s="134">
        <v>-9.1000000000000004E-3</v>
      </c>
      <c r="R11" s="48"/>
      <c r="S11" s="48"/>
      <c r="T11" s="48"/>
    </row>
    <row r="12" spans="1:22" ht="21.95" customHeight="1" x14ac:dyDescent="0.25">
      <c r="A12" s="155"/>
      <c r="B12" s="50"/>
      <c r="C12" s="51"/>
      <c r="E12" s="22" t="s">
        <v>334</v>
      </c>
      <c r="F12" s="2">
        <v>10.35</v>
      </c>
      <c r="G12" s="2">
        <v>13.059716666666667</v>
      </c>
      <c r="H12" s="49">
        <v>600</v>
      </c>
      <c r="I12" s="48">
        <v>7835.83</v>
      </c>
      <c r="J12" s="366">
        <v>-1625.83</v>
      </c>
      <c r="K12" s="353">
        <v>-0.20748663511076684</v>
      </c>
      <c r="L12" s="366">
        <v>-342.41000000000531</v>
      </c>
      <c r="M12">
        <v>300</v>
      </c>
      <c r="N12" s="363"/>
      <c r="O12" s="789">
        <v>0</v>
      </c>
      <c r="P12" s="134">
        <v>-3.9899999999999998E-2</v>
      </c>
      <c r="Q12" s="148"/>
      <c r="R12" s="48"/>
      <c r="S12" s="48"/>
      <c r="T12" s="48"/>
    </row>
    <row r="13" spans="1:22" ht="21.95" customHeight="1" x14ac:dyDescent="0.25">
      <c r="A13" s="50"/>
      <c r="B13" s="50"/>
      <c r="C13" s="50"/>
      <c r="E13" s="22" t="s">
        <v>784</v>
      </c>
      <c r="F13" s="2">
        <v>71.75</v>
      </c>
      <c r="G13" s="2">
        <v>74.383399999999995</v>
      </c>
      <c r="H13" s="329">
        <v>100</v>
      </c>
      <c r="I13" s="48">
        <v>7438.3399999999992</v>
      </c>
      <c r="J13" s="366">
        <v>-263.34000000000015</v>
      </c>
      <c r="K13" s="353">
        <v>-3.5403060360241601E-2</v>
      </c>
      <c r="L13" s="366">
        <v>-263.34000000000015</v>
      </c>
      <c r="M13" s="29">
        <v>43150</v>
      </c>
      <c r="N13" s="363"/>
      <c r="O13" s="789">
        <v>0</v>
      </c>
      <c r="P13" s="134">
        <v>1.2699999999999999E-2</v>
      </c>
    </row>
    <row r="14" spans="1:22" ht="21.95" customHeight="1" x14ac:dyDescent="0.25">
      <c r="A14" s="50"/>
      <c r="B14" s="50"/>
      <c r="C14" s="51"/>
      <c r="E14" s="22" t="s">
        <v>173</v>
      </c>
      <c r="F14" s="2">
        <v>56.13</v>
      </c>
      <c r="G14" s="2">
        <v>53.050416666666671</v>
      </c>
      <c r="H14" s="329">
        <v>120</v>
      </c>
      <c r="I14" s="48">
        <v>6366.05</v>
      </c>
      <c r="J14" s="366">
        <v>369.55000000000018</v>
      </c>
      <c r="K14" s="353">
        <v>5.8050125273913934E-2</v>
      </c>
      <c r="L14" s="366">
        <v>1974.1300000000019</v>
      </c>
      <c r="M14">
        <v>80</v>
      </c>
      <c r="N14" s="363"/>
      <c r="O14" s="789">
        <v>2.7792624265098879E-2</v>
      </c>
      <c r="P14" s="134">
        <v>1.2999999999999999E-2</v>
      </c>
      <c r="Q14" s="148"/>
      <c r="S14" s="48"/>
      <c r="T14" s="48"/>
    </row>
    <row r="15" spans="1:22" ht="21.95" customHeight="1" x14ac:dyDescent="0.25">
      <c r="A15" s="50"/>
      <c r="B15" s="50"/>
      <c r="C15" s="51"/>
      <c r="E15" s="22" t="s">
        <v>985</v>
      </c>
      <c r="F15" s="2">
        <v>30.83</v>
      </c>
      <c r="G15" s="2">
        <v>30.58</v>
      </c>
      <c r="H15" s="49">
        <v>200</v>
      </c>
      <c r="I15" s="48">
        <v>6116</v>
      </c>
      <c r="J15" s="366">
        <v>50</v>
      </c>
      <c r="K15" s="353">
        <v>8.1752779594506213E-3</v>
      </c>
      <c r="L15" s="366">
        <v>50</v>
      </c>
      <c r="M15" s="29">
        <v>43168</v>
      </c>
      <c r="N15" s="363"/>
      <c r="O15" s="789">
        <v>0</v>
      </c>
      <c r="P15" s="134">
        <v>1.38E-2</v>
      </c>
      <c r="R15" s="48"/>
      <c r="S15" s="48"/>
      <c r="T15" s="48"/>
      <c r="U15" s="48"/>
    </row>
    <row r="16" spans="1:22" ht="21.95" customHeight="1" x14ac:dyDescent="0.25">
      <c r="A16" s="50"/>
      <c r="B16" s="51"/>
      <c r="C16" s="51"/>
      <c r="E16" s="22" t="s">
        <v>171</v>
      </c>
      <c r="F16" s="2">
        <v>54.72</v>
      </c>
      <c r="G16" s="2">
        <v>54.189600000000013</v>
      </c>
      <c r="H16" s="329">
        <v>100</v>
      </c>
      <c r="I16" s="429">
        <v>5418.9600000000009</v>
      </c>
      <c r="J16" s="366">
        <v>53.040000000000873</v>
      </c>
      <c r="K16" s="353">
        <v>9.7878559723634396E-3</v>
      </c>
      <c r="L16" s="366">
        <v>102.99000000000069</v>
      </c>
      <c r="M16">
        <v>60</v>
      </c>
      <c r="N16" s="363"/>
      <c r="O16" s="789">
        <v>3.5818713450292396E-2</v>
      </c>
      <c r="P16" s="134">
        <v>1.35E-2</v>
      </c>
      <c r="Q16" s="148"/>
      <c r="R16" s="48"/>
      <c r="S16" s="48"/>
    </row>
    <row r="17" spans="1:21" ht="21.95" customHeight="1" x14ac:dyDescent="0.25">
      <c r="A17" s="50"/>
      <c r="B17" s="50"/>
      <c r="C17" s="51"/>
      <c r="E17" s="22" t="s">
        <v>885</v>
      </c>
      <c r="F17" s="2">
        <v>89.58</v>
      </c>
      <c r="G17" s="2">
        <v>86.11999999999999</v>
      </c>
      <c r="H17" s="329">
        <v>60</v>
      </c>
      <c r="I17" s="48">
        <v>5167.2</v>
      </c>
      <c r="J17" s="366">
        <v>207.60000000000036</v>
      </c>
      <c r="K17" s="353">
        <v>4.017649790989327E-2</v>
      </c>
      <c r="L17" s="366">
        <v>207.60000000000036</v>
      </c>
      <c r="M17">
        <v>30</v>
      </c>
      <c r="N17" s="363"/>
      <c r="O17" s="789">
        <v>7.5909801294931911E-3</v>
      </c>
      <c r="P17" s="134">
        <v>9.1000000000000004E-3</v>
      </c>
      <c r="Q17" s="148"/>
      <c r="R17" s="48"/>
      <c r="S17" s="48"/>
      <c r="T17" s="48"/>
      <c r="U17" s="48"/>
    </row>
    <row r="18" spans="1:21" ht="21.95" customHeight="1" x14ac:dyDescent="0.25">
      <c r="A18" s="50"/>
      <c r="B18" s="50"/>
      <c r="C18" s="51"/>
      <c r="E18" s="22" t="s">
        <v>724</v>
      </c>
      <c r="F18" s="2">
        <v>109.14</v>
      </c>
      <c r="G18" s="2">
        <v>85.350333333333339</v>
      </c>
      <c r="H18" s="329">
        <v>60</v>
      </c>
      <c r="I18" s="48">
        <v>5121.0200000000004</v>
      </c>
      <c r="J18" s="366">
        <v>1427.3799999999992</v>
      </c>
      <c r="K18" s="353">
        <v>0.27872962808190549</v>
      </c>
      <c r="L18" s="366">
        <v>1427.3799999999992</v>
      </c>
      <c r="M18">
        <v>50</v>
      </c>
      <c r="N18" s="363"/>
      <c r="O18" s="789">
        <v>2.8E-3</v>
      </c>
      <c r="P18" s="134">
        <v>-4.4999999999999997E-3</v>
      </c>
      <c r="R18" s="48"/>
    </row>
    <row r="19" spans="1:21" ht="21.95" customHeight="1" x14ac:dyDescent="0.25">
      <c r="A19" s="50"/>
      <c r="B19" s="50"/>
      <c r="C19" s="51"/>
      <c r="E19" s="22" t="s">
        <v>32</v>
      </c>
      <c r="F19" s="2">
        <v>50.46</v>
      </c>
      <c r="G19" s="2">
        <v>49.58</v>
      </c>
      <c r="H19" s="49">
        <v>100</v>
      </c>
      <c r="I19" s="48">
        <v>4958</v>
      </c>
      <c r="J19" s="366">
        <v>88</v>
      </c>
      <c r="K19" s="353">
        <v>1.7749092375958099E-2</v>
      </c>
      <c r="L19" s="366">
        <v>1286.4699999999971</v>
      </c>
      <c r="M19" s="29">
        <v>43171</v>
      </c>
      <c r="N19" s="363"/>
      <c r="O19" s="789">
        <v>1.7600000000000001E-2</v>
      </c>
      <c r="P19" s="134">
        <v>-1.4999999999999999E-2</v>
      </c>
      <c r="Q19" s="437"/>
      <c r="R19" s="48"/>
      <c r="S19" s="48"/>
    </row>
    <row r="20" spans="1:21" ht="21.95" customHeight="1" x14ac:dyDescent="0.25">
      <c r="A20" s="50"/>
      <c r="B20" s="50"/>
      <c r="C20" s="51"/>
      <c r="E20" s="22" t="s">
        <v>338</v>
      </c>
      <c r="F20" s="2">
        <v>18.61</v>
      </c>
      <c r="G20" s="2">
        <v>19.88</v>
      </c>
      <c r="H20" s="329">
        <v>200</v>
      </c>
      <c r="I20" s="48">
        <v>3976</v>
      </c>
      <c r="J20" s="366">
        <v>-254</v>
      </c>
      <c r="K20" s="353">
        <v>-6.3883299798792745E-2</v>
      </c>
      <c r="L20" s="366">
        <v>30.970000000004802</v>
      </c>
      <c r="M20" s="29">
        <v>43147</v>
      </c>
      <c r="N20" s="2"/>
      <c r="O20" s="789">
        <v>1.5475550779150993E-2</v>
      </c>
      <c r="P20" s="134">
        <v>-1.6000000000000001E-3</v>
      </c>
      <c r="R20" s="48"/>
    </row>
    <row r="21" spans="1:21" ht="21.95" customHeight="1" x14ac:dyDescent="0.25">
      <c r="A21" s="50"/>
      <c r="B21" s="51"/>
      <c r="C21" s="51"/>
      <c r="E21" s="22" t="s">
        <v>984</v>
      </c>
      <c r="F21" s="2">
        <v>36.049999999999997</v>
      </c>
      <c r="G21" s="2">
        <v>36.58</v>
      </c>
      <c r="H21" s="49">
        <v>100</v>
      </c>
      <c r="I21" s="48">
        <v>3658</v>
      </c>
      <c r="J21" s="366">
        <v>-53.000000000000455</v>
      </c>
      <c r="K21" s="353">
        <v>-1.4488791689447817E-2</v>
      </c>
      <c r="L21" s="366">
        <v>-53.000000000000455</v>
      </c>
      <c r="M21" s="29">
        <v>43167</v>
      </c>
      <c r="N21" s="2"/>
      <c r="O21" s="789">
        <v>0</v>
      </c>
      <c r="P21" s="134">
        <v>1.32E-2</v>
      </c>
      <c r="R21" s="48"/>
      <c r="S21" s="48"/>
      <c r="T21" s="48"/>
    </row>
    <row r="22" spans="1:21" ht="21.95" customHeight="1" x14ac:dyDescent="0.25">
      <c r="A22" s="50"/>
      <c r="B22" s="50"/>
      <c r="C22" s="51"/>
      <c r="E22" s="22" t="s">
        <v>908</v>
      </c>
      <c r="F22" s="2">
        <v>97.73</v>
      </c>
      <c r="G22" s="2">
        <v>90.08</v>
      </c>
      <c r="H22" s="49">
        <v>40</v>
      </c>
      <c r="I22" s="48">
        <v>3603.2</v>
      </c>
      <c r="J22" s="366">
        <v>306.00000000000045</v>
      </c>
      <c r="K22" s="353">
        <v>8.4924511545293138E-2</v>
      </c>
      <c r="L22" s="366">
        <v>306.00000000000045</v>
      </c>
      <c r="M22">
        <v>40</v>
      </c>
      <c r="N22" s="2"/>
      <c r="O22" s="789">
        <v>2.3329581500051159E-2</v>
      </c>
      <c r="P22" s="134">
        <v>1.2999999999999999E-2</v>
      </c>
      <c r="Q22" s="148"/>
      <c r="R22" s="48"/>
      <c r="S22" s="48"/>
      <c r="T22" s="48"/>
    </row>
    <row r="23" spans="1:21" ht="21.95" customHeight="1" x14ac:dyDescent="0.25">
      <c r="A23" s="50"/>
      <c r="B23" s="50"/>
      <c r="C23" s="51"/>
      <c r="E23" s="22" t="s">
        <v>55</v>
      </c>
      <c r="F23" s="2">
        <v>79.319999999999993</v>
      </c>
      <c r="G23" s="2">
        <v>71.650000000000006</v>
      </c>
      <c r="H23" s="49">
        <v>50</v>
      </c>
      <c r="I23" s="48">
        <v>3582.5000000000005</v>
      </c>
      <c r="J23" s="366">
        <v>383.49999999999909</v>
      </c>
      <c r="K23" s="353">
        <v>0.10704815073272836</v>
      </c>
      <c r="L23" s="48">
        <v>1193.6299999999892</v>
      </c>
      <c r="M23">
        <v>50</v>
      </c>
      <c r="N23" s="363"/>
      <c r="O23" s="789">
        <v>2.6222894604135152E-2</v>
      </c>
      <c r="P23" s="134">
        <v>1.41E-2</v>
      </c>
      <c r="R23" s="48"/>
      <c r="S23" s="48"/>
      <c r="T23" s="351"/>
      <c r="U23" s="351"/>
    </row>
    <row r="24" spans="1:21" ht="21.95" customHeight="1" x14ac:dyDescent="0.25">
      <c r="A24" s="51"/>
      <c r="B24" s="51"/>
      <c r="C24" s="51"/>
      <c r="E24" s="22" t="s">
        <v>837</v>
      </c>
      <c r="F24" s="2">
        <v>14.94</v>
      </c>
      <c r="G24" s="2">
        <v>17.45</v>
      </c>
      <c r="H24" s="329">
        <v>200</v>
      </c>
      <c r="I24" s="48">
        <v>3490</v>
      </c>
      <c r="J24" s="366">
        <v>-502</v>
      </c>
      <c r="K24" s="353">
        <v>-0.14383954154727793</v>
      </c>
      <c r="L24" s="366">
        <v>-502</v>
      </c>
      <c r="M24">
        <v>200</v>
      </c>
      <c r="N24" s="363"/>
      <c r="O24" s="789">
        <v>3.2128514056224897E-2</v>
      </c>
      <c r="P24" s="134">
        <v>3.39E-2</v>
      </c>
      <c r="R24" s="48"/>
      <c r="S24" s="48"/>
    </row>
    <row r="25" spans="1:21" ht="21.95" customHeight="1" x14ac:dyDescent="0.25">
      <c r="A25" s="50"/>
      <c r="B25" s="50"/>
      <c r="C25" s="51"/>
      <c r="E25" s="22" t="s">
        <v>982</v>
      </c>
      <c r="F25" s="2">
        <v>147.05000000000001</v>
      </c>
      <c r="G25" s="2">
        <v>150</v>
      </c>
      <c r="H25" s="49">
        <v>20</v>
      </c>
      <c r="I25" s="48">
        <v>3000</v>
      </c>
      <c r="J25" s="366">
        <v>-59</v>
      </c>
      <c r="K25" s="353">
        <v>-1.9666666666666589E-2</v>
      </c>
      <c r="L25" s="366">
        <v>-59</v>
      </c>
      <c r="M25" s="29">
        <v>43164</v>
      </c>
      <c r="N25" s="2"/>
      <c r="O25" s="789">
        <v>0</v>
      </c>
      <c r="P25" s="134">
        <v>1.1299999999999999E-2</v>
      </c>
      <c r="Q25" s="148"/>
      <c r="R25" s="48"/>
      <c r="S25" s="48"/>
      <c r="T25" s="48"/>
    </row>
    <row r="26" spans="1:21" ht="21.95" customHeight="1" x14ac:dyDescent="0.25">
      <c r="A26" s="50"/>
      <c r="B26" s="51"/>
      <c r="C26" s="51"/>
      <c r="E26" s="22" t="s">
        <v>726</v>
      </c>
      <c r="F26" s="2">
        <v>180.72</v>
      </c>
      <c r="G26" s="2">
        <v>149.05549999999999</v>
      </c>
      <c r="H26" s="329">
        <v>20</v>
      </c>
      <c r="I26" s="48">
        <v>2981.1099999999997</v>
      </c>
      <c r="J26" s="366">
        <v>633.29000000000042</v>
      </c>
      <c r="K26" s="353">
        <v>0.21243429460838417</v>
      </c>
      <c r="L26" s="366">
        <v>776.32000000000062</v>
      </c>
      <c r="M26">
        <v>20</v>
      </c>
      <c r="N26" s="363"/>
      <c r="O26" s="789">
        <v>2.7667109340416113E-3</v>
      </c>
      <c r="P26" s="134">
        <v>1.18E-2</v>
      </c>
      <c r="Q26" s="148"/>
      <c r="R26" s="48"/>
      <c r="S26" s="48"/>
    </row>
    <row r="27" spans="1:21" ht="21.95" customHeight="1" x14ac:dyDescent="0.25">
      <c r="A27" s="51"/>
      <c r="B27" s="51"/>
      <c r="C27" s="51"/>
      <c r="E27" s="22" t="s">
        <v>986</v>
      </c>
      <c r="F27" s="2">
        <v>68.45</v>
      </c>
      <c r="G27" s="2">
        <v>67.58</v>
      </c>
      <c r="H27" s="49">
        <v>40</v>
      </c>
      <c r="I27" s="48">
        <v>2703.2</v>
      </c>
      <c r="J27" s="366">
        <v>34.800000000000182</v>
      </c>
      <c r="K27" s="353">
        <v>1.2873631251849727E-2</v>
      </c>
      <c r="L27" s="366">
        <v>34.800000000000182</v>
      </c>
      <c r="M27" s="29">
        <v>43171</v>
      </c>
      <c r="N27" s="363"/>
      <c r="O27" s="789">
        <v>0</v>
      </c>
      <c r="P27" s="134">
        <v>2.1600000000000001E-2</v>
      </c>
      <c r="R27" s="48"/>
      <c r="S27" s="48"/>
    </row>
    <row r="28" spans="1:21" ht="21.95" customHeight="1" x14ac:dyDescent="0.25">
      <c r="A28" s="50"/>
      <c r="B28" s="50"/>
      <c r="C28" s="51"/>
      <c r="E28" s="22" t="s">
        <v>880</v>
      </c>
      <c r="F28" s="2">
        <v>255.46</v>
      </c>
      <c r="G28" s="2">
        <v>251.2</v>
      </c>
      <c r="H28" s="329">
        <v>10</v>
      </c>
      <c r="I28" s="48">
        <v>2512</v>
      </c>
      <c r="J28" s="366">
        <v>42.599999999999909</v>
      </c>
      <c r="K28" s="353">
        <v>1.6958598726114726E-2</v>
      </c>
      <c r="L28" s="366">
        <v>499.53999999999996</v>
      </c>
      <c r="M28" s="29">
        <v>43171</v>
      </c>
      <c r="N28" s="2"/>
      <c r="O28" s="789">
        <v>0</v>
      </c>
      <c r="P28" s="134">
        <v>-3.9699999999999999E-2</v>
      </c>
      <c r="Q28" s="148"/>
      <c r="R28" s="48"/>
      <c r="S28" s="48"/>
    </row>
    <row r="29" spans="1:21" ht="21.95" customHeight="1" x14ac:dyDescent="0.25">
      <c r="A29" s="51"/>
      <c r="B29" s="51"/>
      <c r="C29" s="51"/>
      <c r="E29" s="22" t="s">
        <v>62</v>
      </c>
      <c r="F29" s="2">
        <v>316.77999999999997</v>
      </c>
      <c r="G29" s="2">
        <v>316.77999999999997</v>
      </c>
      <c r="H29" s="329">
        <v>0</v>
      </c>
      <c r="I29" s="48">
        <v>0</v>
      </c>
      <c r="J29" s="366">
        <v>0</v>
      </c>
      <c r="K29" s="353">
        <v>0</v>
      </c>
      <c r="L29" s="366">
        <v>1659.3600000000079</v>
      </c>
      <c r="M29">
        <v>0</v>
      </c>
      <c r="N29" s="363"/>
      <c r="O29" s="789">
        <v>0</v>
      </c>
      <c r="P29" s="134">
        <v>1.6E-2</v>
      </c>
      <c r="Q29" s="437"/>
      <c r="R29" s="48"/>
      <c r="S29" s="48"/>
      <c r="T29" s="48"/>
    </row>
    <row r="30" spans="1:21" ht="21.95" customHeight="1" x14ac:dyDescent="0.25">
      <c r="A30" s="50"/>
      <c r="B30" s="51"/>
      <c r="C30" s="51"/>
      <c r="E30" s="22" t="s">
        <v>204</v>
      </c>
      <c r="F30" s="2">
        <v>39.28</v>
      </c>
      <c r="G30" s="2">
        <v>39.28</v>
      </c>
      <c r="H30" s="329">
        <v>0</v>
      </c>
      <c r="I30" s="48">
        <v>0</v>
      </c>
      <c r="J30" s="366">
        <v>0</v>
      </c>
      <c r="K30" s="353">
        <v>0</v>
      </c>
      <c r="L30" s="366">
        <v>555.54</v>
      </c>
      <c r="M30">
        <v>0</v>
      </c>
      <c r="N30" s="363"/>
      <c r="O30" s="789">
        <v>0</v>
      </c>
      <c r="P30" s="134">
        <v>8.0000000000000004E-4</v>
      </c>
      <c r="R30" s="48"/>
      <c r="S30" s="48"/>
      <c r="T30" s="48"/>
    </row>
    <row r="31" spans="1:21" ht="21.95" customHeight="1" x14ac:dyDescent="0.25">
      <c r="A31" s="51"/>
      <c r="B31" s="155"/>
      <c r="C31" s="330"/>
      <c r="E31" s="22" t="s">
        <v>203</v>
      </c>
      <c r="F31" s="2">
        <v>156.41</v>
      </c>
      <c r="G31" s="2">
        <v>156.41</v>
      </c>
      <c r="H31" s="329">
        <v>0</v>
      </c>
      <c r="I31" s="48">
        <v>0</v>
      </c>
      <c r="J31" s="366">
        <v>0</v>
      </c>
      <c r="K31" s="353">
        <v>0</v>
      </c>
      <c r="L31" s="366">
        <v>363.09999999999945</v>
      </c>
      <c r="M31">
        <v>0</v>
      </c>
      <c r="N31" s="363"/>
      <c r="O31" s="789">
        <v>1.5900000000000001E-2</v>
      </c>
      <c r="P31" s="134">
        <v>1.2200000000000001E-2</v>
      </c>
      <c r="R31" s="48"/>
      <c r="S31" s="48"/>
      <c r="T31" s="48"/>
    </row>
    <row r="32" spans="1:21" ht="21.95" customHeight="1" x14ac:dyDescent="0.25">
      <c r="A32" s="51"/>
      <c r="B32" s="51"/>
      <c r="C32" s="51"/>
      <c r="E32" s="22" t="s">
        <v>226</v>
      </c>
      <c r="F32" s="2">
        <v>91.72</v>
      </c>
      <c r="G32" s="2">
        <v>91.72</v>
      </c>
      <c r="H32" s="49">
        <v>0</v>
      </c>
      <c r="I32" s="48">
        <v>0</v>
      </c>
      <c r="J32" s="366">
        <v>0</v>
      </c>
      <c r="K32" s="353">
        <v>0</v>
      </c>
      <c r="L32" s="366">
        <v>231.53999999999996</v>
      </c>
      <c r="M32">
        <v>0</v>
      </c>
      <c r="N32" s="363"/>
      <c r="O32" s="789">
        <v>1.6199999999999999E-2</v>
      </c>
      <c r="P32" s="134">
        <v>3.8300000000000001E-2</v>
      </c>
      <c r="S32" s="48"/>
      <c r="T32" s="48"/>
    </row>
    <row r="33" spans="1:21" ht="21.95" customHeight="1" x14ac:dyDescent="0.25">
      <c r="A33" s="50"/>
      <c r="B33" s="51"/>
      <c r="C33" s="51"/>
      <c r="E33" s="22" t="s">
        <v>269</v>
      </c>
      <c r="F33" s="2">
        <v>98.26</v>
      </c>
      <c r="G33" s="2">
        <v>98.26</v>
      </c>
      <c r="H33" s="49">
        <v>0</v>
      </c>
      <c r="I33" s="48">
        <v>0</v>
      </c>
      <c r="J33" s="366">
        <v>0</v>
      </c>
      <c r="K33" s="353">
        <v>0</v>
      </c>
      <c r="L33" s="48">
        <v>1857.7799999999988</v>
      </c>
      <c r="M33">
        <v>0</v>
      </c>
      <c r="N33" s="363"/>
      <c r="O33" s="789">
        <v>1.49E-2</v>
      </c>
      <c r="P33" s="134">
        <v>3.32E-2</v>
      </c>
      <c r="R33" s="48"/>
      <c r="S33" s="48"/>
    </row>
    <row r="34" spans="1:21" ht="21.95" customHeight="1" x14ac:dyDescent="0.25">
      <c r="A34" s="50"/>
      <c r="B34" s="51"/>
      <c r="C34" s="51"/>
      <c r="E34" s="22" t="s">
        <v>23</v>
      </c>
      <c r="F34" s="2">
        <v>31.6</v>
      </c>
      <c r="G34" s="2">
        <v>31.6</v>
      </c>
      <c r="H34" s="329">
        <v>0</v>
      </c>
      <c r="I34" s="48">
        <v>0</v>
      </c>
      <c r="J34" s="366">
        <v>0</v>
      </c>
      <c r="K34" s="353">
        <v>0</v>
      </c>
      <c r="L34" s="366">
        <v>171.89999999999964</v>
      </c>
      <c r="M34">
        <v>0</v>
      </c>
      <c r="N34" s="363"/>
      <c r="O34" s="789">
        <v>0</v>
      </c>
      <c r="P34" s="134">
        <v>1.0200000000000001E-2</v>
      </c>
      <c r="Q34" s="48"/>
      <c r="R34" s="48"/>
      <c r="S34" s="48"/>
      <c r="T34" s="48"/>
    </row>
    <row r="35" spans="1:21" ht="21.95" customHeight="1" x14ac:dyDescent="0.25">
      <c r="A35" s="51"/>
      <c r="B35" s="51"/>
      <c r="C35" s="51"/>
      <c r="E35" s="22" t="s">
        <v>270</v>
      </c>
      <c r="F35" s="2">
        <v>35.729999999999997</v>
      </c>
      <c r="G35" s="2">
        <v>35.729999999999997</v>
      </c>
      <c r="H35" s="329">
        <v>0</v>
      </c>
      <c r="I35" s="48">
        <v>0</v>
      </c>
      <c r="J35" s="366">
        <v>0</v>
      </c>
      <c r="K35" s="353">
        <v>0</v>
      </c>
      <c r="L35" s="366">
        <v>98.449999999999818</v>
      </c>
      <c r="M35">
        <v>0</v>
      </c>
      <c r="N35" s="363"/>
      <c r="O35" s="789">
        <v>1.11E-2</v>
      </c>
      <c r="P35" s="134">
        <v>3.39E-2</v>
      </c>
      <c r="R35" s="48"/>
      <c r="S35" s="48"/>
    </row>
    <row r="36" spans="1:21" ht="21.95" customHeight="1" x14ac:dyDescent="0.25">
      <c r="A36" s="51"/>
      <c r="B36" s="50"/>
      <c r="C36" s="51"/>
      <c r="E36" s="22" t="s">
        <v>36</v>
      </c>
      <c r="F36" s="2">
        <v>55.5</v>
      </c>
      <c r="G36" s="2">
        <v>55.5</v>
      </c>
      <c r="H36" s="49">
        <v>0</v>
      </c>
      <c r="I36" s="48">
        <v>0</v>
      </c>
      <c r="J36" s="366">
        <v>0</v>
      </c>
      <c r="K36" s="353">
        <v>0</v>
      </c>
      <c r="L36" s="48">
        <v>117.73999999999978</v>
      </c>
      <c r="M36">
        <v>0</v>
      </c>
      <c r="N36" s="2"/>
      <c r="O36" s="789">
        <v>7.4000000000000003E-3</v>
      </c>
      <c r="P36" s="134">
        <v>-2.3E-3</v>
      </c>
      <c r="Q36" s="437"/>
      <c r="R36" s="48"/>
      <c r="S36" s="48"/>
    </row>
    <row r="37" spans="1:21" ht="21.95" customHeight="1" x14ac:dyDescent="0.25">
      <c r="A37" s="50"/>
      <c r="B37" s="50"/>
      <c r="C37" s="51"/>
      <c r="E37" s="22" t="s">
        <v>321</v>
      </c>
      <c r="F37" s="2">
        <v>37.21</v>
      </c>
      <c r="G37" s="2">
        <v>37.21</v>
      </c>
      <c r="H37" s="49">
        <v>0</v>
      </c>
      <c r="I37" s="48">
        <v>0</v>
      </c>
      <c r="J37" s="366">
        <v>0</v>
      </c>
      <c r="K37" s="353">
        <v>0</v>
      </c>
      <c r="L37" s="48">
        <v>264.92000000000007</v>
      </c>
      <c r="M37">
        <v>0</v>
      </c>
      <c r="N37" s="2"/>
      <c r="O37" s="789">
        <v>3.4200000000000001E-2</v>
      </c>
      <c r="P37" s="134">
        <v>-1.04E-2</v>
      </c>
      <c r="Q37" s="148"/>
      <c r="R37" s="48"/>
      <c r="S37" s="48"/>
      <c r="T37" s="48"/>
    </row>
    <row r="38" spans="1:21" ht="21.95" customHeight="1" x14ac:dyDescent="0.25">
      <c r="A38" s="50"/>
      <c r="B38" s="50"/>
      <c r="C38" s="51"/>
      <c r="E38" s="22" t="s">
        <v>304</v>
      </c>
      <c r="F38" s="2">
        <v>62.7</v>
      </c>
      <c r="G38" s="2">
        <v>62.7</v>
      </c>
      <c r="H38" s="329">
        <v>0</v>
      </c>
      <c r="I38" s="48">
        <v>0</v>
      </c>
      <c r="J38" s="366">
        <v>0</v>
      </c>
      <c r="K38" s="353">
        <v>0</v>
      </c>
      <c r="L38" s="366">
        <v>910.79999999999927</v>
      </c>
      <c r="M38">
        <v>0</v>
      </c>
      <c r="N38" s="363"/>
      <c r="O38" s="789">
        <v>2.87E-2</v>
      </c>
      <c r="P38" s="134">
        <v>2.0000000000000001E-4</v>
      </c>
      <c r="S38" s="48"/>
      <c r="T38" s="48"/>
    </row>
    <row r="39" spans="1:21" ht="21.95" customHeight="1" x14ac:dyDescent="0.25">
      <c r="A39" s="50"/>
      <c r="B39" s="50"/>
      <c r="C39" s="51"/>
      <c r="E39" s="22" t="s">
        <v>740</v>
      </c>
      <c r="F39" s="2">
        <v>32.29</v>
      </c>
      <c r="G39" s="2">
        <v>32.29</v>
      </c>
      <c r="H39" s="49">
        <v>0</v>
      </c>
      <c r="I39" s="48">
        <v>0</v>
      </c>
      <c r="J39" s="366">
        <v>0</v>
      </c>
      <c r="K39" s="353">
        <v>0</v>
      </c>
      <c r="L39" s="366">
        <v>557.94000000000005</v>
      </c>
      <c r="M39">
        <v>0</v>
      </c>
      <c r="N39" s="363"/>
      <c r="O39" s="789">
        <v>4.0599999999999997E-2</v>
      </c>
      <c r="P39" s="134">
        <v>3.5900000000000001E-2</v>
      </c>
      <c r="R39" s="48"/>
      <c r="S39" s="48"/>
      <c r="T39" s="48"/>
    </row>
    <row r="40" spans="1:21" ht="21.95" customHeight="1" x14ac:dyDescent="0.25">
      <c r="A40" s="50"/>
      <c r="B40" s="50"/>
      <c r="C40" s="51"/>
      <c r="E40" s="22" t="s">
        <v>250</v>
      </c>
      <c r="F40" s="2">
        <v>64.13</v>
      </c>
      <c r="G40" s="2">
        <v>64.13</v>
      </c>
      <c r="H40" s="329">
        <v>0</v>
      </c>
      <c r="I40" s="48">
        <v>0</v>
      </c>
      <c r="J40" s="366">
        <v>0</v>
      </c>
      <c r="K40" s="353">
        <v>0</v>
      </c>
      <c r="L40" s="366">
        <v>329.74000000000069</v>
      </c>
      <c r="M40">
        <v>0</v>
      </c>
      <c r="N40" s="363"/>
      <c r="O40" s="789">
        <v>0</v>
      </c>
      <c r="P40" s="134">
        <v>2.6200000000000001E-2</v>
      </c>
      <c r="Q40" s="148"/>
      <c r="S40" s="48"/>
    </row>
    <row r="41" spans="1:21" ht="21.95" customHeight="1" x14ac:dyDescent="0.25">
      <c r="A41" s="50"/>
      <c r="B41" s="50"/>
      <c r="C41" s="51"/>
      <c r="E41" s="22" t="s">
        <v>717</v>
      </c>
      <c r="F41" s="2">
        <v>24.66</v>
      </c>
      <c r="G41" s="2">
        <v>24.66</v>
      </c>
      <c r="H41" s="329">
        <v>0</v>
      </c>
      <c r="I41" s="48">
        <v>0</v>
      </c>
      <c r="J41" s="366">
        <v>0</v>
      </c>
      <c r="K41" s="353">
        <v>0</v>
      </c>
      <c r="L41" s="366">
        <v>309.26000000000022</v>
      </c>
      <c r="M41">
        <v>0</v>
      </c>
      <c r="N41" s="363"/>
      <c r="O41" s="789">
        <v>8.8000000000000005E-3</v>
      </c>
      <c r="P41" s="134">
        <v>8.6E-3</v>
      </c>
      <c r="Q41" s="148"/>
      <c r="R41" s="48"/>
      <c r="S41" s="48"/>
    </row>
    <row r="42" spans="1:21" ht="21.95" customHeight="1" x14ac:dyDescent="0.25">
      <c r="A42" s="50"/>
      <c r="B42" s="50"/>
      <c r="C42" s="50"/>
      <c r="E42" s="22" t="s">
        <v>279</v>
      </c>
      <c r="F42" s="2">
        <v>69.39</v>
      </c>
      <c r="G42" s="2">
        <v>69.39</v>
      </c>
      <c r="H42" s="49">
        <v>0</v>
      </c>
      <c r="I42" s="48">
        <v>0</v>
      </c>
      <c r="J42" s="366">
        <v>0</v>
      </c>
      <c r="K42" s="353">
        <v>0</v>
      </c>
      <c r="L42" s="366">
        <v>197.20999999999549</v>
      </c>
      <c r="M42">
        <v>0</v>
      </c>
      <c r="N42" s="2"/>
      <c r="O42" s="789">
        <v>2.5499999999999998E-2</v>
      </c>
      <c r="P42" s="134">
        <v>-1.6400000000000001E-2</v>
      </c>
      <c r="S42" s="48"/>
    </row>
    <row r="43" spans="1:21" ht="21.95" customHeight="1" x14ac:dyDescent="0.25">
      <c r="A43" s="50"/>
      <c r="B43" s="50"/>
      <c r="C43" s="51"/>
      <c r="E43" s="22" t="s">
        <v>787</v>
      </c>
      <c r="F43" s="2">
        <v>187.99</v>
      </c>
      <c r="G43" s="2">
        <v>187.99</v>
      </c>
      <c r="H43" s="329">
        <v>0</v>
      </c>
      <c r="I43" s="48">
        <v>0</v>
      </c>
      <c r="J43" s="366">
        <v>0</v>
      </c>
      <c r="K43" s="353">
        <v>0</v>
      </c>
      <c r="L43" s="366">
        <v>843.18000000000029</v>
      </c>
      <c r="M43">
        <v>0</v>
      </c>
      <c r="N43" s="363"/>
      <c r="O43" s="789">
        <v>2.8E-3</v>
      </c>
      <c r="P43" s="134">
        <v>1.5299999999999999E-2</v>
      </c>
      <c r="S43" s="48"/>
      <c r="U43" s="48"/>
    </row>
    <row r="44" spans="1:21" ht="21.95" customHeight="1" x14ac:dyDescent="0.25">
      <c r="A44" s="50"/>
      <c r="B44" s="50"/>
      <c r="C44" s="51"/>
      <c r="E44" s="22" t="s">
        <v>197</v>
      </c>
      <c r="F44" s="48">
        <v>10.53</v>
      </c>
      <c r="G44" s="2">
        <v>10.53</v>
      </c>
      <c r="H44" s="49">
        <v>0</v>
      </c>
      <c r="I44" s="48">
        <v>0</v>
      </c>
      <c r="J44" s="366">
        <v>0</v>
      </c>
      <c r="K44" s="353">
        <v>0</v>
      </c>
      <c r="L44" s="366">
        <v>495.20999999999913</v>
      </c>
      <c r="M44">
        <v>0</v>
      </c>
      <c r="N44" s="2"/>
      <c r="O44" s="789">
        <v>5.1499999999999997E-2</v>
      </c>
      <c r="P44" s="134">
        <v>9.5999999999999992E-3</v>
      </c>
      <c r="Q44" s="48"/>
      <c r="R44" s="48"/>
      <c r="S44" s="48"/>
      <c r="T44" s="48"/>
    </row>
    <row r="45" spans="1:21" ht="21.95" customHeight="1" x14ac:dyDescent="0.25">
      <c r="A45" s="50"/>
      <c r="B45" s="50"/>
      <c r="C45" s="51"/>
      <c r="E45" s="22" t="s">
        <v>273</v>
      </c>
      <c r="F45" s="2">
        <v>129.53</v>
      </c>
      <c r="G45" s="2">
        <v>129.53</v>
      </c>
      <c r="H45" s="329">
        <v>0</v>
      </c>
      <c r="I45" s="48">
        <v>0</v>
      </c>
      <c r="J45" s="366">
        <v>0</v>
      </c>
      <c r="K45" s="353">
        <v>0</v>
      </c>
      <c r="L45" s="366">
        <v>154.77999999999975</v>
      </c>
      <c r="M45">
        <v>0</v>
      </c>
      <c r="N45" s="363"/>
      <c r="O45" s="789">
        <v>2.5700000000000001E-2</v>
      </c>
      <c r="P45" s="134">
        <v>2.52E-2</v>
      </c>
      <c r="Q45" s="48"/>
      <c r="R45" s="48"/>
      <c r="S45" s="48"/>
      <c r="T45" s="48"/>
    </row>
    <row r="46" spans="1:21" ht="21.95" customHeight="1" x14ac:dyDescent="0.25">
      <c r="A46" s="50"/>
      <c r="B46" s="50"/>
      <c r="C46" s="51"/>
      <c r="E46" s="22" t="s">
        <v>17</v>
      </c>
      <c r="F46" s="2">
        <v>15.1</v>
      </c>
      <c r="G46" s="2">
        <v>15.1</v>
      </c>
      <c r="H46" s="49">
        <v>0</v>
      </c>
      <c r="I46" s="48">
        <v>0</v>
      </c>
      <c r="J46" s="366">
        <v>-20818.210000000079</v>
      </c>
      <c r="K46" s="353">
        <v>0</v>
      </c>
      <c r="L46" s="366">
        <v>-20818.210000000079</v>
      </c>
      <c r="M46">
        <v>0</v>
      </c>
      <c r="N46" s="2"/>
      <c r="O46" s="789">
        <v>0</v>
      </c>
      <c r="P46" s="134">
        <v>2E-3</v>
      </c>
      <c r="R46" s="48"/>
      <c r="S46" s="48"/>
      <c r="T46" s="48"/>
    </row>
    <row r="47" spans="1:21" ht="21.95" customHeight="1" x14ac:dyDescent="0.25">
      <c r="A47" s="51"/>
      <c r="B47" s="155"/>
      <c r="C47" s="330"/>
      <c r="E47" s="22" t="s">
        <v>313</v>
      </c>
      <c r="F47" s="2">
        <v>126.27</v>
      </c>
      <c r="G47" s="2">
        <v>126.27</v>
      </c>
      <c r="H47" s="329">
        <v>0</v>
      </c>
      <c r="I47" s="48">
        <v>0</v>
      </c>
      <c r="J47" s="366">
        <v>0</v>
      </c>
      <c r="K47" s="353">
        <v>0</v>
      </c>
      <c r="L47" s="366">
        <v>720.56000000000131</v>
      </c>
      <c r="M47">
        <v>0</v>
      </c>
      <c r="N47" s="363"/>
      <c r="O47" s="789">
        <v>0</v>
      </c>
      <c r="P47" s="134">
        <v>2.01E-2</v>
      </c>
      <c r="Q47" s="148"/>
      <c r="R47" s="48"/>
    </row>
    <row r="48" spans="1:21" ht="21.95" customHeight="1" x14ac:dyDescent="0.25">
      <c r="A48" s="50"/>
      <c r="B48" s="50"/>
      <c r="C48" s="51"/>
      <c r="E48" s="22" t="s">
        <v>738</v>
      </c>
      <c r="F48" s="2">
        <v>75.64</v>
      </c>
      <c r="G48" s="2">
        <v>75.64</v>
      </c>
      <c r="H48" s="329">
        <v>0</v>
      </c>
      <c r="I48" s="48">
        <v>0</v>
      </c>
      <c r="J48" s="366">
        <v>0</v>
      </c>
      <c r="K48" s="353">
        <v>0</v>
      </c>
      <c r="L48" s="366">
        <v>329.55999999999949</v>
      </c>
      <c r="M48">
        <v>0</v>
      </c>
      <c r="N48" s="363"/>
      <c r="O48" s="789">
        <v>1.78E-2</v>
      </c>
      <c r="P48" s="134">
        <v>1.72E-2</v>
      </c>
      <c r="R48" s="48"/>
      <c r="S48" s="48"/>
    </row>
    <row r="49" spans="1:21" ht="21.95" customHeight="1" x14ac:dyDescent="0.25">
      <c r="A49" s="50"/>
      <c r="B49" s="50"/>
      <c r="C49" s="51"/>
      <c r="E49" s="22" t="s">
        <v>785</v>
      </c>
      <c r="F49" s="2">
        <v>723.5</v>
      </c>
      <c r="G49" s="2">
        <v>723.5</v>
      </c>
      <c r="H49" s="329">
        <v>0</v>
      </c>
      <c r="I49" s="48">
        <v>0</v>
      </c>
      <c r="J49" s="366">
        <v>0</v>
      </c>
      <c r="K49" s="353">
        <v>0</v>
      </c>
      <c r="L49" s="366">
        <v>559.89000000000033</v>
      </c>
      <c r="M49">
        <v>0</v>
      </c>
      <c r="N49" s="363"/>
      <c r="O49" s="789">
        <v>0</v>
      </c>
      <c r="P49" s="134">
        <v>6.8999999999999999E-3</v>
      </c>
    </row>
    <row r="50" spans="1:21" ht="21.95" customHeight="1" x14ac:dyDescent="0.25">
      <c r="A50" s="50"/>
      <c r="B50" s="50"/>
      <c r="C50" s="51"/>
      <c r="E50" s="22" t="s">
        <v>195</v>
      </c>
      <c r="F50" s="2">
        <v>65.489999999999995</v>
      </c>
      <c r="G50" s="2">
        <v>65.489999999999995</v>
      </c>
      <c r="H50" s="49">
        <v>0</v>
      </c>
      <c r="I50" s="48">
        <v>0</v>
      </c>
      <c r="J50" s="366">
        <v>0</v>
      </c>
      <c r="K50" s="353">
        <v>0</v>
      </c>
      <c r="L50" s="48">
        <v>785.90999999999985</v>
      </c>
      <c r="M50">
        <v>0</v>
      </c>
      <c r="N50" s="2"/>
      <c r="O50" s="789">
        <v>1.29E-2</v>
      </c>
      <c r="P50" s="134">
        <v>4.82E-2</v>
      </c>
      <c r="Q50" s="148"/>
      <c r="S50" s="48"/>
    </row>
    <row r="51" spans="1:21" ht="21.95" customHeight="1" x14ac:dyDescent="0.25">
      <c r="A51" s="60"/>
      <c r="B51" s="61"/>
      <c r="C51" s="60"/>
      <c r="E51" s="22" t="s">
        <v>225</v>
      </c>
      <c r="F51" s="2">
        <v>57.85</v>
      </c>
      <c r="G51" s="2">
        <v>57.85</v>
      </c>
      <c r="H51" s="329">
        <v>0</v>
      </c>
      <c r="I51" s="48">
        <v>0</v>
      </c>
      <c r="J51" s="366">
        <v>0</v>
      </c>
      <c r="K51" s="353">
        <v>0</v>
      </c>
      <c r="L51" s="366">
        <v>257.64999999999964</v>
      </c>
      <c r="M51">
        <v>0</v>
      </c>
      <c r="N51" s="363"/>
      <c r="O51" s="789">
        <v>0</v>
      </c>
      <c r="P51" s="134">
        <v>4.0000000000000001E-3</v>
      </c>
      <c r="R51" s="48"/>
      <c r="S51" s="48"/>
    </row>
    <row r="52" spans="1:21" ht="21.95" customHeight="1" x14ac:dyDescent="0.25">
      <c r="A52" s="50"/>
      <c r="B52" s="50"/>
      <c r="C52" s="51"/>
      <c r="E52" s="22" t="s">
        <v>34</v>
      </c>
      <c r="F52" s="2">
        <v>40.409999999999997</v>
      </c>
      <c r="G52" s="2">
        <v>40.409999999999997</v>
      </c>
      <c r="H52" s="49">
        <v>0</v>
      </c>
      <c r="I52" s="48">
        <v>0</v>
      </c>
      <c r="J52" s="366">
        <v>0</v>
      </c>
      <c r="K52" s="353">
        <v>0</v>
      </c>
      <c r="L52" s="48">
        <v>21137.586999999941</v>
      </c>
      <c r="M52">
        <v>0</v>
      </c>
      <c r="N52" s="363"/>
      <c r="O52" s="789">
        <v>0</v>
      </c>
      <c r="P52" s="134">
        <v>1.0200000000000001E-2</v>
      </c>
      <c r="Q52" s="148"/>
      <c r="R52" s="48"/>
      <c r="S52" s="48"/>
      <c r="T52" s="48"/>
    </row>
    <row r="53" spans="1:21" ht="21.95" customHeight="1" x14ac:dyDescent="0.25">
      <c r="A53" s="50"/>
      <c r="B53" s="50"/>
      <c r="C53" s="51"/>
      <c r="E53" s="22" t="s">
        <v>172</v>
      </c>
      <c r="F53" s="2">
        <v>57.2</v>
      </c>
      <c r="G53" s="2">
        <v>57.2</v>
      </c>
      <c r="H53" s="49">
        <v>0</v>
      </c>
      <c r="I53" s="48">
        <v>0</v>
      </c>
      <c r="J53" s="366">
        <v>0</v>
      </c>
      <c r="K53" s="353">
        <v>0</v>
      </c>
      <c r="L53" s="366">
        <v>119.92000000000053</v>
      </c>
      <c r="M53">
        <v>0</v>
      </c>
      <c r="N53" s="2"/>
      <c r="O53" s="789">
        <v>3.6400000000000002E-2</v>
      </c>
      <c r="P53" s="134">
        <v>2.0500000000000001E-2</v>
      </c>
      <c r="R53" s="48"/>
      <c r="S53" s="48"/>
    </row>
    <row r="54" spans="1:21" ht="21.95" customHeight="1" x14ac:dyDescent="0.25">
      <c r="A54" s="50"/>
      <c r="B54" s="50"/>
      <c r="C54" s="51"/>
      <c r="E54" s="22" t="s">
        <v>27</v>
      </c>
      <c r="F54" s="2">
        <v>43.95</v>
      </c>
      <c r="G54" s="2">
        <v>43.95</v>
      </c>
      <c r="H54" s="329">
        <v>0</v>
      </c>
      <c r="I54" s="48">
        <v>0</v>
      </c>
      <c r="J54" s="366">
        <v>0</v>
      </c>
      <c r="K54" s="353">
        <v>0</v>
      </c>
      <c r="L54" s="366">
        <v>1407.5400000000009</v>
      </c>
      <c r="M54">
        <v>0</v>
      </c>
      <c r="N54" s="363"/>
      <c r="O54" s="789">
        <v>3.0200000000000001E-2</v>
      </c>
      <c r="P54" s="134">
        <v>2.81E-2</v>
      </c>
      <c r="R54" s="48"/>
    </row>
    <row r="55" spans="1:21" ht="21.95" customHeight="1" x14ac:dyDescent="0.25">
      <c r="A55" s="51"/>
      <c r="B55" s="51"/>
      <c r="C55" s="51"/>
      <c r="E55" s="22" t="s">
        <v>22</v>
      </c>
      <c r="F55" s="2">
        <v>42.12</v>
      </c>
      <c r="G55" s="2">
        <v>42.12</v>
      </c>
      <c r="H55" s="329">
        <v>0</v>
      </c>
      <c r="I55" s="48">
        <v>0</v>
      </c>
      <c r="J55" s="366">
        <v>0</v>
      </c>
      <c r="K55" s="353">
        <v>0</v>
      </c>
      <c r="L55" s="366">
        <v>3178.8000000000466</v>
      </c>
      <c r="M55">
        <v>0</v>
      </c>
      <c r="N55" s="2"/>
      <c r="O55" s="789">
        <v>2.07E-2</v>
      </c>
      <c r="P55" s="134">
        <v>-2.0500000000000001E-2</v>
      </c>
      <c r="S55" s="48"/>
      <c r="T55" s="48"/>
    </row>
    <row r="56" spans="1:21" ht="21.95" customHeight="1" x14ac:dyDescent="0.25">
      <c r="A56" s="50"/>
      <c r="B56" s="51"/>
      <c r="C56" s="51"/>
      <c r="E56" s="22" t="s">
        <v>42</v>
      </c>
      <c r="F56" s="2">
        <v>127.28</v>
      </c>
      <c r="G56" s="2">
        <v>127.28</v>
      </c>
      <c r="H56" s="329">
        <v>0</v>
      </c>
      <c r="I56" s="48">
        <v>0</v>
      </c>
      <c r="J56" s="366">
        <v>0</v>
      </c>
      <c r="K56" s="353">
        <v>0</v>
      </c>
      <c r="L56" s="366">
        <v>128.08999999999833</v>
      </c>
      <c r="M56">
        <v>0</v>
      </c>
      <c r="N56" s="2"/>
      <c r="O56" s="789">
        <v>2.18E-2</v>
      </c>
      <c r="P56" s="134">
        <v>1.9599999999999999E-2</v>
      </c>
      <c r="Q56" s="148"/>
      <c r="R56" s="48"/>
      <c r="S56" s="48"/>
      <c r="U56" s="48"/>
    </row>
    <row r="57" spans="1:21" ht="21.95" customHeight="1" x14ac:dyDescent="0.25">
      <c r="A57" s="50"/>
      <c r="B57" s="50"/>
      <c r="C57" s="51"/>
      <c r="E57" s="22" t="s">
        <v>271</v>
      </c>
      <c r="F57" s="2">
        <v>56.21</v>
      </c>
      <c r="G57" s="2">
        <v>56.21</v>
      </c>
      <c r="H57" s="49">
        <v>0</v>
      </c>
      <c r="I57" s="48">
        <v>0</v>
      </c>
      <c r="J57" s="366">
        <v>0</v>
      </c>
      <c r="K57" s="353">
        <v>0</v>
      </c>
      <c r="L57" s="366">
        <v>427.92000000000007</v>
      </c>
      <c r="M57">
        <v>0</v>
      </c>
      <c r="N57" s="2"/>
      <c r="O57" s="789">
        <v>0</v>
      </c>
      <c r="P57" s="134">
        <v>2.5000000000000001E-3</v>
      </c>
      <c r="Q57" s="148"/>
      <c r="R57" s="48"/>
      <c r="S57" s="48"/>
      <c r="T57" s="48"/>
    </row>
    <row r="58" spans="1:21" ht="21.95" customHeight="1" x14ac:dyDescent="0.25">
      <c r="A58" s="50"/>
      <c r="B58" s="50"/>
      <c r="C58" s="51"/>
      <c r="E58" s="22" t="s">
        <v>170</v>
      </c>
      <c r="F58" s="2">
        <v>102.64</v>
      </c>
      <c r="G58" s="2">
        <v>102.64</v>
      </c>
      <c r="H58" s="49">
        <v>0</v>
      </c>
      <c r="I58" s="48">
        <v>0</v>
      </c>
      <c r="J58" s="366">
        <v>0</v>
      </c>
      <c r="K58" s="353">
        <v>0</v>
      </c>
      <c r="L58" s="366">
        <v>1368.9000000000015</v>
      </c>
      <c r="M58">
        <v>0</v>
      </c>
      <c r="N58" s="2"/>
      <c r="O58" s="789">
        <v>1.14E-2</v>
      </c>
      <c r="P58" s="134">
        <v>3.6299999999999999E-2</v>
      </c>
    </row>
    <row r="59" spans="1:21" ht="21.95" customHeight="1" x14ac:dyDescent="0.25">
      <c r="A59" s="50"/>
      <c r="B59" s="50"/>
      <c r="C59" s="51"/>
      <c r="E59" s="22" t="s">
        <v>8</v>
      </c>
      <c r="F59" s="2">
        <v>75.11</v>
      </c>
      <c r="G59" s="2">
        <v>75.11</v>
      </c>
      <c r="H59" s="49">
        <v>0</v>
      </c>
      <c r="I59" s="48">
        <v>0</v>
      </c>
      <c r="J59" s="366">
        <v>0</v>
      </c>
      <c r="K59" s="353">
        <v>0</v>
      </c>
      <c r="L59" s="48">
        <v>121.94999999999982</v>
      </c>
      <c r="M59">
        <v>0</v>
      </c>
      <c r="N59" s="363"/>
      <c r="O59" s="789">
        <v>1.67E-2</v>
      </c>
      <c r="P59" s="134">
        <v>8.8999999999999999E-3</v>
      </c>
      <c r="Q59" s="148"/>
      <c r="R59" s="48"/>
      <c r="S59" s="48"/>
      <c r="T59" s="48"/>
    </row>
    <row r="60" spans="1:21" ht="21.95" customHeight="1" x14ac:dyDescent="0.25">
      <c r="A60" s="50"/>
      <c r="B60" s="50"/>
      <c r="C60" s="51"/>
      <c r="E60" s="22" t="s">
        <v>10</v>
      </c>
      <c r="F60" s="2">
        <v>45.92</v>
      </c>
      <c r="G60" s="2">
        <v>45.92</v>
      </c>
      <c r="H60" s="329">
        <v>0</v>
      </c>
      <c r="I60" s="48">
        <v>0</v>
      </c>
      <c r="J60" s="366">
        <v>0</v>
      </c>
      <c r="K60" s="353">
        <v>0</v>
      </c>
      <c r="L60" s="366">
        <v>1128.3800000000047</v>
      </c>
      <c r="M60">
        <v>0</v>
      </c>
      <c r="N60" s="2"/>
      <c r="O60" s="789">
        <v>1.2500000000000001E-2</v>
      </c>
      <c r="P60" s="134">
        <v>-1.2999999999999999E-3</v>
      </c>
      <c r="Q60" s="437"/>
      <c r="R60" s="48"/>
      <c r="S60" s="48"/>
      <c r="U60" s="48"/>
    </row>
    <row r="61" spans="1:21" ht="21.95" customHeight="1" x14ac:dyDescent="0.25">
      <c r="A61" s="50"/>
      <c r="B61" s="50"/>
      <c r="C61" s="51"/>
      <c r="E61" s="22" t="s">
        <v>224</v>
      </c>
      <c r="F61" s="2">
        <v>37.619999999999997</v>
      </c>
      <c r="G61" s="2">
        <v>37.619999999999997</v>
      </c>
      <c r="H61" s="329">
        <v>0</v>
      </c>
      <c r="I61" s="48">
        <v>0</v>
      </c>
      <c r="J61" s="366">
        <v>0</v>
      </c>
      <c r="K61" s="353">
        <v>0</v>
      </c>
      <c r="L61" s="366">
        <v>4376.9599999999991</v>
      </c>
      <c r="M61">
        <v>0</v>
      </c>
      <c r="N61" s="2"/>
      <c r="O61" s="789">
        <v>4.0899999999999999E-2</v>
      </c>
      <c r="P61" s="134">
        <v>4.3E-3</v>
      </c>
      <c r="R61" s="48"/>
    </row>
    <row r="62" spans="1:21" ht="21.95" customHeight="1" x14ac:dyDescent="0.25">
      <c r="A62" s="51"/>
      <c r="B62" s="51"/>
      <c r="C62" s="51"/>
      <c r="E62" s="22" t="s">
        <v>351</v>
      </c>
      <c r="F62" s="2">
        <v>72.45</v>
      </c>
      <c r="G62" s="2">
        <v>72.45</v>
      </c>
      <c r="H62" s="49">
        <v>0</v>
      </c>
      <c r="I62" s="48">
        <v>0</v>
      </c>
      <c r="J62" s="366">
        <v>0</v>
      </c>
      <c r="K62" s="353">
        <v>0</v>
      </c>
      <c r="L62" s="48">
        <v>2060.4300000000003</v>
      </c>
      <c r="M62">
        <v>0</v>
      </c>
      <c r="N62" s="363"/>
      <c r="O62" s="789">
        <v>4.3499999999999997E-2</v>
      </c>
      <c r="P62" s="134">
        <v>1.9E-2</v>
      </c>
      <c r="R62" s="48"/>
      <c r="S62" s="48"/>
      <c r="T62" s="48"/>
    </row>
    <row r="63" spans="1:21" ht="21.95" customHeight="1" x14ac:dyDescent="0.25">
      <c r="A63" s="50"/>
      <c r="B63" s="50"/>
      <c r="C63" s="51"/>
      <c r="E63" s="22" t="s">
        <v>24</v>
      </c>
      <c r="F63" s="2">
        <v>59.8</v>
      </c>
      <c r="G63" s="2">
        <v>59.8</v>
      </c>
      <c r="H63" s="329">
        <v>0</v>
      </c>
      <c r="I63" s="48">
        <v>0</v>
      </c>
      <c r="J63" s="366">
        <v>0</v>
      </c>
      <c r="K63" s="353">
        <v>0</v>
      </c>
      <c r="L63" s="366">
        <v>937.36999999999534</v>
      </c>
      <c r="M63">
        <v>0</v>
      </c>
      <c r="N63" s="363"/>
      <c r="O63" s="789">
        <v>0</v>
      </c>
      <c r="P63" s="134">
        <v>-3.7000000000000002E-3</v>
      </c>
      <c r="Q63" s="148"/>
      <c r="R63" s="48"/>
      <c r="S63" s="48"/>
    </row>
    <row r="64" spans="1:21" ht="21.95" customHeight="1" x14ac:dyDescent="0.25">
      <c r="A64" s="50"/>
      <c r="B64" s="50"/>
      <c r="C64" s="51"/>
      <c r="E64" s="22" t="s">
        <v>45</v>
      </c>
      <c r="F64" s="2">
        <v>90.89</v>
      </c>
      <c r="G64" s="2">
        <v>90.89</v>
      </c>
      <c r="H64" s="49">
        <v>0</v>
      </c>
      <c r="I64" s="48">
        <v>0</v>
      </c>
      <c r="J64" s="366">
        <v>0</v>
      </c>
      <c r="K64" s="353">
        <v>0</v>
      </c>
      <c r="L64" s="366">
        <v>523.61999999999898</v>
      </c>
      <c r="M64">
        <v>0</v>
      </c>
      <c r="N64" s="363"/>
      <c r="O64" s="789">
        <v>1.67E-2</v>
      </c>
      <c r="P64" s="134">
        <v>9.1999999999999998E-3</v>
      </c>
      <c r="R64" s="48"/>
      <c r="S64" s="48"/>
      <c r="T64" s="48"/>
    </row>
    <row r="65" spans="1:22" ht="21.95" customHeight="1" x14ac:dyDescent="0.25">
      <c r="A65" s="50"/>
      <c r="B65" s="51"/>
      <c r="C65" s="51"/>
      <c r="E65" s="22" t="s">
        <v>47</v>
      </c>
      <c r="F65" s="2">
        <v>138.22</v>
      </c>
      <c r="G65" s="2">
        <v>138.22</v>
      </c>
      <c r="H65" s="329">
        <v>0</v>
      </c>
      <c r="I65" s="48">
        <v>0</v>
      </c>
      <c r="J65" s="366">
        <v>0</v>
      </c>
      <c r="K65" s="353">
        <v>0</v>
      </c>
      <c r="L65" s="366">
        <v>-168.6200000000008</v>
      </c>
      <c r="M65">
        <v>0</v>
      </c>
      <c r="N65" s="363"/>
      <c r="O65" s="789">
        <v>2.18E-2</v>
      </c>
      <c r="P65" s="134">
        <v>9.4999999999999998E-3</v>
      </c>
      <c r="S65" s="48"/>
    </row>
    <row r="66" spans="1:22" ht="21.95" customHeight="1" x14ac:dyDescent="0.25">
      <c r="A66" s="51"/>
      <c r="B66" s="51"/>
      <c r="C66" s="51"/>
      <c r="E66" s="22" t="s">
        <v>33</v>
      </c>
      <c r="F66" s="2">
        <v>235.5</v>
      </c>
      <c r="G66" s="2">
        <v>235.5</v>
      </c>
      <c r="H66" s="329">
        <v>0</v>
      </c>
      <c r="I66" s="48">
        <v>0</v>
      </c>
      <c r="J66" s="366">
        <v>0</v>
      </c>
      <c r="K66" s="353">
        <v>0</v>
      </c>
      <c r="L66" s="366">
        <v>780.73999999999796</v>
      </c>
      <c r="M66">
        <v>0</v>
      </c>
      <c r="N66" s="363"/>
      <c r="O66" s="789">
        <v>1.8599999999999998E-2</v>
      </c>
      <c r="P66" s="134">
        <v>2.58E-2</v>
      </c>
      <c r="S66" s="48"/>
    </row>
    <row r="67" spans="1:22" ht="21.95" customHeight="1" x14ac:dyDescent="0.25">
      <c r="A67" s="50"/>
      <c r="B67" s="50"/>
      <c r="C67" s="51"/>
      <c r="E67" s="22" t="s">
        <v>13</v>
      </c>
      <c r="F67" s="2">
        <v>62.98</v>
      </c>
      <c r="G67" s="2">
        <v>62.98</v>
      </c>
      <c r="H67" s="329">
        <v>0</v>
      </c>
      <c r="I67" s="48">
        <v>0</v>
      </c>
      <c r="J67" s="366">
        <v>0</v>
      </c>
      <c r="K67" s="353">
        <v>0</v>
      </c>
      <c r="L67" s="366">
        <v>1461.5600000000013</v>
      </c>
      <c r="M67">
        <v>0</v>
      </c>
      <c r="N67" s="363"/>
      <c r="O67" s="789">
        <v>0</v>
      </c>
      <c r="P67" s="134">
        <v>-6.4999999999999997E-3</v>
      </c>
      <c r="R67" s="48"/>
      <c r="S67" s="48"/>
      <c r="T67" s="48"/>
    </row>
    <row r="68" spans="1:22" ht="21.95" customHeight="1" x14ac:dyDescent="0.25">
      <c r="A68" s="50"/>
      <c r="B68" s="50"/>
      <c r="C68" s="51"/>
      <c r="E68" s="22" t="s">
        <v>52</v>
      </c>
      <c r="F68" s="2">
        <v>66.72</v>
      </c>
      <c r="G68" s="2">
        <v>66.72</v>
      </c>
      <c r="H68" s="49">
        <v>0</v>
      </c>
      <c r="I68" s="48">
        <v>0</v>
      </c>
      <c r="J68" s="366">
        <v>0</v>
      </c>
      <c r="K68" s="353">
        <v>0</v>
      </c>
      <c r="L68" s="48">
        <v>1056.739999999998</v>
      </c>
      <c r="M68">
        <v>0</v>
      </c>
      <c r="N68" s="363"/>
      <c r="O68" s="789">
        <v>2.1999999999999999E-2</v>
      </c>
      <c r="P68" s="134">
        <v>1.4E-3</v>
      </c>
      <c r="Q68" s="48"/>
      <c r="R68" s="48"/>
      <c r="S68" s="48"/>
      <c r="T68" s="48"/>
    </row>
    <row r="69" spans="1:22" ht="21.95" customHeight="1" x14ac:dyDescent="0.25">
      <c r="A69" s="50"/>
      <c r="B69" s="50"/>
      <c r="C69" s="51"/>
      <c r="E69" s="22" t="s">
        <v>63</v>
      </c>
      <c r="F69" s="2">
        <v>103.09</v>
      </c>
      <c r="G69" s="2">
        <v>103.09</v>
      </c>
      <c r="H69" s="329">
        <v>0</v>
      </c>
      <c r="I69" s="48">
        <v>0</v>
      </c>
      <c r="J69" s="366">
        <v>0</v>
      </c>
      <c r="K69" s="353">
        <v>0</v>
      </c>
      <c r="L69" s="366">
        <v>257.30999999999949</v>
      </c>
      <c r="M69">
        <v>0</v>
      </c>
      <c r="N69" s="363"/>
      <c r="O69" s="789">
        <v>1.38E-2</v>
      </c>
      <c r="P69" s="134">
        <v>1.72E-2</v>
      </c>
      <c r="Q69" s="48"/>
      <c r="R69" s="48"/>
      <c r="S69" s="48"/>
      <c r="U69" s="48"/>
    </row>
    <row r="70" spans="1:22" ht="21.95" customHeight="1" x14ac:dyDescent="0.25">
      <c r="A70" s="50"/>
      <c r="B70" s="50"/>
      <c r="C70" s="51"/>
      <c r="E70" s="22" t="s">
        <v>9</v>
      </c>
      <c r="F70" s="2">
        <v>6.81</v>
      </c>
      <c r="G70" s="2">
        <v>6.81</v>
      </c>
      <c r="H70" s="49">
        <v>0</v>
      </c>
      <c r="I70" s="48">
        <v>0</v>
      </c>
      <c r="J70" s="366">
        <v>-8332.1133333333346</v>
      </c>
      <c r="K70" s="353">
        <v>0</v>
      </c>
      <c r="L70" s="366">
        <v>-7897.1833333333343</v>
      </c>
      <c r="M70">
        <v>0</v>
      </c>
      <c r="N70" s="2"/>
      <c r="O70" s="789">
        <v>0.04</v>
      </c>
      <c r="P70" s="134">
        <v>-4.7600000000000003E-2</v>
      </c>
      <c r="T70" s="48"/>
    </row>
    <row r="71" spans="1:22" ht="21.95" customHeight="1" x14ac:dyDescent="0.25">
      <c r="A71" s="51"/>
      <c r="B71" s="51"/>
      <c r="C71" s="51"/>
      <c r="E71" s="22" t="s">
        <v>53</v>
      </c>
      <c r="F71" s="2">
        <v>71.62</v>
      </c>
      <c r="G71" s="2">
        <v>71.62</v>
      </c>
      <c r="H71" s="49">
        <v>0</v>
      </c>
      <c r="I71" s="48">
        <v>0</v>
      </c>
      <c r="J71" s="366">
        <v>0</v>
      </c>
      <c r="K71" s="353">
        <v>0</v>
      </c>
      <c r="L71" s="366">
        <v>33.940000000000055</v>
      </c>
      <c r="M71">
        <v>0</v>
      </c>
      <c r="N71" s="363"/>
      <c r="O71" s="789">
        <v>7.4000000000000003E-3</v>
      </c>
      <c r="P71" s="134">
        <v>-0.13639999999999999</v>
      </c>
      <c r="Q71" s="48"/>
      <c r="R71" s="48"/>
      <c r="S71" s="48"/>
      <c r="T71" s="48"/>
      <c r="V71" s="48"/>
    </row>
    <row r="72" spans="1:22" ht="21.95" customHeight="1" x14ac:dyDescent="0.25">
      <c r="A72" s="50"/>
      <c r="B72" s="51"/>
      <c r="C72" s="51"/>
      <c r="E72" s="22" t="s">
        <v>56</v>
      </c>
      <c r="F72" s="2">
        <v>41.46</v>
      </c>
      <c r="G72" s="2">
        <v>41.46</v>
      </c>
      <c r="H72" s="329">
        <v>0</v>
      </c>
      <c r="I72" s="48">
        <v>0</v>
      </c>
      <c r="J72" s="366">
        <v>0</v>
      </c>
      <c r="K72" s="353">
        <v>0</v>
      </c>
      <c r="L72" s="366">
        <v>36.819999999999709</v>
      </c>
      <c r="M72">
        <v>0</v>
      </c>
      <c r="N72" s="2"/>
      <c r="O72" s="789">
        <v>4.2999999999999997E-2</v>
      </c>
      <c r="P72" s="134">
        <v>1.7399999999999999E-2</v>
      </c>
    </row>
    <row r="73" spans="1:22" ht="21.95" customHeight="1" x14ac:dyDescent="0.25">
      <c r="A73" s="50"/>
      <c r="B73" s="50"/>
      <c r="C73" s="50"/>
      <c r="E73" s="22" t="s">
        <v>0</v>
      </c>
      <c r="F73" s="2">
        <v>200.18</v>
      </c>
      <c r="G73" s="2">
        <v>200.18</v>
      </c>
      <c r="H73" s="329">
        <v>0</v>
      </c>
      <c r="I73" s="48">
        <v>0</v>
      </c>
      <c r="J73" s="366">
        <v>0</v>
      </c>
      <c r="K73" s="353">
        <v>0</v>
      </c>
      <c r="L73" s="366">
        <v>465.57999999999993</v>
      </c>
      <c r="M73">
        <v>0</v>
      </c>
      <c r="N73" s="363"/>
      <c r="O73" s="789">
        <v>3.8999999999999998E-3</v>
      </c>
      <c r="P73" s="134">
        <v>6.4000000000000003E-3</v>
      </c>
    </row>
    <row r="74" spans="1:22" ht="21.95" customHeight="1" x14ac:dyDescent="0.25">
      <c r="A74" s="50"/>
      <c r="B74" s="50"/>
      <c r="C74" s="51"/>
      <c r="E74" s="22" t="s">
        <v>39</v>
      </c>
      <c r="F74" s="2">
        <v>44.45</v>
      </c>
      <c r="G74" s="2">
        <v>44.45</v>
      </c>
      <c r="H74" s="49">
        <v>0</v>
      </c>
      <c r="I74" s="48">
        <v>0</v>
      </c>
      <c r="J74" s="366">
        <v>0</v>
      </c>
      <c r="K74" s="353">
        <v>0</v>
      </c>
      <c r="L74" s="48">
        <v>529.88000000000284</v>
      </c>
      <c r="M74">
        <v>0</v>
      </c>
      <c r="N74" s="363"/>
      <c r="O74" s="789">
        <v>2.3E-2</v>
      </c>
      <c r="P74" s="134">
        <v>1.14E-2</v>
      </c>
    </row>
    <row r="75" spans="1:22" ht="21.95" customHeight="1" x14ac:dyDescent="0.25">
      <c r="A75" s="50"/>
      <c r="B75" s="51"/>
      <c r="C75" s="51"/>
      <c r="E75" s="22" t="s">
        <v>54</v>
      </c>
      <c r="F75" s="2">
        <v>125.03</v>
      </c>
      <c r="G75" s="2">
        <v>125.03</v>
      </c>
      <c r="H75" s="329">
        <v>0</v>
      </c>
      <c r="I75" s="48">
        <v>0</v>
      </c>
      <c r="J75" s="366">
        <v>0</v>
      </c>
      <c r="K75" s="353">
        <v>0</v>
      </c>
      <c r="L75" s="366">
        <v>114.84999999999991</v>
      </c>
      <c r="M75">
        <v>0</v>
      </c>
      <c r="N75" s="363"/>
      <c r="O75" s="789">
        <v>2.35E-2</v>
      </c>
      <c r="P75" s="134">
        <v>-1.9E-2</v>
      </c>
    </row>
    <row r="76" spans="1:22" ht="21.95" customHeight="1" x14ac:dyDescent="0.25">
      <c r="A76" s="50"/>
      <c r="B76" s="50"/>
      <c r="C76" s="51"/>
      <c r="E76" s="22" t="s">
        <v>51</v>
      </c>
      <c r="F76" s="2">
        <v>220.96</v>
      </c>
      <c r="G76" s="2">
        <v>220.96</v>
      </c>
      <c r="H76" s="329">
        <v>0</v>
      </c>
      <c r="I76" s="48">
        <v>0</v>
      </c>
      <c r="J76" s="366">
        <v>0</v>
      </c>
      <c r="K76" s="353">
        <v>0</v>
      </c>
      <c r="L76" s="366">
        <v>176.70000000000073</v>
      </c>
      <c r="M76">
        <v>0</v>
      </c>
      <c r="N76" s="363"/>
      <c r="O76" s="789">
        <v>1.52E-2</v>
      </c>
      <c r="P76" s="134">
        <v>2.1100000000000001E-2</v>
      </c>
    </row>
    <row r="77" spans="1:22" ht="21.95" customHeight="1" x14ac:dyDescent="0.25">
      <c r="A77" s="50"/>
      <c r="B77" s="50"/>
      <c r="C77" s="51"/>
      <c r="F77" s="2"/>
      <c r="G77" s="2"/>
    </row>
    <row r="78" spans="1:22" ht="21.95" customHeight="1" x14ac:dyDescent="0.25">
      <c r="A78" s="50"/>
      <c r="B78" s="51"/>
      <c r="C78" s="51"/>
      <c r="F78" s="2"/>
      <c r="G78" s="2"/>
    </row>
    <row r="79" spans="1:22" ht="21.95" customHeight="1" x14ac:dyDescent="0.25">
      <c r="F79" s="2"/>
      <c r="G79" s="2"/>
    </row>
    <row r="80" spans="1:22" ht="21.95" customHeight="1" x14ac:dyDescent="0.25">
      <c r="F80" s="2"/>
      <c r="G80" s="2"/>
    </row>
    <row r="81" spans="6:7" ht="21.95" customHeight="1" x14ac:dyDescent="0.25">
      <c r="F81" s="2"/>
      <c r="G81" s="2"/>
    </row>
    <row r="82" spans="6:7" ht="21.95" customHeight="1" x14ac:dyDescent="0.25">
      <c r="F82" s="2"/>
      <c r="G82" s="2"/>
    </row>
    <row r="83" spans="6:7" ht="21.95" customHeight="1" x14ac:dyDescent="0.25">
      <c r="F83" s="2"/>
      <c r="G83" s="2"/>
    </row>
    <row r="84" spans="6:7" ht="21.95" customHeight="1" x14ac:dyDescent="0.25">
      <c r="F84" s="2"/>
      <c r="G84" s="2"/>
    </row>
    <row r="85" spans="6:7" ht="21.95" customHeight="1" x14ac:dyDescent="0.25">
      <c r="F85" s="2"/>
      <c r="G85" s="2"/>
    </row>
    <row r="86" spans="6:7" ht="21.95" customHeight="1" x14ac:dyDescent="0.25">
      <c r="F86" s="2"/>
      <c r="G86" s="2"/>
    </row>
    <row r="87" spans="6:7" ht="21.95" customHeight="1" x14ac:dyDescent="0.25">
      <c r="F87" s="2"/>
      <c r="G87" s="2"/>
    </row>
    <row r="88" spans="6:7" ht="21.95" customHeight="1" x14ac:dyDescent="0.25">
      <c r="F88" s="2"/>
      <c r="G88" s="2"/>
    </row>
    <row r="89" spans="6:7" ht="21.95" customHeight="1" x14ac:dyDescent="0.25">
      <c r="F89" s="2"/>
      <c r="G89" s="2"/>
    </row>
    <row r="90" spans="6:7" ht="21.95" customHeight="1" x14ac:dyDescent="0.25">
      <c r="F90" s="2"/>
      <c r="G90" s="2"/>
    </row>
    <row r="91" spans="6:7" ht="21.95" customHeight="1" x14ac:dyDescent="0.25">
      <c r="F91" s="2"/>
      <c r="G91" s="2"/>
    </row>
    <row r="92" spans="6:7" ht="21.95" customHeight="1" x14ac:dyDescent="0.25">
      <c r="F92" s="2"/>
      <c r="G92" s="2"/>
    </row>
    <row r="93" spans="6:7" ht="21.95" customHeight="1" x14ac:dyDescent="0.25">
      <c r="F93" s="2"/>
      <c r="G93" s="2"/>
    </row>
    <row r="94" spans="6:7" ht="21.95" customHeight="1" x14ac:dyDescent="0.25">
      <c r="F94" s="2"/>
      <c r="G94" s="2"/>
    </row>
    <row r="95" spans="6:7" ht="21.95" customHeight="1" x14ac:dyDescent="0.25">
      <c r="F95" s="2"/>
      <c r="G95" s="2"/>
    </row>
    <row r="96" spans="6:7" ht="21.95" customHeight="1" x14ac:dyDescent="0.25">
      <c r="F96" s="2"/>
      <c r="G96" s="2"/>
    </row>
    <row r="97" spans="6:7" ht="21.95" customHeight="1" x14ac:dyDescent="0.25">
      <c r="F97" s="2"/>
      <c r="G97" s="2"/>
    </row>
  </sheetData>
  <sortState ref="A2:V97">
    <sortCondition descending="1" ref="I1"/>
  </sortState>
  <dataConsolidate/>
  <conditionalFormatting sqref="O70:O71 O1 O77:O1048576">
    <cfRule type="expression" dxfId="2237" priority="358">
      <formula>$O1=0</formula>
    </cfRule>
    <cfRule type="dataBar" priority="7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H12:I19 E21:E25 H6:I6 E2:E4 H21:I58 H2:I4">
    <cfRule type="expression" dxfId="2236" priority="314">
      <formula>$H2=0</formula>
    </cfRule>
  </conditionalFormatting>
  <conditionalFormatting sqref="J2:K4 J70:K71 J6:K6 J21:K58 J12:K19 J77:K200">
    <cfRule type="expression" dxfId="2235" priority="315">
      <formula>$J2=0</formula>
    </cfRule>
  </conditionalFormatting>
  <conditionalFormatting sqref="L70:L71 L1:L6 L77:L1048576 L8:L58">
    <cfRule type="expression" dxfId="2234" priority="313">
      <formula>$L2=0</formula>
    </cfRule>
  </conditionalFormatting>
  <conditionalFormatting sqref="M1">
    <cfRule type="expression" dxfId="2233" priority="309">
      <formula>$L2=0</formula>
    </cfRule>
  </conditionalFormatting>
  <conditionalFormatting sqref="J2:K4 J6:K6 J21:K58 J12:K19">
    <cfRule type="expression" dxfId="2232" priority="357">
      <formula>$J2&gt;0</formula>
    </cfRule>
  </conditionalFormatting>
  <conditionalFormatting sqref="L2:L6 L8:L58">
    <cfRule type="expression" dxfId="2231" priority="311">
      <formula>$L2&lt;0</formula>
    </cfRule>
    <cfRule type="expression" dxfId="2230" priority="312">
      <formula>$L2&gt;0</formula>
    </cfRule>
  </conditionalFormatting>
  <conditionalFormatting sqref="J2:K4 J70:K71 J6:K6 J21:K58 J12:K19 J77:K458">
    <cfRule type="expression" dxfId="2229" priority="356">
      <formula>$J2&lt;0</formula>
    </cfRule>
  </conditionalFormatting>
  <conditionalFormatting sqref="E59 H59:I59">
    <cfRule type="expression" dxfId="2228" priority="285">
      <formula>$H59=0</formula>
    </cfRule>
  </conditionalFormatting>
  <conditionalFormatting sqref="J59:K59">
    <cfRule type="expression" dxfId="2227" priority="286">
      <formula>$J59=0</formula>
    </cfRule>
  </conditionalFormatting>
  <conditionalFormatting sqref="L59">
    <cfRule type="expression" dxfId="2226" priority="284">
      <formula>$L60=0</formula>
    </cfRule>
  </conditionalFormatting>
  <conditionalFormatting sqref="J59:K59">
    <cfRule type="expression" dxfId="2225" priority="288">
      <formula>$J59&gt;0</formula>
    </cfRule>
  </conditionalFormatting>
  <conditionalFormatting sqref="L59">
    <cfRule type="expression" dxfId="2224" priority="282">
      <formula>$L59&lt;0</formula>
    </cfRule>
    <cfRule type="expression" dxfId="2223" priority="283">
      <formula>$L59&gt;0</formula>
    </cfRule>
  </conditionalFormatting>
  <conditionalFormatting sqref="J59:K59">
    <cfRule type="expression" dxfId="2222" priority="287">
      <formula>$J59&lt;0</formula>
    </cfRule>
  </conditionalFormatting>
  <conditionalFormatting sqref="E5 H5:I5">
    <cfRule type="expression" dxfId="2221" priority="263">
      <formula>$H5=0</formula>
    </cfRule>
  </conditionalFormatting>
  <conditionalFormatting sqref="J5:K5">
    <cfRule type="expression" dxfId="2220" priority="264">
      <formula>$J5=0</formula>
    </cfRule>
  </conditionalFormatting>
  <conditionalFormatting sqref="J5:K5">
    <cfRule type="expression" dxfId="2219" priority="266">
      <formula>$J5&gt;0</formula>
    </cfRule>
  </conditionalFormatting>
  <conditionalFormatting sqref="J5:K5">
    <cfRule type="expression" dxfId="2218" priority="265">
      <formula>$J5&lt;0</formula>
    </cfRule>
  </conditionalFormatting>
  <conditionalFormatting sqref="E60 H60:I60">
    <cfRule type="expression" dxfId="2217" priority="241">
      <formula>$H60=0</formula>
    </cfRule>
  </conditionalFormatting>
  <conditionalFormatting sqref="J60:K60">
    <cfRule type="expression" dxfId="2216" priority="242">
      <formula>$J60=0</formula>
    </cfRule>
  </conditionalFormatting>
  <conditionalFormatting sqref="L60">
    <cfRule type="expression" dxfId="2215" priority="240">
      <formula>$L61=0</formula>
    </cfRule>
  </conditionalFormatting>
  <conditionalFormatting sqref="J60:K60">
    <cfRule type="expression" dxfId="2214" priority="244">
      <formula>$J60&gt;0</formula>
    </cfRule>
  </conditionalFormatting>
  <conditionalFormatting sqref="L60">
    <cfRule type="expression" dxfId="2213" priority="238">
      <formula>$L60&lt;0</formula>
    </cfRule>
    <cfRule type="expression" dxfId="2212" priority="239">
      <formula>$L60&gt;0</formula>
    </cfRule>
  </conditionalFormatting>
  <conditionalFormatting sqref="J60:K60">
    <cfRule type="expression" dxfId="2211" priority="243">
      <formula>$J60&lt;0</formula>
    </cfRule>
  </conditionalFormatting>
  <conditionalFormatting sqref="E62 H62:I62">
    <cfRule type="expression" dxfId="2210" priority="230">
      <formula>$H62=0</formula>
    </cfRule>
  </conditionalFormatting>
  <conditionalFormatting sqref="J62:K62">
    <cfRule type="expression" dxfId="2209" priority="231">
      <formula>$J62=0</formula>
    </cfRule>
  </conditionalFormatting>
  <conditionalFormatting sqref="L62">
    <cfRule type="expression" dxfId="2208" priority="229">
      <formula>$L63=0</formula>
    </cfRule>
  </conditionalFormatting>
  <conditionalFormatting sqref="J62:K62">
    <cfRule type="expression" dxfId="2207" priority="233">
      <formula>$J62&gt;0</formula>
    </cfRule>
  </conditionalFormatting>
  <conditionalFormatting sqref="L62">
    <cfRule type="expression" dxfId="2206" priority="227">
      <formula>$L62&lt;0</formula>
    </cfRule>
    <cfRule type="expression" dxfId="2205" priority="228">
      <formula>$L62&gt;0</formula>
    </cfRule>
  </conditionalFormatting>
  <conditionalFormatting sqref="J62:K62">
    <cfRule type="expression" dxfId="2204" priority="232">
      <formula>$J62&lt;0</formula>
    </cfRule>
  </conditionalFormatting>
  <conditionalFormatting sqref="E61 H61:I61">
    <cfRule type="expression" dxfId="2203" priority="219">
      <formula>$H61=0</formula>
    </cfRule>
  </conditionalFormatting>
  <conditionalFormatting sqref="J61:K61">
    <cfRule type="expression" dxfId="2202" priority="220">
      <formula>$J61=0</formula>
    </cfRule>
  </conditionalFormatting>
  <conditionalFormatting sqref="L61">
    <cfRule type="expression" dxfId="2201" priority="218">
      <formula>$L62=0</formula>
    </cfRule>
  </conditionalFormatting>
  <conditionalFormatting sqref="J61:K61">
    <cfRule type="expression" dxfId="2200" priority="222">
      <formula>$J61&gt;0</formula>
    </cfRule>
  </conditionalFormatting>
  <conditionalFormatting sqref="L61">
    <cfRule type="expression" dxfId="2199" priority="216">
      <formula>$L61&lt;0</formula>
    </cfRule>
    <cfRule type="expression" dxfId="2198" priority="217">
      <formula>$L61&gt;0</formula>
    </cfRule>
  </conditionalFormatting>
  <conditionalFormatting sqref="J61:K61">
    <cfRule type="expression" dxfId="2197" priority="221">
      <formula>$J61&lt;0</formula>
    </cfRule>
  </conditionalFormatting>
  <conditionalFormatting sqref="E8 H8:I8">
    <cfRule type="expression" dxfId="2196" priority="204">
      <formula>$H8=0</formula>
    </cfRule>
  </conditionalFormatting>
  <conditionalFormatting sqref="J8:K8">
    <cfRule type="expression" dxfId="2195" priority="205">
      <formula>$J8=0</formula>
    </cfRule>
  </conditionalFormatting>
  <conditionalFormatting sqref="J8:K8">
    <cfRule type="expression" dxfId="2194" priority="207">
      <formula>$J8&gt;0</formula>
    </cfRule>
  </conditionalFormatting>
  <conditionalFormatting sqref="J8:K8">
    <cfRule type="expression" dxfId="2193" priority="206">
      <formula>$J8&lt;0</formula>
    </cfRule>
  </conditionalFormatting>
  <conditionalFormatting sqref="E63 H63:I63">
    <cfRule type="expression" dxfId="2192" priority="194">
      <formula>$H63=0</formula>
    </cfRule>
  </conditionalFormatting>
  <conditionalFormatting sqref="J63:K63">
    <cfRule type="expression" dxfId="2191" priority="195">
      <formula>$J63=0</formula>
    </cfRule>
  </conditionalFormatting>
  <conditionalFormatting sqref="L63">
    <cfRule type="expression" dxfId="2190" priority="193">
      <formula>$L64=0</formula>
    </cfRule>
  </conditionalFormatting>
  <conditionalFormatting sqref="J63:K63">
    <cfRule type="expression" dxfId="2189" priority="197">
      <formula>$J63&gt;0</formula>
    </cfRule>
  </conditionalFormatting>
  <conditionalFormatting sqref="L63">
    <cfRule type="expression" dxfId="2188" priority="191">
      <formula>$L63&lt;0</formula>
    </cfRule>
    <cfRule type="expression" dxfId="2187" priority="192">
      <formula>$L63&gt;0</formula>
    </cfRule>
  </conditionalFormatting>
  <conditionalFormatting sqref="J63:K63">
    <cfRule type="expression" dxfId="2186" priority="196">
      <formula>$J63&lt;0</formula>
    </cfRule>
  </conditionalFormatting>
  <conditionalFormatting sqref="E20 H20:I20">
    <cfRule type="expression" dxfId="2185" priority="184">
      <formula>$H20=0</formula>
    </cfRule>
  </conditionalFormatting>
  <conditionalFormatting sqref="J20:K20">
    <cfRule type="expression" dxfId="2184" priority="185">
      <formula>$J20=0</formula>
    </cfRule>
  </conditionalFormatting>
  <conditionalFormatting sqref="J20:K20">
    <cfRule type="expression" dxfId="2183" priority="187">
      <formula>$J20&gt;0</formula>
    </cfRule>
  </conditionalFormatting>
  <conditionalFormatting sqref="J20:K20">
    <cfRule type="expression" dxfId="2182" priority="186">
      <formula>$J20&lt;0</formula>
    </cfRule>
  </conditionalFormatting>
  <conditionalFormatting sqref="E64 H64:I64">
    <cfRule type="expression" dxfId="2181" priority="175">
      <formula>$H64=0</formula>
    </cfRule>
  </conditionalFormatting>
  <conditionalFormatting sqref="J64:K64">
    <cfRule type="expression" dxfId="2180" priority="176">
      <formula>$J64=0</formula>
    </cfRule>
  </conditionalFormatting>
  <conditionalFormatting sqref="L64">
    <cfRule type="expression" dxfId="2179" priority="174">
      <formula>$L65=0</formula>
    </cfRule>
  </conditionalFormatting>
  <conditionalFormatting sqref="J64:K64">
    <cfRule type="expression" dxfId="2178" priority="178">
      <formula>$J64&gt;0</formula>
    </cfRule>
  </conditionalFormatting>
  <conditionalFormatting sqref="L64">
    <cfRule type="expression" dxfId="2177" priority="172">
      <formula>$L64&lt;0</formula>
    </cfRule>
    <cfRule type="expression" dxfId="2176" priority="173">
      <formula>$L64&gt;0</formula>
    </cfRule>
  </conditionalFormatting>
  <conditionalFormatting sqref="J64:K64">
    <cfRule type="expression" dxfId="2175" priority="177">
      <formula>$J64&lt;0</formula>
    </cfRule>
  </conditionalFormatting>
  <conditionalFormatting sqref="E65 H65:I65">
    <cfRule type="expression" dxfId="2174" priority="168">
      <formula>$H65=0</formula>
    </cfRule>
  </conditionalFormatting>
  <conditionalFormatting sqref="J65:K65">
    <cfRule type="expression" dxfId="2173" priority="169">
      <formula>$J65=0</formula>
    </cfRule>
  </conditionalFormatting>
  <conditionalFormatting sqref="L65">
    <cfRule type="expression" dxfId="2172" priority="167">
      <formula>$L66=0</formula>
    </cfRule>
  </conditionalFormatting>
  <conditionalFormatting sqref="J65:K65">
    <cfRule type="expression" dxfId="2171" priority="171">
      <formula>$J65&gt;0</formula>
    </cfRule>
  </conditionalFormatting>
  <conditionalFormatting sqref="L65">
    <cfRule type="expression" dxfId="2170" priority="165">
      <formula>$L65&lt;0</formula>
    </cfRule>
    <cfRule type="expression" dxfId="2169" priority="166">
      <formula>$L65&gt;0</formula>
    </cfRule>
  </conditionalFormatting>
  <conditionalFormatting sqref="J65:K65">
    <cfRule type="expression" dxfId="2168" priority="170">
      <formula>$J65&lt;0</formula>
    </cfRule>
  </conditionalFormatting>
  <conditionalFormatting sqref="E11 H11:I11">
    <cfRule type="expression" dxfId="2167" priority="159">
      <formula>$H11=0</formula>
    </cfRule>
  </conditionalFormatting>
  <conditionalFormatting sqref="J11:K11">
    <cfRule type="expression" dxfId="2166" priority="160">
      <formula>$J11=0</formula>
    </cfRule>
  </conditionalFormatting>
  <conditionalFormatting sqref="J11:K11">
    <cfRule type="expression" dxfId="2165" priority="162">
      <formula>$J11&gt;0</formula>
    </cfRule>
  </conditionalFormatting>
  <conditionalFormatting sqref="J11:K11">
    <cfRule type="expression" dxfId="2164" priority="161">
      <formula>$J11&lt;0</formula>
    </cfRule>
  </conditionalFormatting>
  <conditionalFormatting sqref="E9 H9:I9">
    <cfRule type="expression" dxfId="2163" priority="152">
      <formula>$H9=0</formula>
    </cfRule>
  </conditionalFormatting>
  <conditionalFormatting sqref="J9:K9">
    <cfRule type="expression" dxfId="2162" priority="153">
      <formula>$J9=0</formula>
    </cfRule>
  </conditionalFormatting>
  <conditionalFormatting sqref="J9:K9">
    <cfRule type="expression" dxfId="2161" priority="155">
      <formula>$J9&gt;0</formula>
    </cfRule>
  </conditionalFormatting>
  <conditionalFormatting sqref="J9:K9">
    <cfRule type="expression" dxfId="2160" priority="154">
      <formula>$J9&lt;0</formula>
    </cfRule>
  </conditionalFormatting>
  <conditionalFormatting sqref="E66 H66:I66">
    <cfRule type="expression" dxfId="2159" priority="143">
      <formula>$H66=0</formula>
    </cfRule>
  </conditionalFormatting>
  <conditionalFormatting sqref="J66:K66">
    <cfRule type="expression" dxfId="2158" priority="144">
      <formula>$J66=0</formula>
    </cfRule>
  </conditionalFormatting>
  <conditionalFormatting sqref="L66">
    <cfRule type="expression" dxfId="2157" priority="142">
      <formula>$L67=0</formula>
    </cfRule>
  </conditionalFormatting>
  <conditionalFormatting sqref="J66:K66">
    <cfRule type="expression" dxfId="2156" priority="146">
      <formula>$J66&gt;0</formula>
    </cfRule>
  </conditionalFormatting>
  <conditionalFormatting sqref="L66">
    <cfRule type="expression" dxfId="2155" priority="140">
      <formula>$L66&lt;0</formula>
    </cfRule>
    <cfRule type="expression" dxfId="2154" priority="141">
      <formula>$L66&gt;0</formula>
    </cfRule>
  </conditionalFormatting>
  <conditionalFormatting sqref="J66:K66">
    <cfRule type="expression" dxfId="2153" priority="145">
      <formula>$J66&lt;0</formula>
    </cfRule>
  </conditionalFormatting>
  <conditionalFormatting sqref="O2:O6 O8:O66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{C2971D9D-BCA7-43F8-B5E6-CAFF4AADEC93}</x14:id>
        </ext>
      </extLst>
    </cfRule>
  </conditionalFormatting>
  <conditionalFormatting sqref="E10 H10:I10">
    <cfRule type="expression" dxfId="2152" priority="134">
      <formula>$H10=0</formula>
    </cfRule>
  </conditionalFormatting>
  <conditionalFormatting sqref="J10:K10">
    <cfRule type="expression" dxfId="2151" priority="135">
      <formula>$J10=0</formula>
    </cfRule>
  </conditionalFormatting>
  <conditionalFormatting sqref="J10:K10">
    <cfRule type="expression" dxfId="2150" priority="137">
      <formula>$J10&gt;0</formula>
    </cfRule>
  </conditionalFormatting>
  <conditionalFormatting sqref="J10:K10">
    <cfRule type="expression" dxfId="2149" priority="136">
      <formula>$J10&lt;0</formula>
    </cfRule>
  </conditionalFormatting>
  <conditionalFormatting sqref="E26:E28 E30 E45:E49 E36:E43">
    <cfRule type="expression" dxfId="2148" priority="130">
      <formula>$H26=0</formula>
    </cfRule>
  </conditionalFormatting>
  <conditionalFormatting sqref="E29">
    <cfRule type="expression" dxfId="2147" priority="129">
      <formula>$H29=0</formula>
    </cfRule>
  </conditionalFormatting>
  <conditionalFormatting sqref="E31">
    <cfRule type="expression" dxfId="2146" priority="128">
      <formula>$H31=0</formula>
    </cfRule>
  </conditionalFormatting>
  <conditionalFormatting sqref="E32">
    <cfRule type="expression" dxfId="2145" priority="127">
      <formula>$H32=0</formula>
    </cfRule>
  </conditionalFormatting>
  <conditionalFormatting sqref="E44">
    <cfRule type="expression" dxfId="2144" priority="126">
      <formula>$H44=0</formula>
    </cfRule>
  </conditionalFormatting>
  <conditionalFormatting sqref="E35">
    <cfRule type="expression" dxfId="2143" priority="125">
      <formula>$H35=0</formula>
    </cfRule>
  </conditionalFormatting>
  <conditionalFormatting sqref="E33">
    <cfRule type="expression" dxfId="2142" priority="124">
      <formula>$H33=0</formula>
    </cfRule>
  </conditionalFormatting>
  <conditionalFormatting sqref="E34">
    <cfRule type="expression" dxfId="2141" priority="123">
      <formula>$H34=0</formula>
    </cfRule>
  </conditionalFormatting>
  <conditionalFormatting sqref="E67 H67:I67">
    <cfRule type="expression" dxfId="2140" priority="119">
      <formula>$H67=0</formula>
    </cfRule>
  </conditionalFormatting>
  <conditionalFormatting sqref="J67:K67">
    <cfRule type="expression" dxfId="2139" priority="120">
      <formula>$J67=0</formula>
    </cfRule>
  </conditionalFormatting>
  <conditionalFormatting sqref="L67">
    <cfRule type="expression" dxfId="2138" priority="118">
      <formula>$L68=0</formula>
    </cfRule>
  </conditionalFormatting>
  <conditionalFormatting sqref="J67:K67">
    <cfRule type="expression" dxfId="2137" priority="122">
      <formula>$J67&gt;0</formula>
    </cfRule>
  </conditionalFormatting>
  <conditionalFormatting sqref="L67">
    <cfRule type="expression" dxfId="2136" priority="116">
      <formula>$L67&lt;0</formula>
    </cfRule>
    <cfRule type="expression" dxfId="2135" priority="117">
      <formula>$L67&gt;0</formula>
    </cfRule>
  </conditionalFormatting>
  <conditionalFormatting sqref="J67:K67">
    <cfRule type="expression" dxfId="2134" priority="121">
      <formula>$J67&lt;0</formula>
    </cfRule>
  </conditionalFormatting>
  <conditionalFormatting sqref="E69 H69:I69">
    <cfRule type="expression" dxfId="2133" priority="112">
      <formula>$H69=0</formula>
    </cfRule>
  </conditionalFormatting>
  <conditionalFormatting sqref="J69:K69">
    <cfRule type="expression" dxfId="2132" priority="113">
      <formula>$J69=0</formula>
    </cfRule>
  </conditionalFormatting>
  <conditionalFormatting sqref="L69">
    <cfRule type="expression" dxfId="2131" priority="111">
      <formula>$L70=0</formula>
    </cfRule>
  </conditionalFormatting>
  <conditionalFormatting sqref="J69:K69">
    <cfRule type="expression" dxfId="2130" priority="115">
      <formula>$J69&gt;0</formula>
    </cfRule>
  </conditionalFormatting>
  <conditionalFormatting sqref="L69">
    <cfRule type="expression" dxfId="2129" priority="109">
      <formula>$L69&lt;0</formula>
    </cfRule>
    <cfRule type="expression" dxfId="2128" priority="110">
      <formula>$L69&gt;0</formula>
    </cfRule>
  </conditionalFormatting>
  <conditionalFormatting sqref="J69:K69">
    <cfRule type="expression" dxfId="2127" priority="114">
      <formula>$J69&lt;0</formula>
    </cfRule>
  </conditionalFormatting>
  <conditionalFormatting sqref="E68 H68:I68">
    <cfRule type="expression" dxfId="2126" priority="105">
      <formula>$H68=0</formula>
    </cfRule>
  </conditionalFormatting>
  <conditionalFormatting sqref="J68:K68">
    <cfRule type="expression" dxfId="2125" priority="106">
      <formula>$J68=0</formula>
    </cfRule>
  </conditionalFormatting>
  <conditionalFormatting sqref="L68">
    <cfRule type="expression" dxfId="2124" priority="104">
      <formula>$L69=0</formula>
    </cfRule>
  </conditionalFormatting>
  <conditionalFormatting sqref="J68:K68">
    <cfRule type="expression" dxfId="2123" priority="108">
      <formula>$J68&gt;0</formula>
    </cfRule>
  </conditionalFormatting>
  <conditionalFormatting sqref="L68">
    <cfRule type="expression" dxfId="2122" priority="102">
      <formula>$L68&lt;0</formula>
    </cfRule>
    <cfRule type="expression" dxfId="2121" priority="103">
      <formula>$L68&gt;0</formula>
    </cfRule>
  </conditionalFormatting>
  <conditionalFormatting sqref="J68:K68">
    <cfRule type="expression" dxfId="2120" priority="107">
      <formula>$J68&lt;0</formula>
    </cfRule>
  </conditionalFormatting>
  <conditionalFormatting sqref="O67:O71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{954C95AB-18BD-4899-A5E7-E48FA9B1FA9B}</x14:id>
        </ext>
      </extLst>
    </cfRule>
  </conditionalFormatting>
  <conditionalFormatting sqref="E69 H69:I69">
    <cfRule type="expression" dxfId="2119" priority="97">
      <formula>$H69=0</formula>
    </cfRule>
  </conditionalFormatting>
  <conditionalFormatting sqref="J69:K69">
    <cfRule type="expression" dxfId="2118" priority="98">
      <formula>$J69=0</formula>
    </cfRule>
  </conditionalFormatting>
  <conditionalFormatting sqref="L69">
    <cfRule type="expression" dxfId="2117" priority="96">
      <formula>$L70=0</formula>
    </cfRule>
  </conditionalFormatting>
  <conditionalFormatting sqref="J69:K69">
    <cfRule type="expression" dxfId="2116" priority="100">
      <formula>$J69&gt;0</formula>
    </cfRule>
  </conditionalFormatting>
  <conditionalFormatting sqref="L69">
    <cfRule type="expression" dxfId="2115" priority="94">
      <formula>$L69&lt;0</formula>
    </cfRule>
    <cfRule type="expression" dxfId="2114" priority="95">
      <formula>$L69&gt;0</formula>
    </cfRule>
  </conditionalFormatting>
  <conditionalFormatting sqref="J69:K69">
    <cfRule type="expression" dxfId="2113" priority="99">
      <formula>$J69&lt;0</formula>
    </cfRule>
  </conditionalFormatting>
  <conditionalFormatting sqref="E71 H71:I71">
    <cfRule type="expression" dxfId="2112" priority="90">
      <formula>$H71=0</formula>
    </cfRule>
  </conditionalFormatting>
  <conditionalFormatting sqref="J71:K71">
    <cfRule type="expression" dxfId="2111" priority="91">
      <formula>$J71=0</formula>
    </cfRule>
  </conditionalFormatting>
  <conditionalFormatting sqref="L71">
    <cfRule type="expression" dxfId="2110" priority="89">
      <formula>$L72=0</formula>
    </cfRule>
  </conditionalFormatting>
  <conditionalFormatting sqref="J71:K71">
    <cfRule type="expression" dxfId="2109" priority="93">
      <formula>$J71&gt;0</formula>
    </cfRule>
  </conditionalFormatting>
  <conditionalFormatting sqref="L71">
    <cfRule type="expression" dxfId="2108" priority="87">
      <formula>$L71&lt;0</formula>
    </cfRule>
    <cfRule type="expression" dxfId="2107" priority="88">
      <formula>$L71&gt;0</formula>
    </cfRule>
  </conditionalFormatting>
  <conditionalFormatting sqref="J71:K71">
    <cfRule type="expression" dxfId="2106" priority="92">
      <formula>$J71&lt;0</formula>
    </cfRule>
  </conditionalFormatting>
  <conditionalFormatting sqref="E70 H70:I70">
    <cfRule type="expression" dxfId="2105" priority="83">
      <formula>$H70=0</formula>
    </cfRule>
  </conditionalFormatting>
  <conditionalFormatting sqref="J70:K70">
    <cfRule type="expression" dxfId="2104" priority="84">
      <formula>$J70=0</formula>
    </cfRule>
  </conditionalFormatting>
  <conditionalFormatting sqref="L70">
    <cfRule type="expression" dxfId="2103" priority="82">
      <formula>$L71=0</formula>
    </cfRule>
  </conditionalFormatting>
  <conditionalFormatting sqref="J70:K70">
    <cfRule type="expression" dxfId="2102" priority="86">
      <formula>$J70&gt;0</formula>
    </cfRule>
  </conditionalFormatting>
  <conditionalFormatting sqref="L70">
    <cfRule type="expression" dxfId="2101" priority="80">
      <formula>$L70&lt;0</formula>
    </cfRule>
    <cfRule type="expression" dxfId="2100" priority="81">
      <formula>$L70&gt;0</formula>
    </cfRule>
  </conditionalFormatting>
  <conditionalFormatting sqref="J70:K70">
    <cfRule type="expression" dxfId="2099" priority="85">
      <formula>$J70&lt;0</formula>
    </cfRule>
  </conditionalFormatting>
  <conditionalFormatting sqref="O73:O74">
    <cfRule type="expression" dxfId="2098" priority="74">
      <formula>$O73=0</formula>
    </cfRule>
    <cfRule type="dataBar" priority="7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{05586D31-635E-4D8B-B72F-2A81751E26AB}</x14:id>
        </ext>
      </extLst>
    </cfRule>
  </conditionalFormatting>
  <conditionalFormatting sqref="J73:K74">
    <cfRule type="expression" dxfId="2097" priority="72">
      <formula>$J73=0</formula>
    </cfRule>
  </conditionalFormatting>
  <conditionalFormatting sqref="L73:L74">
    <cfRule type="expression" dxfId="2096" priority="71">
      <formula>$L74=0</formula>
    </cfRule>
  </conditionalFormatting>
  <conditionalFormatting sqref="J73:K74">
    <cfRule type="expression" dxfId="2095" priority="73">
      <formula>$J73&lt;0</formula>
    </cfRule>
  </conditionalFormatting>
  <conditionalFormatting sqref="E72 H72:I72">
    <cfRule type="expression" dxfId="2094" priority="67">
      <formula>$H72=0</formula>
    </cfRule>
  </conditionalFormatting>
  <conditionalFormatting sqref="J72:K72">
    <cfRule type="expression" dxfId="2093" priority="68">
      <formula>$J72=0</formula>
    </cfRule>
  </conditionalFormatting>
  <conditionalFormatting sqref="L72">
    <cfRule type="expression" dxfId="2092" priority="66">
      <formula>$L73=0</formula>
    </cfRule>
  </conditionalFormatting>
  <conditionalFormatting sqref="J72:K72">
    <cfRule type="expression" dxfId="2091" priority="70">
      <formula>$J72&gt;0</formula>
    </cfRule>
  </conditionalFormatting>
  <conditionalFormatting sqref="L72">
    <cfRule type="expression" dxfId="2090" priority="64">
      <formula>$L72&lt;0</formula>
    </cfRule>
    <cfRule type="expression" dxfId="2089" priority="65">
      <formula>$L72&gt;0</formula>
    </cfRule>
  </conditionalFormatting>
  <conditionalFormatting sqref="J72:K72">
    <cfRule type="expression" dxfId="2088" priority="69">
      <formula>$J72&lt;0</formula>
    </cfRule>
  </conditionalFormatting>
  <conditionalFormatting sqref="O72:O74">
    <cfRule type="dataBar" priority="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{3A59D52D-9001-4CD1-A20A-4A1F7AEC8178}</x14:id>
        </ext>
      </extLst>
    </cfRule>
  </conditionalFormatting>
  <conditionalFormatting sqref="E72 H72:I72">
    <cfRule type="expression" dxfId="2087" priority="59">
      <formula>$H72=0</formula>
    </cfRule>
  </conditionalFormatting>
  <conditionalFormatting sqref="J72:K72">
    <cfRule type="expression" dxfId="2086" priority="60">
      <formula>$J72=0</formula>
    </cfRule>
  </conditionalFormatting>
  <conditionalFormatting sqref="L72">
    <cfRule type="expression" dxfId="2085" priority="58">
      <formula>$L73=0</formula>
    </cfRule>
  </conditionalFormatting>
  <conditionalFormatting sqref="J72:K72">
    <cfRule type="expression" dxfId="2084" priority="62">
      <formula>$J72&gt;0</formula>
    </cfRule>
  </conditionalFormatting>
  <conditionalFormatting sqref="L72">
    <cfRule type="expression" dxfId="2083" priority="56">
      <formula>$L72&lt;0</formula>
    </cfRule>
    <cfRule type="expression" dxfId="2082" priority="57">
      <formula>$L72&gt;0</formula>
    </cfRule>
  </conditionalFormatting>
  <conditionalFormatting sqref="J72:K72">
    <cfRule type="expression" dxfId="2081" priority="61">
      <formula>$J72&lt;0</formula>
    </cfRule>
  </conditionalFormatting>
  <conditionalFormatting sqref="E74 H74:I74">
    <cfRule type="expression" dxfId="2080" priority="52">
      <formula>$H74=0</formula>
    </cfRule>
  </conditionalFormatting>
  <conditionalFormatting sqref="J74:K74">
    <cfRule type="expression" dxfId="2079" priority="53">
      <formula>$J74=0</formula>
    </cfRule>
  </conditionalFormatting>
  <conditionalFormatting sqref="L74">
    <cfRule type="expression" dxfId="2078" priority="51">
      <formula>$L75=0</formula>
    </cfRule>
  </conditionalFormatting>
  <conditionalFormatting sqref="J74:K74">
    <cfRule type="expression" dxfId="2077" priority="55">
      <formula>$J74&gt;0</formula>
    </cfRule>
  </conditionalFormatting>
  <conditionalFormatting sqref="L74">
    <cfRule type="expression" dxfId="2076" priority="49">
      <formula>$L74&lt;0</formula>
    </cfRule>
    <cfRule type="expression" dxfId="2075" priority="50">
      <formula>$L74&gt;0</formula>
    </cfRule>
  </conditionalFormatting>
  <conditionalFormatting sqref="J74:K74">
    <cfRule type="expression" dxfId="2074" priority="54">
      <formula>$J74&lt;0</formula>
    </cfRule>
  </conditionalFormatting>
  <conditionalFormatting sqref="E73 H73:I73">
    <cfRule type="expression" dxfId="2073" priority="45">
      <formula>$H73=0</formula>
    </cfRule>
  </conditionalFormatting>
  <conditionalFormatting sqref="J73:K73">
    <cfRule type="expression" dxfId="2072" priority="46">
      <formula>$J73=0</formula>
    </cfRule>
  </conditionalFormatting>
  <conditionalFormatting sqref="L73">
    <cfRule type="expression" dxfId="2071" priority="44">
      <formula>$L74=0</formula>
    </cfRule>
  </conditionalFormatting>
  <conditionalFormatting sqref="J73:K73">
    <cfRule type="expression" dxfId="2070" priority="48">
      <formula>$J73&gt;0</formula>
    </cfRule>
  </conditionalFormatting>
  <conditionalFormatting sqref="L73">
    <cfRule type="expression" dxfId="2069" priority="42">
      <formula>$L73&lt;0</formula>
    </cfRule>
    <cfRule type="expression" dxfId="2068" priority="43">
      <formula>$L73&gt;0</formula>
    </cfRule>
  </conditionalFormatting>
  <conditionalFormatting sqref="J73:K73">
    <cfRule type="expression" dxfId="2067" priority="47">
      <formula>$J73&lt;0</formula>
    </cfRule>
  </conditionalFormatting>
  <conditionalFormatting sqref="O75">
    <cfRule type="expression" dxfId="2066" priority="36">
      <formula>$O75=0</formula>
    </cfRule>
    <cfRule type="dataBar" priority="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{A51B3044-4443-40F4-9245-1C90C45583DD}</x14:id>
        </ext>
      </extLst>
    </cfRule>
  </conditionalFormatting>
  <conditionalFormatting sqref="J75:K75">
    <cfRule type="expression" dxfId="2065" priority="34">
      <formula>$J75=0</formula>
    </cfRule>
  </conditionalFormatting>
  <conditionalFormatting sqref="L75">
    <cfRule type="expression" dxfId="2064" priority="33">
      <formula>$L76=0</formula>
    </cfRule>
  </conditionalFormatting>
  <conditionalFormatting sqref="J75:K75">
    <cfRule type="expression" dxfId="2063" priority="35">
      <formula>$J75&lt;0</formula>
    </cfRule>
  </conditionalFormatting>
  <conditionalFormatting sqref="O75">
    <cfRule type="dataBar" priority="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{95BBF2E6-78E0-4B14-97B7-E0A0D72919CB}</x14:id>
        </ext>
      </extLst>
    </cfRule>
  </conditionalFormatting>
  <conditionalFormatting sqref="E75 H75:I75">
    <cfRule type="expression" dxfId="2062" priority="28">
      <formula>$H75=0</formula>
    </cfRule>
  </conditionalFormatting>
  <conditionalFormatting sqref="J75:K75">
    <cfRule type="expression" dxfId="2061" priority="29">
      <formula>$J75=0</formula>
    </cfRule>
  </conditionalFormatting>
  <conditionalFormatting sqref="L75">
    <cfRule type="expression" dxfId="2060" priority="27">
      <formula>$L76=0</formula>
    </cfRule>
  </conditionalFormatting>
  <conditionalFormatting sqref="J75:K75">
    <cfRule type="expression" dxfId="2059" priority="31">
      <formula>$J75&gt;0</formula>
    </cfRule>
  </conditionalFormatting>
  <conditionalFormatting sqref="L75">
    <cfRule type="expression" dxfId="2058" priority="25">
      <formula>$L75&lt;0</formula>
    </cfRule>
    <cfRule type="expression" dxfId="2057" priority="26">
      <formula>$L75&gt;0</formula>
    </cfRule>
  </conditionalFormatting>
  <conditionalFormatting sqref="J75:K75">
    <cfRule type="expression" dxfId="2056" priority="30">
      <formula>$J75&lt;0</formula>
    </cfRule>
  </conditionalFormatting>
  <conditionalFormatting sqref="E7 H7:I7">
    <cfRule type="expression" dxfId="2055" priority="20">
      <formula>$H7=0</formula>
    </cfRule>
  </conditionalFormatting>
  <conditionalFormatting sqref="J7:K7">
    <cfRule type="expression" dxfId="2054" priority="21">
      <formula>$J7=0</formula>
    </cfRule>
  </conditionalFormatting>
  <conditionalFormatting sqref="L7">
    <cfRule type="expression" dxfId="2053" priority="19">
      <formula>$L8=0</formula>
    </cfRule>
  </conditionalFormatting>
  <conditionalFormatting sqref="J7:K7">
    <cfRule type="expression" dxfId="2052" priority="23">
      <formula>$J7&gt;0</formula>
    </cfRule>
  </conditionalFormatting>
  <conditionalFormatting sqref="L7">
    <cfRule type="expression" dxfId="2051" priority="17">
      <formula>$L7&lt;0</formula>
    </cfRule>
    <cfRule type="expression" dxfId="2050" priority="18">
      <formula>$L7&gt;0</formula>
    </cfRule>
  </conditionalFormatting>
  <conditionalFormatting sqref="J7:K7">
    <cfRule type="expression" dxfId="2049" priority="22">
      <formula>$J7&lt;0</formula>
    </cfRule>
  </conditionalFormatting>
  <conditionalFormatting sqref="O7">
    <cfRule type="dataBar" priority="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{7CD927C7-96EF-44F5-A708-EDAB33C229C8}</x14:id>
        </ext>
      </extLst>
    </cfRule>
  </conditionalFormatting>
  <conditionalFormatting sqref="P2:P1048576"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O76">
    <cfRule type="expression" dxfId="2048" priority="12">
      <formula>$O76=0</formula>
    </cfRule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{0A191A54-6462-4A53-8999-292FABB4B1C2}</x14:id>
        </ext>
      </extLst>
    </cfRule>
  </conditionalFormatting>
  <conditionalFormatting sqref="J76:K76">
    <cfRule type="expression" dxfId="2047" priority="10">
      <formula>$J76=0</formula>
    </cfRule>
  </conditionalFormatting>
  <conditionalFormatting sqref="L76">
    <cfRule type="expression" dxfId="2046" priority="9">
      <formula>$L77=0</formula>
    </cfRule>
  </conditionalFormatting>
  <conditionalFormatting sqref="J76:K76">
    <cfRule type="expression" dxfId="2045" priority="11">
      <formula>$J76&lt;0</formula>
    </cfRule>
  </conditionalFormatting>
  <conditionalFormatting sqref="O76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{97CA6390-B230-4B24-8F1A-A802BE2AA6B2}</x14:id>
        </ext>
      </extLst>
    </cfRule>
  </conditionalFormatting>
  <conditionalFormatting sqref="E76 H76:I76">
    <cfRule type="expression" dxfId="2044" priority="4">
      <formula>$H76=0</formula>
    </cfRule>
  </conditionalFormatting>
  <conditionalFormatting sqref="J76:K76">
    <cfRule type="expression" dxfId="2043" priority="5">
      <formula>$J76=0</formula>
    </cfRule>
  </conditionalFormatting>
  <conditionalFormatting sqref="L76">
    <cfRule type="expression" dxfId="2042" priority="3">
      <formula>$L77=0</formula>
    </cfRule>
  </conditionalFormatting>
  <conditionalFormatting sqref="J76:K76">
    <cfRule type="expression" dxfId="2041" priority="7">
      <formula>$J76&gt;0</formula>
    </cfRule>
  </conditionalFormatting>
  <conditionalFormatting sqref="L76">
    <cfRule type="expression" dxfId="2040" priority="1">
      <formula>$L76&lt;0</formula>
    </cfRule>
    <cfRule type="expression" dxfId="2039" priority="2">
      <formula>$L76&gt;0</formula>
    </cfRule>
  </conditionalFormatting>
  <conditionalFormatting sqref="J76:K76">
    <cfRule type="expression" dxfId="2038" priority="6">
      <formula>$J76&lt;0</formula>
    </cfRule>
  </conditionalFormatting>
  <hyperlinks>
    <hyperlink ref="E29" location="BIIB!A1" display="BIIB"/>
    <hyperlink ref="E30" location="MYL!A1" display="MYL"/>
    <hyperlink ref="E11" location="SIG!A1" display="SIG"/>
    <hyperlink ref="E31" location="AAPL!A1" display="AAPL"/>
    <hyperlink ref="E32" location="AXP!A1" display="AXP"/>
    <hyperlink ref="E33" location="DG!A1" display="DG"/>
    <hyperlink ref="E34" location="PINC!A1" display="PINC"/>
    <hyperlink ref="E35" location="FOXA!A1" display="FOXA"/>
    <hyperlink ref="E12" location="AOBC!A1" display="AOBC"/>
    <hyperlink ref="E36" location="LUV!A1" display="LUV"/>
    <hyperlink ref="E37" location="CCE!A1" display="CCE"/>
    <hyperlink ref="E38" location="BMY!A1" display="BMY"/>
    <hyperlink ref="E39" location="GPS!A1" display="GPS"/>
    <hyperlink ref="E40" location="AKAM!A1" display="AKAM"/>
    <hyperlink ref="E41" location="ARNC!A1" display="ARNC"/>
    <hyperlink ref="E42" location="CVS!A1" display="CVS"/>
    <hyperlink ref="E43" location="ADBE!A1" display="ADBE"/>
    <hyperlink ref="E2" location="MRO!A1" display="MRO"/>
    <hyperlink ref="E24" location="GE!A1" display="GE"/>
    <hyperlink ref="E3" location="KR!A1" display="KR"/>
    <hyperlink ref="E44" location="F!A1" display="F"/>
    <hyperlink ref="E45" location="JNJ!A1" display="JNJ"/>
    <hyperlink ref="E8" location="ULTA!A1" display="ULTA"/>
    <hyperlink ref="E17" location="FRC!A1" display="FRC"/>
    <hyperlink ref="E18" location="AAP!A1" display="AAP"/>
    <hyperlink ref="E21" location="T!A1" display="T"/>
    <hyperlink ref="E26" location="COST!A1" display="COST"/>
    <hyperlink ref="E46" location="CPN!A1" display="CPN"/>
    <hyperlink ref="E47" location="EW!A1" display="EW"/>
    <hyperlink ref="E48" location="TJX!A1" display="TJX"/>
    <hyperlink ref="E10" location="WBA!A1" display="WBA"/>
    <hyperlink ref="E49" location="AZO!A1" display="AZO"/>
    <hyperlink ref="E15" location="KBWY!A1" display="KBWY"/>
    <hyperlink ref="E25" location="AYI!A1" display="AYI"/>
    <hyperlink ref="E6" location="DIA!A1" display="DIA"/>
    <hyperlink ref="E27" location="ICE!A1" display="ICE"/>
    <hyperlink ref="E50" location="NKE!A1" display="NKE"/>
    <hyperlink ref="E4" location="MOS!A1" display="MOS"/>
    <hyperlink ref="E51" location="VGK!A1" display="VGK"/>
    <hyperlink ref="E28" location="CMG!A1" display="CMG"/>
    <hyperlink ref="E22" location="HAS!A1" display="HAS"/>
    <hyperlink ref="E13" location="HSIC!A1" display="HSIC"/>
    <hyperlink ref="E7" location="PDCO!A1" display="PDCO"/>
    <hyperlink ref="E52" location="MU!A1" display="MU"/>
    <hyperlink ref="E53" location="IP!A1" display="IP"/>
    <hyperlink ref="E54" location="INTC!A1" display="INTC"/>
    <hyperlink ref="E55" location="HES!A1" display="HES"/>
    <hyperlink ref="E56" location="UNP!A1" display="UNP"/>
    <hyperlink ref="E57" location="NCLH!A1" display="NCLH"/>
    <hyperlink ref="E5" location="SPY!A1" display="SPY"/>
    <hyperlink ref="E58" location="SWKS!A1" display="SWKS"/>
    <hyperlink ref="E59" location="CNI!A1" display="CNI"/>
    <hyperlink ref="E14" location="WFC!A1" display="WFC"/>
    <hyperlink ref="E60" location="AA!A1" display="AA"/>
    <hyperlink ref="E61" location="CF!A1" display="CF"/>
    <hyperlink ref="E62" location="TGT!A1" display="TGT"/>
    <hyperlink ref="E9" location="NWL!A1" display="NWL"/>
    <hyperlink ref="E63" location="KORS!A1" display="KORS"/>
    <hyperlink ref="E64" location="ALL!A1" display="ALL"/>
    <hyperlink ref="E65" location="NSC!A1" display="NSC"/>
    <hyperlink ref="E66" location="AVGO!A1" display="AVGO"/>
    <hyperlink ref="E67" location="UAL!A1" display="UAL"/>
    <hyperlink ref="E68" location="CAH!A1" display="CAH"/>
    <hyperlink ref="E19" location="DAL!A1" display="DAL"/>
    <hyperlink ref="E20" location="TEVA!A1" display="TEVA"/>
    <hyperlink ref="E69" location="DIS!A1" display="DIS"/>
    <hyperlink ref="E70" location="FTR!A1" display="FTR"/>
    <hyperlink ref="E23" location="GILD!A1" display="GILD"/>
    <hyperlink ref="E71" location="WWD!A1" display="WWD"/>
    <hyperlink ref="E16" location="GIS!A1" display="GIS"/>
    <hyperlink ref="E72" location="GM!A1" display="GM"/>
    <hyperlink ref="E73" location="TMO!A1" display="TMO"/>
    <hyperlink ref="E74" location="TKR!A1" display="TKR"/>
    <hyperlink ref="E75" location="UTX!A1" display="UTX"/>
    <hyperlink ref="E7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O70:O71 O1 O77:O1048576</xm:sqref>
        </x14:conditionalFormatting>
        <x14:conditionalFormatting xmlns:xm="http://schemas.microsoft.com/office/excel/2006/main">
          <x14:cfRule type="dataBar" id="{C2971D9D-BCA7-43F8-B5E6-CAFF4AADEC9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O2:O6 O8:O66</xm:sqref>
        </x14:conditionalFormatting>
        <x14:conditionalFormatting xmlns:xm="http://schemas.microsoft.com/office/excel/2006/main">
          <x14:cfRule type="dataBar" id="{954C95AB-18BD-4899-A5E7-E48FA9B1FA9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O67:O71</xm:sqref>
        </x14:conditionalFormatting>
        <x14:conditionalFormatting xmlns:xm="http://schemas.microsoft.com/office/excel/2006/main">
          <x14:cfRule type="dataBar" id="{05586D31-635E-4D8B-B72F-2A81751E26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O73:O74</xm:sqref>
        </x14:conditionalFormatting>
        <x14:conditionalFormatting xmlns:xm="http://schemas.microsoft.com/office/excel/2006/main">
          <x14:cfRule type="dataBar" id="{3A59D52D-9001-4CD1-A20A-4A1F7AEC817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O72:O74</xm:sqref>
        </x14:conditionalFormatting>
        <x14:conditionalFormatting xmlns:xm="http://schemas.microsoft.com/office/excel/2006/main">
          <x14:cfRule type="dataBar" id="{A51B3044-4443-40F4-9245-1C90C45583D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95BBF2E6-78E0-4B14-97B7-E0A0D72919C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O75</xm:sqref>
        </x14:conditionalFormatting>
        <x14:conditionalFormatting xmlns:xm="http://schemas.microsoft.com/office/excel/2006/main">
          <x14:cfRule type="dataBar" id="{7CD927C7-96EF-44F5-A708-EDAB33C229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P2:P1048576</xm:sqref>
        </x14:conditionalFormatting>
        <x14:conditionalFormatting xmlns:xm="http://schemas.microsoft.com/office/excel/2006/main">
          <x14:cfRule type="dataBar" id="{0A191A54-6462-4A53-8999-292FABB4B1C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  <x14:conditionalFormatting xmlns:xm="http://schemas.microsoft.com/office/excel/2006/main">
          <x14:cfRule type="dataBar" id="{97CA6390-B230-4B24-8F1A-A802BE2AA6B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topLeftCell="C1" workbookViewId="0">
      <pane ySplit="1" topLeftCell="A259" activePane="bottomLeft" state="frozen"/>
      <selection activeCell="E5" sqref="E5"/>
      <selection pane="bottomLeft" activeCell="U286" sqref="U286"/>
    </sheetView>
  </sheetViews>
  <sheetFormatPr defaultColWidth="9.140625" defaultRowHeight="18" customHeight="1" x14ac:dyDescent="0.25"/>
  <cols>
    <col min="1" max="1" width="9.5703125" style="280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4" t="s">
        <v>1</v>
      </c>
      <c r="B1" s="305" t="s">
        <v>2</v>
      </c>
      <c r="C1" s="306" t="s">
        <v>4</v>
      </c>
      <c r="D1" s="305" t="s">
        <v>5</v>
      </c>
      <c r="E1" s="305" t="s">
        <v>94</v>
      </c>
      <c r="F1" s="307" t="s">
        <v>60</v>
      </c>
      <c r="G1" s="305" t="s">
        <v>3</v>
      </c>
      <c r="H1" s="306" t="s">
        <v>6</v>
      </c>
      <c r="I1" s="305" t="s">
        <v>7</v>
      </c>
      <c r="J1" s="306" t="s">
        <v>95</v>
      </c>
      <c r="K1" s="307" t="s">
        <v>61</v>
      </c>
      <c r="L1" s="305" t="s">
        <v>77</v>
      </c>
      <c r="M1" s="307" t="s">
        <v>38</v>
      </c>
      <c r="N1" s="306" t="s">
        <v>59</v>
      </c>
      <c r="O1" s="306" t="s">
        <v>76</v>
      </c>
      <c r="P1" s="23" t="s">
        <v>132</v>
      </c>
    </row>
    <row r="2" spans="1:17" ht="18" customHeight="1" x14ac:dyDescent="0.25">
      <c r="A2" s="293" t="s">
        <v>12</v>
      </c>
      <c r="B2" s="294">
        <v>42151</v>
      </c>
      <c r="C2" s="295">
        <v>5</v>
      </c>
      <c r="D2" s="296">
        <v>42.7</v>
      </c>
      <c r="E2" s="297"/>
      <c r="F2" s="296">
        <f>C2*D2</f>
        <v>213.5</v>
      </c>
      <c r="G2" s="294">
        <v>42181</v>
      </c>
      <c r="H2" s="295">
        <v>5</v>
      </c>
      <c r="I2" s="296">
        <v>43.35</v>
      </c>
      <c r="J2" s="295">
        <v>0.01</v>
      </c>
      <c r="K2" s="296">
        <f>H2*I2-J2</f>
        <v>216.74</v>
      </c>
      <c r="L2" s="297"/>
      <c r="M2" s="296"/>
      <c r="N2" s="296"/>
      <c r="O2" s="298"/>
    </row>
    <row r="3" spans="1:17" ht="18" customHeight="1" x14ac:dyDescent="0.25">
      <c r="A3" s="750" t="s">
        <v>71</v>
      </c>
      <c r="B3" s="294">
        <v>42153</v>
      </c>
      <c r="C3" s="295">
        <v>25</v>
      </c>
      <c r="D3" s="296">
        <v>41.6</v>
      </c>
      <c r="E3" s="297"/>
      <c r="F3" s="296">
        <f>C3*D3</f>
        <v>1040</v>
      </c>
      <c r="G3" s="294">
        <v>42200</v>
      </c>
      <c r="H3" s="295">
        <v>10</v>
      </c>
      <c r="I3" s="296">
        <v>41.64</v>
      </c>
      <c r="J3" s="295">
        <v>0.01</v>
      </c>
      <c r="K3" s="296">
        <f>H3*I3-J3</f>
        <v>416.39</v>
      </c>
      <c r="L3" s="297"/>
      <c r="M3" s="296"/>
      <c r="N3" s="296"/>
      <c r="O3" s="298"/>
    </row>
    <row r="4" spans="1:17" ht="18" customHeight="1" x14ac:dyDescent="0.25">
      <c r="A4" s="293"/>
      <c r="B4" s="294">
        <v>42166</v>
      </c>
      <c r="C4" s="295">
        <v>10</v>
      </c>
      <c r="D4" s="296">
        <v>40</v>
      </c>
      <c r="E4" s="297"/>
      <c r="F4" s="296">
        <f>C4*D4</f>
        <v>400</v>
      </c>
      <c r="G4" s="294">
        <v>42201</v>
      </c>
      <c r="H4" s="295">
        <v>125</v>
      </c>
      <c r="I4" s="296">
        <v>42.6</v>
      </c>
      <c r="J4" s="295">
        <v>0.1</v>
      </c>
      <c r="K4" s="296">
        <f>H4*I4-J4</f>
        <v>5324.9</v>
      </c>
      <c r="L4" s="297"/>
      <c r="M4" s="296"/>
      <c r="N4" s="296"/>
      <c r="O4" s="298"/>
      <c r="Q4" s="149"/>
    </row>
    <row r="5" spans="1:17" ht="18" customHeight="1" x14ac:dyDescent="0.25">
      <c r="A5" s="293"/>
      <c r="B5" s="294">
        <v>42166</v>
      </c>
      <c r="C5" s="295">
        <v>100</v>
      </c>
      <c r="D5" s="296">
        <v>39.799999999999997</v>
      </c>
      <c r="E5" s="297"/>
      <c r="F5" s="296">
        <f>C5*D5</f>
        <v>3979.9999999999995</v>
      </c>
      <c r="G5" s="297"/>
      <c r="H5" s="295"/>
      <c r="I5" s="296"/>
      <c r="J5" s="295"/>
      <c r="K5" s="296"/>
      <c r="L5" s="297"/>
      <c r="M5" s="296"/>
      <c r="N5" s="296"/>
      <c r="O5" s="298"/>
    </row>
    <row r="6" spans="1:17" ht="17.25" customHeight="1" x14ac:dyDescent="0.25">
      <c r="A6" s="293"/>
      <c r="B6" s="299"/>
      <c r="C6" s="300">
        <f>SUM(C2:C5)</f>
        <v>140</v>
      </c>
      <c r="D6" s="301"/>
      <c r="E6" s="302"/>
      <c r="F6" s="301">
        <f>SUM(F2:F5)</f>
        <v>5633.5</v>
      </c>
      <c r="G6" s="302"/>
      <c r="H6" s="300">
        <f>SUM(H2:H5)</f>
        <v>140</v>
      </c>
      <c r="I6" s="301"/>
      <c r="J6" s="300"/>
      <c r="K6" s="301">
        <f>SUM(K2:K5)</f>
        <v>5958.03</v>
      </c>
      <c r="L6" s="302"/>
      <c r="M6" s="301"/>
      <c r="N6" s="301">
        <f>K6-F6</f>
        <v>324.52999999999975</v>
      </c>
      <c r="O6" s="303">
        <f>(N6+M6)/F6</f>
        <v>5.7607171385461925E-2</v>
      </c>
      <c r="P6" s="139" t="s">
        <v>133</v>
      </c>
    </row>
    <row r="7" spans="1:17" ht="17.25" customHeight="1" x14ac:dyDescent="0.25">
      <c r="A7" s="281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82" t="s">
        <v>18</v>
      </c>
      <c r="B8" s="283">
        <v>42153</v>
      </c>
      <c r="C8" s="284">
        <v>50</v>
      </c>
      <c r="D8" s="285">
        <v>36.4</v>
      </c>
      <c r="E8" s="285">
        <v>0</v>
      </c>
      <c r="F8" s="285">
        <f t="shared" ref="F8:F15" si="0">C8*D8</f>
        <v>1820</v>
      </c>
      <c r="G8" s="283">
        <v>42333</v>
      </c>
      <c r="H8" s="286">
        <v>80</v>
      </c>
      <c r="I8" s="285">
        <v>8.7200000000000006</v>
      </c>
      <c r="J8" s="285">
        <v>0.01</v>
      </c>
      <c r="K8" s="285">
        <f>I8*H8-J8</f>
        <v>697.59</v>
      </c>
      <c r="L8" s="284"/>
      <c r="M8" s="284"/>
      <c r="N8" s="284"/>
      <c r="O8" s="287"/>
      <c r="P8" s="4"/>
      <c r="Q8" s="180"/>
    </row>
    <row r="9" spans="1:17" ht="17.25" customHeight="1" x14ac:dyDescent="0.25">
      <c r="A9" s="288"/>
      <c r="B9" s="283">
        <v>42173</v>
      </c>
      <c r="C9" s="284">
        <v>5</v>
      </c>
      <c r="D9" s="285">
        <v>22.95</v>
      </c>
      <c r="E9" s="285">
        <v>0</v>
      </c>
      <c r="F9" s="285">
        <f t="shared" si="0"/>
        <v>114.75</v>
      </c>
      <c r="G9" s="283">
        <v>42335</v>
      </c>
      <c r="H9" s="286">
        <v>80</v>
      </c>
      <c r="I9" s="285">
        <v>8.98</v>
      </c>
      <c r="J9" s="285">
        <v>0.01</v>
      </c>
      <c r="K9" s="285">
        <f>I9*H9-J9</f>
        <v>718.3900000000001</v>
      </c>
      <c r="L9" s="284"/>
      <c r="M9" s="284"/>
      <c r="N9" s="284"/>
      <c r="O9" s="287"/>
      <c r="P9" s="4"/>
      <c r="Q9" s="3"/>
    </row>
    <row r="10" spans="1:17" ht="17.25" customHeight="1" x14ac:dyDescent="0.25">
      <c r="A10" s="289"/>
      <c r="B10" s="283">
        <v>42173</v>
      </c>
      <c r="C10" s="284">
        <v>10</v>
      </c>
      <c r="D10" s="285">
        <v>22.8</v>
      </c>
      <c r="E10" s="285">
        <v>0</v>
      </c>
      <c r="F10" s="285">
        <f t="shared" si="0"/>
        <v>228</v>
      </c>
      <c r="G10" s="283">
        <v>42362</v>
      </c>
      <c r="H10" s="286">
        <v>80</v>
      </c>
      <c r="I10" s="285">
        <v>9.4499999999999993</v>
      </c>
      <c r="J10" s="285">
        <v>0.01</v>
      </c>
      <c r="K10" s="285">
        <f>I10*H10-J10</f>
        <v>755.99</v>
      </c>
      <c r="L10" s="284"/>
      <c r="M10" s="284"/>
      <c r="N10" s="284"/>
      <c r="O10" s="287"/>
      <c r="P10" s="4"/>
      <c r="Q10" s="278"/>
    </row>
    <row r="11" spans="1:17" ht="18" customHeight="1" x14ac:dyDescent="0.25">
      <c r="A11" s="289"/>
      <c r="B11" s="283">
        <v>42234</v>
      </c>
      <c r="C11" s="284">
        <v>15</v>
      </c>
      <c r="D11" s="285">
        <v>13.9</v>
      </c>
      <c r="E11" s="285">
        <v>0</v>
      </c>
      <c r="F11" s="285">
        <f t="shared" si="0"/>
        <v>208.5</v>
      </c>
      <c r="G11" s="283">
        <v>42398</v>
      </c>
      <c r="H11" s="286">
        <v>3</v>
      </c>
      <c r="I11" s="285">
        <v>5.81</v>
      </c>
      <c r="J11" s="285">
        <v>0.01</v>
      </c>
      <c r="K11" s="285">
        <f>I11*H11-J11</f>
        <v>17.419999999999998</v>
      </c>
      <c r="L11" s="284"/>
      <c r="M11" s="284"/>
      <c r="N11" s="284"/>
      <c r="O11" s="287"/>
      <c r="P11" s="4"/>
      <c r="Q11" s="3"/>
    </row>
    <row r="12" spans="1:17" ht="18" customHeight="1" x14ac:dyDescent="0.25">
      <c r="A12" s="289"/>
      <c r="B12" s="803">
        <v>42328</v>
      </c>
      <c r="C12" s="284">
        <v>1</v>
      </c>
      <c r="D12" s="285">
        <v>8.59</v>
      </c>
      <c r="E12" s="285">
        <v>0</v>
      </c>
      <c r="F12" s="285">
        <f t="shared" si="0"/>
        <v>8.59</v>
      </c>
      <c r="G12" s="284"/>
      <c r="H12" s="286"/>
      <c r="I12" s="285"/>
      <c r="J12" s="285"/>
      <c r="K12" s="285"/>
      <c r="L12" s="284"/>
      <c r="M12" s="284"/>
      <c r="N12" s="284"/>
      <c r="O12" s="287"/>
      <c r="P12" s="4"/>
      <c r="Q12" s="3"/>
    </row>
    <row r="13" spans="1:17" ht="18" customHeight="1" x14ac:dyDescent="0.25">
      <c r="A13" s="289"/>
      <c r="B13" s="803"/>
      <c r="C13" s="284">
        <v>80</v>
      </c>
      <c r="D13" s="285">
        <v>8.59</v>
      </c>
      <c r="E13" s="285">
        <v>0</v>
      </c>
      <c r="F13" s="285">
        <f t="shared" si="0"/>
        <v>687.2</v>
      </c>
      <c r="G13" s="284"/>
      <c r="H13" s="286"/>
      <c r="I13" s="285"/>
      <c r="J13" s="285"/>
      <c r="K13" s="285"/>
      <c r="L13" s="284"/>
      <c r="M13" s="284"/>
      <c r="N13" s="284"/>
      <c r="O13" s="287"/>
      <c r="P13" s="4"/>
      <c r="Q13" s="3"/>
    </row>
    <row r="14" spans="1:17" ht="18" customHeight="1" x14ac:dyDescent="0.25">
      <c r="A14" s="289"/>
      <c r="B14" s="803">
        <v>42354</v>
      </c>
      <c r="C14" s="284">
        <v>2</v>
      </c>
      <c r="D14" s="285">
        <v>8.73</v>
      </c>
      <c r="E14" s="285">
        <v>0</v>
      </c>
      <c r="F14" s="285">
        <f t="shared" si="0"/>
        <v>17.46</v>
      </c>
      <c r="G14" s="284"/>
      <c r="H14" s="286"/>
      <c r="I14" s="285"/>
      <c r="J14" s="285"/>
      <c r="K14" s="285"/>
      <c r="L14" s="284"/>
      <c r="M14" s="284"/>
      <c r="N14" s="284"/>
      <c r="O14" s="287"/>
      <c r="P14" s="4"/>
      <c r="Q14" s="279"/>
    </row>
    <row r="15" spans="1:17" ht="18" customHeight="1" x14ac:dyDescent="0.25">
      <c r="A15" s="289"/>
      <c r="B15" s="803"/>
      <c r="C15" s="284">
        <v>80</v>
      </c>
      <c r="D15" s="285">
        <v>8.73</v>
      </c>
      <c r="E15" s="285">
        <v>0</v>
      </c>
      <c r="F15" s="285">
        <f t="shared" si="0"/>
        <v>698.40000000000009</v>
      </c>
      <c r="G15" s="284"/>
      <c r="H15" s="284"/>
      <c r="I15" s="285"/>
      <c r="J15" s="285"/>
      <c r="K15" s="285"/>
      <c r="L15" s="284"/>
      <c r="M15" s="284"/>
      <c r="N15" s="284"/>
      <c r="O15" s="284"/>
      <c r="P15" s="4"/>
      <c r="Q15" s="4"/>
    </row>
    <row r="16" spans="1:17" ht="18" customHeight="1" x14ac:dyDescent="0.25">
      <c r="A16" s="282"/>
      <c r="B16" s="287"/>
      <c r="C16" s="287">
        <f>SUM(C8:C15)</f>
        <v>243</v>
      </c>
      <c r="D16" s="290"/>
      <c r="E16" s="290"/>
      <c r="F16" s="290">
        <f>SUM(F8:F15)</f>
        <v>3782.9</v>
      </c>
      <c r="G16" s="290"/>
      <c r="H16" s="291">
        <f>SUM(H8:H12)</f>
        <v>243</v>
      </c>
      <c r="I16" s="290"/>
      <c r="J16" s="290"/>
      <c r="K16" s="290">
        <f>SUM(K8:K12)</f>
        <v>2189.3900000000003</v>
      </c>
      <c r="L16" s="290"/>
      <c r="M16" s="290"/>
      <c r="N16" s="290">
        <f>K16-F16</f>
        <v>-1593.5099999999998</v>
      </c>
      <c r="O16" s="292">
        <f>N16/F16</f>
        <v>-0.42124031827433972</v>
      </c>
      <c r="P16" s="4"/>
      <c r="Q16" s="4"/>
    </row>
    <row r="17" spans="1:20" ht="18" customHeight="1" x14ac:dyDescent="0.25">
      <c r="A17" s="24"/>
      <c r="B17" s="308"/>
      <c r="C17" s="309"/>
      <c r="D17" s="310"/>
      <c r="E17" s="310"/>
      <c r="F17" s="310"/>
      <c r="G17" s="308"/>
      <c r="H17" s="309"/>
      <c r="I17" s="310"/>
      <c r="J17" s="310"/>
      <c r="K17" s="310"/>
      <c r="L17" s="308"/>
      <c r="M17" s="310"/>
      <c r="N17" s="310"/>
      <c r="O17" s="311"/>
    </row>
    <row r="18" spans="1:20" ht="18" customHeight="1" x14ac:dyDescent="0.25">
      <c r="A18" s="293" t="s">
        <v>48</v>
      </c>
      <c r="B18" s="294">
        <v>42186</v>
      </c>
      <c r="C18" s="295">
        <v>10</v>
      </c>
      <c r="D18" s="296">
        <v>101.7</v>
      </c>
      <c r="E18" s="296"/>
      <c r="F18" s="296">
        <f>C18*D18</f>
        <v>1017</v>
      </c>
      <c r="G18" s="294">
        <v>42186</v>
      </c>
      <c r="H18" s="295">
        <v>10</v>
      </c>
      <c r="I18" s="296">
        <v>103</v>
      </c>
      <c r="J18" s="296">
        <v>0.02</v>
      </c>
      <c r="K18" s="296">
        <f>H18*I18-J18</f>
        <v>1029.98</v>
      </c>
      <c r="L18" s="297"/>
      <c r="M18" s="296"/>
      <c r="N18" s="296"/>
      <c r="O18" s="298"/>
    </row>
    <row r="19" spans="1:20" ht="18" customHeight="1" x14ac:dyDescent="0.25">
      <c r="A19" s="293"/>
      <c r="B19" s="299"/>
      <c r="C19" s="300">
        <f>SUM(C18)</f>
        <v>10</v>
      </c>
      <c r="D19" s="301"/>
      <c r="E19" s="301"/>
      <c r="F19" s="301">
        <f>SUM(F18)</f>
        <v>1017</v>
      </c>
      <c r="G19" s="302"/>
      <c r="H19" s="300">
        <f>SUM(H18)</f>
        <v>10</v>
      </c>
      <c r="I19" s="301"/>
      <c r="J19" s="301"/>
      <c r="K19" s="301">
        <f>SUM(K18)</f>
        <v>1029.98</v>
      </c>
      <c r="L19" s="302"/>
      <c r="M19" s="301"/>
      <c r="N19" s="301">
        <f>K19-F19</f>
        <v>12.980000000000018</v>
      </c>
      <c r="O19" s="303">
        <f>(N19+M19)/F19</f>
        <v>1.2763028515240922E-2</v>
      </c>
      <c r="P19" s="139" t="s">
        <v>133</v>
      </c>
    </row>
    <row r="20" spans="1:20" ht="18" customHeight="1" x14ac:dyDescent="0.25">
      <c r="A20" s="24"/>
      <c r="B20" s="308"/>
      <c r="C20" s="309"/>
      <c r="D20" s="310"/>
      <c r="E20" s="24"/>
      <c r="F20" s="310"/>
      <c r="G20" s="308"/>
      <c r="H20" s="309"/>
      <c r="I20" s="310"/>
      <c r="K20" s="310"/>
      <c r="L20" s="308"/>
      <c r="M20" s="310"/>
      <c r="N20" s="310"/>
      <c r="O20" s="311"/>
      <c r="R20" s="308"/>
      <c r="S20" s="309"/>
      <c r="T20" s="310"/>
    </row>
    <row r="21" spans="1:20" ht="18" customHeight="1" x14ac:dyDescent="0.25">
      <c r="A21" s="293" t="s">
        <v>68</v>
      </c>
      <c r="B21" s="294">
        <v>42164</v>
      </c>
      <c r="C21" s="295">
        <v>20</v>
      </c>
      <c r="D21" s="296">
        <v>11.25</v>
      </c>
      <c r="E21" s="297">
        <v>0</v>
      </c>
      <c r="F21" s="296">
        <f t="shared" ref="F21:F26" si="1">C21*D21+E21</f>
        <v>225</v>
      </c>
      <c r="G21" s="294">
        <v>42235</v>
      </c>
      <c r="H21" s="295">
        <v>110</v>
      </c>
      <c r="I21" s="296">
        <v>8.69</v>
      </c>
      <c r="J21" s="295">
        <v>0.02</v>
      </c>
      <c r="K21" s="296">
        <f>H21*I21-J21</f>
        <v>955.88</v>
      </c>
      <c r="L21" s="297">
        <v>42346</v>
      </c>
      <c r="M21" s="296">
        <f>21.93-0.91-2.19-4.38</f>
        <v>14.45</v>
      </c>
      <c r="N21" s="296"/>
      <c r="O21" s="298"/>
      <c r="R21" s="146"/>
      <c r="S21" s="144"/>
      <c r="T21" s="145"/>
    </row>
    <row r="22" spans="1:20" ht="18" customHeight="1" x14ac:dyDescent="0.25">
      <c r="A22" s="293" t="s">
        <v>123</v>
      </c>
      <c r="B22" s="294">
        <v>42187</v>
      </c>
      <c r="C22" s="295">
        <v>20</v>
      </c>
      <c r="D22" s="296">
        <v>10.28</v>
      </c>
      <c r="E22" s="297">
        <v>0</v>
      </c>
      <c r="F22" s="296">
        <f t="shared" si="1"/>
        <v>205.6</v>
      </c>
      <c r="G22" s="294">
        <v>42331</v>
      </c>
      <c r="H22" s="295">
        <v>150</v>
      </c>
      <c r="I22" s="296">
        <v>8.7100000000000009</v>
      </c>
      <c r="J22" s="295">
        <v>0.51</v>
      </c>
      <c r="K22" s="296">
        <f>H22*I22-J22</f>
        <v>1305.9900000000002</v>
      </c>
      <c r="L22" s="297"/>
      <c r="M22" s="296"/>
      <c r="N22" s="296"/>
      <c r="O22" s="298"/>
      <c r="R22" s="146"/>
      <c r="S22" s="144"/>
      <c r="T22" s="145"/>
    </row>
    <row r="23" spans="1:20" ht="18" customHeight="1" x14ac:dyDescent="0.25">
      <c r="A23" s="293"/>
      <c r="B23" s="294">
        <v>42198</v>
      </c>
      <c r="C23" s="295">
        <v>40</v>
      </c>
      <c r="D23" s="296">
        <v>10.119999999999999</v>
      </c>
      <c r="E23" s="297">
        <v>0</v>
      </c>
      <c r="F23" s="296">
        <f t="shared" si="1"/>
        <v>404.79999999999995</v>
      </c>
      <c r="G23" s="294">
        <v>42332</v>
      </c>
      <c r="H23" s="295">
        <v>120</v>
      </c>
      <c r="I23" s="296">
        <v>9.0500000000000007</v>
      </c>
      <c r="J23" s="295">
        <v>0.02</v>
      </c>
      <c r="K23" s="296">
        <f>H23*I23-J23</f>
        <v>1085.98</v>
      </c>
      <c r="L23" s="297"/>
      <c r="M23" s="296"/>
      <c r="N23" s="296"/>
      <c r="O23" s="298"/>
      <c r="R23" s="146"/>
      <c r="S23" s="144"/>
      <c r="T23" s="145"/>
    </row>
    <row r="24" spans="1:20" ht="18" customHeight="1" x14ac:dyDescent="0.25">
      <c r="A24" s="293"/>
      <c r="B24" s="294">
        <v>42198</v>
      </c>
      <c r="C24" s="295">
        <v>40</v>
      </c>
      <c r="D24" s="296">
        <v>9.94</v>
      </c>
      <c r="E24" s="297">
        <v>0</v>
      </c>
      <c r="F24" s="296">
        <f t="shared" si="1"/>
        <v>397.59999999999997</v>
      </c>
      <c r="G24" s="294"/>
      <c r="H24" s="295"/>
      <c r="I24" s="296"/>
      <c r="J24" s="295"/>
      <c r="K24" s="296"/>
      <c r="L24" s="297"/>
      <c r="M24" s="296"/>
      <c r="N24" s="296"/>
      <c r="O24" s="298"/>
    </row>
    <row r="25" spans="1:20" ht="18" customHeight="1" x14ac:dyDescent="0.25">
      <c r="A25" s="293"/>
      <c r="B25" s="294">
        <v>42233</v>
      </c>
      <c r="C25" s="295">
        <v>110</v>
      </c>
      <c r="D25" s="296">
        <v>8.48</v>
      </c>
      <c r="E25" s="297">
        <v>0</v>
      </c>
      <c r="F25" s="296">
        <f t="shared" si="1"/>
        <v>932.80000000000007</v>
      </c>
      <c r="G25" s="294"/>
      <c r="H25" s="295"/>
      <c r="I25" s="296"/>
      <c r="J25" s="295"/>
      <c r="K25" s="296"/>
      <c r="L25" s="297"/>
      <c r="M25" s="296"/>
      <c r="N25" s="296"/>
      <c r="O25" s="298"/>
    </row>
    <row r="26" spans="1:20" ht="18" customHeight="1" x14ac:dyDescent="0.25">
      <c r="A26" s="293"/>
      <c r="B26" s="294">
        <v>42270</v>
      </c>
      <c r="C26" s="295">
        <v>150</v>
      </c>
      <c r="D26" s="296">
        <v>7.73</v>
      </c>
      <c r="E26" s="297">
        <v>0</v>
      </c>
      <c r="F26" s="296">
        <f t="shared" si="1"/>
        <v>1159.5</v>
      </c>
      <c r="G26" s="294"/>
      <c r="H26" s="295"/>
      <c r="I26" s="296"/>
      <c r="J26" s="295"/>
      <c r="K26" s="296"/>
      <c r="L26" s="297"/>
      <c r="M26" s="296"/>
      <c r="N26" s="296"/>
      <c r="O26" s="298"/>
    </row>
    <row r="27" spans="1:20" ht="18" customHeight="1" x14ac:dyDescent="0.25">
      <c r="A27" s="293"/>
      <c r="B27" s="299"/>
      <c r="C27" s="300">
        <f>SUM(C21:C26)</f>
        <v>380</v>
      </c>
      <c r="D27" s="301"/>
      <c r="E27" s="302"/>
      <c r="F27" s="301">
        <f>SUM(F21:F26)</f>
        <v>3325.3</v>
      </c>
      <c r="G27" s="302"/>
      <c r="H27" s="300">
        <f>SUM(H21:H26)</f>
        <v>380</v>
      </c>
      <c r="I27" s="301"/>
      <c r="J27" s="300"/>
      <c r="K27" s="301">
        <f>SUM(K21:K26)</f>
        <v>3347.8500000000004</v>
      </c>
      <c r="L27" s="302"/>
      <c r="M27" s="301">
        <f>SUM(M21:M26)</f>
        <v>14.45</v>
      </c>
      <c r="N27" s="301">
        <f>K27-F27</f>
        <v>22.550000000000182</v>
      </c>
      <c r="O27" s="303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93" t="s">
        <v>29</v>
      </c>
      <c r="B29" s="294">
        <v>42164</v>
      </c>
      <c r="C29" s="295">
        <v>5</v>
      </c>
      <c r="D29" s="296">
        <v>45.9</v>
      </c>
      <c r="E29" s="297"/>
      <c r="F29" s="296">
        <f>C29*D29</f>
        <v>229.5</v>
      </c>
      <c r="G29" s="294">
        <v>42195</v>
      </c>
      <c r="H29" s="295">
        <v>20</v>
      </c>
      <c r="I29" s="296">
        <v>46.15</v>
      </c>
      <c r="J29" s="295">
        <v>0.02</v>
      </c>
      <c r="K29" s="296">
        <f>H29*I29-J29</f>
        <v>922.98</v>
      </c>
      <c r="L29" s="297"/>
      <c r="M29" s="296"/>
      <c r="N29" s="296"/>
      <c r="O29" s="298"/>
    </row>
    <row r="30" spans="1:20" ht="18" customHeight="1" x14ac:dyDescent="0.25">
      <c r="A30" s="293"/>
      <c r="B30" s="294">
        <v>42184</v>
      </c>
      <c r="C30" s="295">
        <v>5</v>
      </c>
      <c r="D30" s="296">
        <v>44.5</v>
      </c>
      <c r="E30" s="297"/>
      <c r="F30" s="296">
        <f>C30*D30</f>
        <v>222.5</v>
      </c>
      <c r="G30" s="297"/>
      <c r="H30" s="295"/>
      <c r="I30" s="296"/>
      <c r="J30" s="295"/>
      <c r="K30" s="296"/>
      <c r="L30" s="297"/>
      <c r="M30" s="296"/>
      <c r="N30" s="296"/>
      <c r="O30" s="298"/>
    </row>
    <row r="31" spans="1:20" ht="18" customHeight="1" x14ac:dyDescent="0.25">
      <c r="A31" s="293"/>
      <c r="B31" s="294">
        <v>42184</v>
      </c>
      <c r="C31" s="295">
        <v>10</v>
      </c>
      <c r="D31" s="296">
        <v>44.35</v>
      </c>
      <c r="E31" s="297"/>
      <c r="F31" s="296">
        <f>C31*D31</f>
        <v>443.5</v>
      </c>
      <c r="G31" s="297"/>
      <c r="H31" s="295"/>
      <c r="I31" s="296"/>
      <c r="J31" s="295"/>
      <c r="K31" s="296"/>
      <c r="L31" s="297"/>
      <c r="M31" s="296"/>
      <c r="N31" s="296"/>
      <c r="O31" s="298"/>
    </row>
    <row r="32" spans="1:20" ht="18" customHeight="1" x14ac:dyDescent="0.25">
      <c r="A32" s="293"/>
      <c r="B32" s="299"/>
      <c r="C32" s="300">
        <f>SUM(C29:C31)</f>
        <v>20</v>
      </c>
      <c r="D32" s="301"/>
      <c r="E32" s="302"/>
      <c r="F32" s="301">
        <f>SUM(F29:F31)</f>
        <v>895.5</v>
      </c>
      <c r="G32" s="302"/>
      <c r="H32" s="300">
        <f>SUM(H29:H31)</f>
        <v>20</v>
      </c>
      <c r="I32" s="301"/>
      <c r="J32" s="300"/>
      <c r="K32" s="301">
        <f>SUM(K29:K31)</f>
        <v>922.98</v>
      </c>
      <c r="L32" s="302"/>
      <c r="M32" s="301"/>
      <c r="N32" s="301">
        <f>K32-F32</f>
        <v>27.480000000000018</v>
      </c>
      <c r="O32" s="303">
        <f>(N32+M32)/F32</f>
        <v>3.0686767169179251E-2</v>
      </c>
    </row>
    <row r="33" spans="1:16" ht="18" customHeight="1" x14ac:dyDescent="0.25">
      <c r="A33" s="24"/>
      <c r="B33" s="308"/>
      <c r="C33" s="309"/>
      <c r="D33" s="310"/>
      <c r="E33" s="24"/>
      <c r="F33" s="310"/>
      <c r="G33" s="308"/>
      <c r="H33" s="309"/>
      <c r="I33" s="310"/>
      <c r="K33" s="310"/>
      <c r="L33" s="308"/>
      <c r="M33" s="310"/>
      <c r="N33" s="310"/>
      <c r="O33" s="311"/>
    </row>
    <row r="34" spans="1:16" ht="18" customHeight="1" x14ac:dyDescent="0.25">
      <c r="A34" s="282" t="s">
        <v>11</v>
      </c>
      <c r="B34" s="283">
        <v>42150</v>
      </c>
      <c r="C34" s="284">
        <v>5</v>
      </c>
      <c r="D34" s="285">
        <v>169</v>
      </c>
      <c r="E34" s="285">
        <v>0</v>
      </c>
      <c r="F34" s="285">
        <f>C34*D34+E34</f>
        <v>845</v>
      </c>
      <c r="G34" s="283">
        <v>42186</v>
      </c>
      <c r="H34" s="284">
        <v>100</v>
      </c>
      <c r="I34" s="285">
        <v>167</v>
      </c>
      <c r="J34" s="285">
        <v>0.31</v>
      </c>
      <c r="K34" s="285">
        <f t="shared" ref="K34:K49" si="2">H34*I34-J34</f>
        <v>16699.689999999999</v>
      </c>
      <c r="L34" s="284"/>
      <c r="M34" s="284"/>
      <c r="N34" s="284"/>
      <c r="O34" s="287"/>
    </row>
    <row r="35" spans="1:16" ht="18" customHeight="1" x14ac:dyDescent="0.25">
      <c r="A35" s="328"/>
      <c r="B35" s="283">
        <v>42150</v>
      </c>
      <c r="C35" s="284">
        <v>10</v>
      </c>
      <c r="D35" s="285">
        <v>166.5</v>
      </c>
      <c r="E35" s="285">
        <v>0</v>
      </c>
      <c r="F35" s="285">
        <f t="shared" ref="F35:F54" si="3">C35*D35+E35</f>
        <v>1665</v>
      </c>
      <c r="G35" s="283">
        <v>42186</v>
      </c>
      <c r="H35" s="284">
        <v>100</v>
      </c>
      <c r="I35" s="285">
        <v>167</v>
      </c>
      <c r="J35" s="285">
        <v>0.31</v>
      </c>
      <c r="K35" s="285">
        <f t="shared" si="2"/>
        <v>16699.689999999999</v>
      </c>
      <c r="L35" s="284"/>
      <c r="M35" s="284"/>
      <c r="N35" s="284"/>
      <c r="O35" s="287"/>
    </row>
    <row r="36" spans="1:16" ht="18" customHeight="1" x14ac:dyDescent="0.25">
      <c r="A36" s="284"/>
      <c r="B36" s="283">
        <v>42150</v>
      </c>
      <c r="C36" s="284">
        <v>30</v>
      </c>
      <c r="D36" s="285">
        <v>165.4</v>
      </c>
      <c r="E36" s="285">
        <v>0</v>
      </c>
      <c r="F36" s="285">
        <f t="shared" si="3"/>
        <v>4962</v>
      </c>
      <c r="G36" s="283">
        <v>42186</v>
      </c>
      <c r="H36" s="284">
        <v>50</v>
      </c>
      <c r="I36" s="285">
        <v>168.5</v>
      </c>
      <c r="J36" s="285">
        <v>0.16</v>
      </c>
      <c r="K36" s="285">
        <f t="shared" si="2"/>
        <v>8424.84</v>
      </c>
      <c r="L36" s="284"/>
      <c r="M36" s="284"/>
      <c r="N36" s="284"/>
      <c r="O36" s="287"/>
    </row>
    <row r="37" spans="1:16" ht="18" customHeight="1" x14ac:dyDescent="0.25">
      <c r="A37" s="284"/>
      <c r="B37" s="283">
        <v>42150</v>
      </c>
      <c r="C37" s="284">
        <v>10</v>
      </c>
      <c r="D37" s="285">
        <v>164.85</v>
      </c>
      <c r="E37" s="285">
        <v>0</v>
      </c>
      <c r="F37" s="285">
        <f t="shared" si="3"/>
        <v>1648.5</v>
      </c>
      <c r="G37" s="283">
        <v>42236</v>
      </c>
      <c r="H37" s="284">
        <v>10</v>
      </c>
      <c r="I37" s="285">
        <v>133.19999999999999</v>
      </c>
      <c r="J37" s="285">
        <v>0.02</v>
      </c>
      <c r="K37" s="285">
        <f t="shared" si="2"/>
        <v>1331.98</v>
      </c>
      <c r="L37" s="284"/>
      <c r="M37" s="284"/>
      <c r="N37" s="284"/>
      <c r="O37" s="287"/>
    </row>
    <row r="38" spans="1:16" ht="18" customHeight="1" x14ac:dyDescent="0.25">
      <c r="A38" s="284"/>
      <c r="B38" s="283">
        <v>42186</v>
      </c>
      <c r="C38" s="284">
        <v>145</v>
      </c>
      <c r="D38" s="285">
        <v>166</v>
      </c>
      <c r="E38" s="285">
        <v>0</v>
      </c>
      <c r="F38" s="285">
        <f t="shared" si="3"/>
        <v>24070</v>
      </c>
      <c r="G38" s="283">
        <v>42240</v>
      </c>
      <c r="H38" s="284">
        <v>20</v>
      </c>
      <c r="I38" s="285">
        <v>130</v>
      </c>
      <c r="J38" s="285">
        <v>0.05</v>
      </c>
      <c r="K38" s="285">
        <f t="shared" si="2"/>
        <v>2599.9499999999998</v>
      </c>
      <c r="L38" s="284"/>
      <c r="M38" s="284"/>
      <c r="N38" s="284"/>
      <c r="O38" s="287"/>
    </row>
    <row r="39" spans="1:16" ht="18" customHeight="1" x14ac:dyDescent="0.25">
      <c r="A39" s="284"/>
      <c r="B39" s="283">
        <v>42186</v>
      </c>
      <c r="C39" s="284">
        <v>100</v>
      </c>
      <c r="D39" s="285">
        <v>164</v>
      </c>
      <c r="E39" s="285">
        <v>0</v>
      </c>
      <c r="F39" s="285">
        <f t="shared" si="3"/>
        <v>16400</v>
      </c>
      <c r="G39" s="283">
        <v>42270</v>
      </c>
      <c r="H39" s="284">
        <v>50</v>
      </c>
      <c r="I39" s="285">
        <v>141.19999999999999</v>
      </c>
      <c r="J39" s="285">
        <v>0.13</v>
      </c>
      <c r="K39" s="285">
        <f t="shared" si="2"/>
        <v>7059.869999999999</v>
      </c>
      <c r="L39" s="284"/>
      <c r="M39" s="284"/>
      <c r="N39" s="284"/>
      <c r="O39" s="287"/>
    </row>
    <row r="40" spans="1:16" ht="18" customHeight="1" x14ac:dyDescent="0.25">
      <c r="A40" s="284"/>
      <c r="B40" s="283">
        <v>42235</v>
      </c>
      <c r="C40" s="284">
        <v>10</v>
      </c>
      <c r="D40" s="285">
        <v>124</v>
      </c>
      <c r="E40" s="285">
        <v>0</v>
      </c>
      <c r="F40" s="285">
        <f t="shared" si="3"/>
        <v>1240</v>
      </c>
      <c r="G40" s="283">
        <v>42305</v>
      </c>
      <c r="H40" s="284">
        <v>150</v>
      </c>
      <c r="I40" s="285">
        <v>82</v>
      </c>
      <c r="J40" s="285">
        <v>0.23</v>
      </c>
      <c r="K40" s="285">
        <f t="shared" si="2"/>
        <v>12299.77</v>
      </c>
      <c r="L40" s="284"/>
      <c r="M40" s="284"/>
      <c r="N40" s="284"/>
      <c r="O40" s="287"/>
    </row>
    <row r="41" spans="1:16" ht="18" customHeight="1" x14ac:dyDescent="0.25">
      <c r="A41" s="284"/>
      <c r="B41" s="283">
        <v>42240</v>
      </c>
      <c r="C41" s="284">
        <v>20</v>
      </c>
      <c r="D41" s="285">
        <v>123</v>
      </c>
      <c r="E41" s="285">
        <v>0</v>
      </c>
      <c r="F41" s="285">
        <f t="shared" si="3"/>
        <v>2460</v>
      </c>
      <c r="G41" s="283">
        <v>42307</v>
      </c>
      <c r="H41" s="284">
        <v>120</v>
      </c>
      <c r="I41" s="285">
        <v>85.8</v>
      </c>
      <c r="J41" s="285">
        <v>7.14</v>
      </c>
      <c r="K41" s="285">
        <f t="shared" si="2"/>
        <v>10288.86</v>
      </c>
      <c r="L41" s="284"/>
      <c r="M41" s="284"/>
      <c r="N41" s="284"/>
      <c r="O41" s="284"/>
    </row>
    <row r="42" spans="1:16" ht="18" customHeight="1" x14ac:dyDescent="0.25">
      <c r="A42" s="284"/>
      <c r="B42" s="283">
        <v>42271</v>
      </c>
      <c r="C42" s="284">
        <v>50</v>
      </c>
      <c r="D42" s="285">
        <v>123.05</v>
      </c>
      <c r="E42" s="285">
        <v>0</v>
      </c>
      <c r="F42" s="285">
        <f t="shared" si="3"/>
        <v>6152.5</v>
      </c>
      <c r="G42" s="283">
        <v>42313</v>
      </c>
      <c r="H42" s="284">
        <v>80</v>
      </c>
      <c r="I42" s="285">
        <v>83</v>
      </c>
      <c r="J42" s="285">
        <v>0.12</v>
      </c>
      <c r="K42" s="285">
        <f t="shared" si="2"/>
        <v>6639.88</v>
      </c>
      <c r="L42" s="284"/>
      <c r="M42" s="284"/>
      <c r="N42" s="284"/>
      <c r="O42" s="284"/>
    </row>
    <row r="43" spans="1:16" ht="18" customHeight="1" x14ac:dyDescent="0.25">
      <c r="A43" s="284"/>
      <c r="B43" s="283">
        <v>42271</v>
      </c>
      <c r="C43" s="284">
        <v>50</v>
      </c>
      <c r="D43" s="285">
        <v>138.5</v>
      </c>
      <c r="E43" s="285">
        <v>0</v>
      </c>
      <c r="F43" s="285">
        <f t="shared" si="3"/>
        <v>6925</v>
      </c>
      <c r="G43" s="283">
        <v>42320</v>
      </c>
      <c r="H43" s="284">
        <v>200</v>
      </c>
      <c r="I43" s="285">
        <v>73.5</v>
      </c>
      <c r="J43" s="285">
        <v>0.27</v>
      </c>
      <c r="K43" s="285">
        <f t="shared" si="2"/>
        <v>14699.73</v>
      </c>
      <c r="L43" s="284"/>
      <c r="M43" s="284"/>
      <c r="N43" s="284"/>
      <c r="O43" s="284"/>
    </row>
    <row r="44" spans="1:16" ht="18" customHeight="1" x14ac:dyDescent="0.25">
      <c r="A44" s="284"/>
      <c r="B44" s="283">
        <v>42277</v>
      </c>
      <c r="C44" s="284">
        <v>10</v>
      </c>
      <c r="D44" s="285">
        <v>101.5</v>
      </c>
      <c r="E44" s="285">
        <v>0</v>
      </c>
      <c r="F44" s="285">
        <f t="shared" si="3"/>
        <v>1015</v>
      </c>
      <c r="G44" s="283">
        <v>42327</v>
      </c>
      <c r="H44" s="284">
        <v>200</v>
      </c>
      <c r="I44" s="285">
        <v>73.95</v>
      </c>
      <c r="J44" s="285">
        <v>0.27</v>
      </c>
      <c r="K44" s="285">
        <f t="shared" si="2"/>
        <v>14789.73</v>
      </c>
      <c r="L44" s="284"/>
      <c r="M44" s="284"/>
      <c r="N44" s="284"/>
      <c r="O44" s="284"/>
    </row>
    <row r="45" spans="1:16" ht="18" customHeight="1" x14ac:dyDescent="0.25">
      <c r="A45" s="284"/>
      <c r="B45" s="283">
        <v>42278</v>
      </c>
      <c r="C45" s="284">
        <v>10</v>
      </c>
      <c r="D45" s="285">
        <v>93.95</v>
      </c>
      <c r="E45" s="285">
        <v>0</v>
      </c>
      <c r="F45" s="285">
        <f t="shared" si="3"/>
        <v>939.5</v>
      </c>
      <c r="G45" s="283">
        <v>42339</v>
      </c>
      <c r="H45" s="284">
        <v>60</v>
      </c>
      <c r="I45" s="285">
        <v>89.49</v>
      </c>
      <c r="J45" s="285">
        <v>0.1</v>
      </c>
      <c r="K45" s="285">
        <f t="shared" si="2"/>
        <v>5369.2999999999993</v>
      </c>
      <c r="L45" s="284"/>
      <c r="M45" s="284"/>
      <c r="N45" s="284"/>
      <c r="O45" s="284"/>
    </row>
    <row r="46" spans="1:16" ht="18" customHeight="1" x14ac:dyDescent="0.25">
      <c r="A46" s="284"/>
      <c r="B46" s="283">
        <v>42286</v>
      </c>
      <c r="C46" s="284">
        <v>30</v>
      </c>
      <c r="D46" s="285">
        <v>89.5</v>
      </c>
      <c r="E46" s="285">
        <v>0</v>
      </c>
      <c r="F46" s="285">
        <f t="shared" si="3"/>
        <v>2685</v>
      </c>
      <c r="G46" s="283">
        <v>42340</v>
      </c>
      <c r="H46" s="284">
        <v>60</v>
      </c>
      <c r="I46" s="285">
        <v>93.79</v>
      </c>
      <c r="J46" s="285">
        <v>0.1</v>
      </c>
      <c r="K46" s="285">
        <f t="shared" si="2"/>
        <v>5627.3</v>
      </c>
      <c r="L46" s="284"/>
      <c r="M46" s="284"/>
      <c r="N46" s="284"/>
      <c r="O46" s="284"/>
    </row>
    <row r="47" spans="1:16" ht="18" customHeight="1" x14ac:dyDescent="0.25">
      <c r="A47" s="284"/>
      <c r="B47" s="283">
        <v>42299</v>
      </c>
      <c r="C47" s="284">
        <v>50</v>
      </c>
      <c r="D47" s="285">
        <v>74.3</v>
      </c>
      <c r="E47" s="285">
        <v>0</v>
      </c>
      <c r="F47" s="285">
        <f t="shared" si="3"/>
        <v>3715</v>
      </c>
      <c r="G47" s="283">
        <v>42347</v>
      </c>
      <c r="H47" s="284">
        <v>60</v>
      </c>
      <c r="I47" s="285">
        <v>81.849999999999994</v>
      </c>
      <c r="J47" s="285">
        <v>0.09</v>
      </c>
      <c r="K47" s="285">
        <f t="shared" si="2"/>
        <v>4910.91</v>
      </c>
      <c r="L47" s="284"/>
      <c r="M47" s="284"/>
      <c r="N47" s="284"/>
      <c r="O47" s="284"/>
    </row>
    <row r="48" spans="1:16" ht="18" customHeight="1" x14ac:dyDescent="0.25">
      <c r="A48" s="284"/>
      <c r="B48" s="283">
        <v>42305</v>
      </c>
      <c r="C48" s="284">
        <v>150</v>
      </c>
      <c r="D48" s="285">
        <v>79.5</v>
      </c>
      <c r="E48" s="285">
        <v>0</v>
      </c>
      <c r="F48" s="285">
        <f t="shared" si="3"/>
        <v>11925</v>
      </c>
      <c r="G48" s="283">
        <v>42349</v>
      </c>
      <c r="H48" s="284">
        <v>220</v>
      </c>
      <c r="I48" s="285">
        <v>53.95</v>
      </c>
      <c r="J48" s="285">
        <v>0.22</v>
      </c>
      <c r="K48" s="285">
        <f t="shared" si="2"/>
        <v>11868.78</v>
      </c>
      <c r="L48" s="284"/>
      <c r="M48" s="285"/>
      <c r="N48" s="284"/>
      <c r="O48" s="284"/>
      <c r="P48" s="139"/>
    </row>
    <row r="49" spans="1:16" ht="18" customHeight="1" x14ac:dyDescent="0.25">
      <c r="A49" s="284"/>
      <c r="B49" s="283">
        <v>42310</v>
      </c>
      <c r="C49" s="284">
        <v>120</v>
      </c>
      <c r="D49" s="285">
        <v>82</v>
      </c>
      <c r="E49" s="285">
        <v>6.95</v>
      </c>
      <c r="F49" s="285">
        <f t="shared" si="3"/>
        <v>9846.9500000000007</v>
      </c>
      <c r="G49" s="283">
        <v>42354</v>
      </c>
      <c r="H49" s="284">
        <v>220</v>
      </c>
      <c r="I49" s="285">
        <v>59.47</v>
      </c>
      <c r="J49" s="285">
        <v>0.24</v>
      </c>
      <c r="K49" s="285">
        <f t="shared" si="2"/>
        <v>13083.16</v>
      </c>
      <c r="L49" s="284"/>
      <c r="M49" s="284"/>
      <c r="N49" s="284"/>
      <c r="O49" s="284"/>
      <c r="P49" s="139"/>
    </row>
    <row r="50" spans="1:16" ht="18" customHeight="1" x14ac:dyDescent="0.25">
      <c r="A50" s="284"/>
      <c r="B50" s="283">
        <v>42318</v>
      </c>
      <c r="C50" s="284">
        <v>80</v>
      </c>
      <c r="D50" s="285">
        <v>77.12</v>
      </c>
      <c r="E50" s="285">
        <v>0</v>
      </c>
      <c r="F50" s="285">
        <f t="shared" si="3"/>
        <v>6169.6</v>
      </c>
      <c r="G50" s="283"/>
      <c r="H50" s="284"/>
      <c r="I50" s="285"/>
      <c r="J50" s="285"/>
      <c r="K50" s="285"/>
      <c r="L50" s="284"/>
      <c r="M50" s="284"/>
      <c r="N50" s="284"/>
      <c r="O50" s="284"/>
      <c r="P50" s="139" t="s">
        <v>133</v>
      </c>
    </row>
    <row r="51" spans="1:16" ht="18" customHeight="1" x14ac:dyDescent="0.25">
      <c r="A51" s="284"/>
      <c r="B51" s="283">
        <v>42320</v>
      </c>
      <c r="C51" s="284">
        <v>200</v>
      </c>
      <c r="D51" s="285">
        <v>73.010000000000005</v>
      </c>
      <c r="E51" s="285">
        <v>0</v>
      </c>
      <c r="F51" s="285">
        <f t="shared" si="3"/>
        <v>14602.000000000002</v>
      </c>
      <c r="G51" s="283"/>
      <c r="H51" s="284"/>
      <c r="I51" s="285"/>
      <c r="J51" s="285"/>
      <c r="K51" s="285"/>
      <c r="L51" s="284"/>
      <c r="M51" s="284"/>
      <c r="N51" s="284"/>
      <c r="O51" s="284"/>
    </row>
    <row r="52" spans="1:16" ht="18" customHeight="1" x14ac:dyDescent="0.25">
      <c r="A52" s="284"/>
      <c r="B52" s="283">
        <v>42327</v>
      </c>
      <c r="C52" s="284">
        <v>200</v>
      </c>
      <c r="D52" s="285">
        <v>73.11</v>
      </c>
      <c r="E52" s="285">
        <v>0</v>
      </c>
      <c r="F52" s="285">
        <f t="shared" si="3"/>
        <v>14622</v>
      </c>
      <c r="G52" s="284"/>
      <c r="H52" s="284"/>
      <c r="I52" s="285"/>
      <c r="J52" s="285"/>
      <c r="K52" s="285"/>
      <c r="L52" s="284"/>
      <c r="M52" s="284"/>
      <c r="N52" s="284"/>
      <c r="O52" s="284"/>
    </row>
    <row r="53" spans="1:16" ht="18" customHeight="1" x14ac:dyDescent="0.25">
      <c r="A53" s="284"/>
      <c r="B53" s="283">
        <v>42339</v>
      </c>
      <c r="C53" s="284">
        <v>60</v>
      </c>
      <c r="D53" s="285">
        <v>89.38</v>
      </c>
      <c r="E53" s="285">
        <v>0</v>
      </c>
      <c r="F53" s="285">
        <f t="shared" si="3"/>
        <v>5362.7999999999993</v>
      </c>
      <c r="G53" s="284"/>
      <c r="H53" s="284"/>
      <c r="I53" s="285"/>
      <c r="J53" s="285"/>
      <c r="K53" s="285"/>
      <c r="L53" s="284"/>
      <c r="M53" s="284"/>
      <c r="N53" s="284"/>
      <c r="O53" s="284"/>
    </row>
    <row r="54" spans="1:16" ht="18" customHeight="1" x14ac:dyDescent="0.25">
      <c r="A54" s="284"/>
      <c r="B54" s="283">
        <v>42340</v>
      </c>
      <c r="C54" s="284">
        <v>60</v>
      </c>
      <c r="D54" s="285">
        <v>93.06</v>
      </c>
      <c r="E54" s="285">
        <v>0</v>
      </c>
      <c r="F54" s="285">
        <f t="shared" si="3"/>
        <v>5583.6</v>
      </c>
      <c r="G54" s="284"/>
      <c r="H54" s="284"/>
      <c r="I54" s="285"/>
      <c r="J54" s="285"/>
      <c r="K54" s="285"/>
      <c r="L54" s="284"/>
      <c r="M54" s="284"/>
      <c r="N54" s="284"/>
      <c r="O54" s="284"/>
    </row>
    <row r="55" spans="1:16" ht="18" customHeight="1" x14ac:dyDescent="0.25">
      <c r="A55" s="284"/>
      <c r="B55" s="283">
        <v>42342</v>
      </c>
      <c r="C55" s="284">
        <v>10</v>
      </c>
      <c r="D55" s="285">
        <v>80.989999999999995</v>
      </c>
      <c r="E55" s="285">
        <v>0</v>
      </c>
      <c r="F55" s="285">
        <f>C55*D55+E55</f>
        <v>809.9</v>
      </c>
      <c r="G55" s="284"/>
      <c r="H55" s="284"/>
      <c r="I55" s="285"/>
      <c r="J55" s="285"/>
      <c r="K55" s="285"/>
      <c r="L55" s="284"/>
      <c r="M55" s="284"/>
      <c r="N55" s="284"/>
      <c r="O55" s="284"/>
    </row>
    <row r="56" spans="1:16" ht="18" customHeight="1" x14ac:dyDescent="0.25">
      <c r="A56" s="284"/>
      <c r="B56" s="283">
        <v>42348</v>
      </c>
      <c r="C56" s="284">
        <v>70</v>
      </c>
      <c r="D56" s="285">
        <v>58.01</v>
      </c>
      <c r="E56" s="285">
        <v>0</v>
      </c>
      <c r="F56" s="285">
        <f>C56*D56+E56</f>
        <v>4060.7</v>
      </c>
      <c r="G56" s="284"/>
      <c r="H56" s="284"/>
      <c r="I56" s="285"/>
      <c r="J56" s="285"/>
      <c r="K56" s="285"/>
      <c r="L56" s="284"/>
      <c r="M56" s="284"/>
      <c r="N56" s="284"/>
      <c r="O56" s="284"/>
    </row>
    <row r="57" spans="1:16" ht="18" customHeight="1" x14ac:dyDescent="0.25">
      <c r="A57" s="284"/>
      <c r="B57" s="283">
        <v>42354</v>
      </c>
      <c r="C57" s="284">
        <v>220</v>
      </c>
      <c r="D57" s="285">
        <v>59.15</v>
      </c>
      <c r="E57" s="285">
        <v>0</v>
      </c>
      <c r="F57" s="285">
        <f>C57*D57+E57</f>
        <v>13013</v>
      </c>
      <c r="G57" s="284"/>
      <c r="H57" s="284"/>
      <c r="I57" s="285"/>
      <c r="J57" s="285"/>
      <c r="K57" s="285"/>
      <c r="L57" s="284"/>
      <c r="M57" s="284"/>
      <c r="N57" s="284"/>
      <c r="O57" s="284"/>
    </row>
    <row r="58" spans="1:16" ht="18" customHeight="1" x14ac:dyDescent="0.25">
      <c r="A58" s="287"/>
      <c r="B58" s="287"/>
      <c r="C58" s="287">
        <f>SUM(C34:C57)</f>
        <v>1700</v>
      </c>
      <c r="D58" s="290"/>
      <c r="E58" s="290"/>
      <c r="F58" s="290">
        <f>SUM(F34:F57)</f>
        <v>160718.04999999999</v>
      </c>
      <c r="G58" s="287"/>
      <c r="H58" s="287">
        <f>SUM(H34:H53)</f>
        <v>1700</v>
      </c>
      <c r="I58" s="290"/>
      <c r="J58" s="290"/>
      <c r="K58" s="290">
        <f>SUM(K34:K53)</f>
        <v>152393.44000000003</v>
      </c>
      <c r="L58" s="287"/>
      <c r="M58" s="287"/>
      <c r="N58" s="290">
        <f>K58-F58</f>
        <v>-8324.6099999999569</v>
      </c>
      <c r="O58" s="292">
        <f>N58/F58</f>
        <v>-5.1796360147475393E-2</v>
      </c>
    </row>
    <row r="59" spans="1:16" ht="18" customHeight="1" x14ac:dyDescent="0.25">
      <c r="B59" s="308"/>
      <c r="C59" s="309"/>
      <c r="D59" s="310"/>
      <c r="E59" s="310"/>
      <c r="F59" s="310"/>
      <c r="G59" s="308"/>
      <c r="H59" s="309"/>
      <c r="I59" s="310"/>
      <c r="K59" s="310"/>
      <c r="L59" s="308"/>
      <c r="M59" s="310"/>
      <c r="N59" s="310"/>
      <c r="O59" s="311"/>
      <c r="P59" s="139" t="s">
        <v>133</v>
      </c>
    </row>
    <row r="60" spans="1:16" ht="18" customHeight="1" x14ac:dyDescent="0.25">
      <c r="A60" s="293" t="s">
        <v>30</v>
      </c>
      <c r="B60" s="294">
        <v>42164</v>
      </c>
      <c r="C60" s="295">
        <v>10</v>
      </c>
      <c r="D60" s="296">
        <v>141.4</v>
      </c>
      <c r="E60" s="296"/>
      <c r="F60" s="296">
        <f>C60*D60</f>
        <v>1414</v>
      </c>
      <c r="G60" s="294">
        <v>42216</v>
      </c>
      <c r="H60" s="295">
        <v>10</v>
      </c>
      <c r="I60" s="296">
        <v>143.35</v>
      </c>
      <c r="J60" s="296">
        <v>0.03</v>
      </c>
      <c r="K60" s="296">
        <f>H60*I60-J60</f>
        <v>1433.47</v>
      </c>
      <c r="L60" s="297"/>
      <c r="M60" s="296"/>
      <c r="N60" s="296"/>
      <c r="O60" s="298"/>
    </row>
    <row r="61" spans="1:16" ht="18" customHeight="1" x14ac:dyDescent="0.25">
      <c r="A61" s="312"/>
      <c r="B61" s="313"/>
      <c r="C61" s="314">
        <f>SUM(C60)</f>
        <v>10</v>
      </c>
      <c r="D61" s="315"/>
      <c r="E61" s="315"/>
      <c r="F61" s="315">
        <f>SUM(F60)</f>
        <v>1414</v>
      </c>
      <c r="G61" s="316"/>
      <c r="H61" s="314">
        <f>SUM(H60)</f>
        <v>10</v>
      </c>
      <c r="I61" s="315"/>
      <c r="J61" s="314"/>
      <c r="K61" s="315">
        <f>SUM(K60)</f>
        <v>1433.47</v>
      </c>
      <c r="L61" s="316"/>
      <c r="M61" s="315"/>
      <c r="N61" s="315">
        <f>K61-F61</f>
        <v>19.470000000000027</v>
      </c>
      <c r="O61" s="317">
        <f>(N61+M61)/F61</f>
        <v>1.3769448373408788E-2</v>
      </c>
    </row>
    <row r="62" spans="1:16" ht="18" customHeight="1" x14ac:dyDescent="0.25">
      <c r="B62" s="308"/>
      <c r="C62" s="309"/>
      <c r="D62" s="310"/>
      <c r="E62" s="24"/>
      <c r="F62" s="310"/>
      <c r="G62" s="308"/>
      <c r="H62" s="309"/>
      <c r="I62" s="310"/>
      <c r="K62" s="310"/>
      <c r="L62" s="308"/>
      <c r="M62" s="310"/>
      <c r="N62" s="310"/>
      <c r="O62" s="311"/>
    </row>
    <row r="63" spans="1:16" ht="18" customHeight="1" x14ac:dyDescent="0.25">
      <c r="A63" s="293" t="s">
        <v>52</v>
      </c>
      <c r="B63" s="294">
        <v>42213</v>
      </c>
      <c r="C63" s="295">
        <v>25</v>
      </c>
      <c r="D63" s="296">
        <v>84.9</v>
      </c>
      <c r="E63" s="297"/>
      <c r="F63" s="296">
        <v>2122.5</v>
      </c>
      <c r="G63" s="294">
        <v>42221</v>
      </c>
      <c r="H63" s="295">
        <v>30</v>
      </c>
      <c r="I63" s="296">
        <v>84.23</v>
      </c>
      <c r="J63" s="296">
        <v>0</v>
      </c>
      <c r="K63" s="296">
        <v>2526.85</v>
      </c>
      <c r="L63" s="297"/>
      <c r="M63" s="296"/>
      <c r="N63" s="296"/>
      <c r="O63" s="298"/>
    </row>
    <row r="64" spans="1:16" ht="18" customHeight="1" x14ac:dyDescent="0.25">
      <c r="A64" s="293"/>
      <c r="B64" s="294">
        <v>42213</v>
      </c>
      <c r="C64" s="295">
        <v>5</v>
      </c>
      <c r="D64" s="296">
        <v>84.25</v>
      </c>
      <c r="E64" s="297"/>
      <c r="F64" s="296">
        <v>421.25</v>
      </c>
      <c r="G64" s="294">
        <v>42263</v>
      </c>
      <c r="H64" s="295">
        <v>40</v>
      </c>
      <c r="I64" s="296">
        <v>85</v>
      </c>
      <c r="J64" s="295">
        <v>0.06</v>
      </c>
      <c r="K64" s="296">
        <v>3399.94</v>
      </c>
      <c r="L64" s="297"/>
      <c r="M64" s="296"/>
      <c r="N64" s="296"/>
      <c r="O64" s="298"/>
    </row>
    <row r="65" spans="1:16" ht="18" customHeight="1" x14ac:dyDescent="0.25">
      <c r="A65" s="293"/>
      <c r="B65" s="294">
        <v>42214</v>
      </c>
      <c r="C65" s="295">
        <v>10</v>
      </c>
      <c r="D65" s="296">
        <v>83.2</v>
      </c>
      <c r="E65" s="297"/>
      <c r="F65" s="296">
        <v>832</v>
      </c>
      <c r="G65" s="297"/>
      <c r="H65" s="295"/>
      <c r="I65" s="296"/>
      <c r="J65" s="295"/>
      <c r="K65" s="296"/>
      <c r="L65" s="297"/>
      <c r="M65" s="296"/>
      <c r="N65" s="296"/>
      <c r="O65" s="298"/>
    </row>
    <row r="66" spans="1:16" ht="18" customHeight="1" x14ac:dyDescent="0.25">
      <c r="A66" s="293"/>
      <c r="B66" s="294">
        <v>42215</v>
      </c>
      <c r="C66" s="295">
        <v>5</v>
      </c>
      <c r="D66" s="296">
        <v>82.25</v>
      </c>
      <c r="E66" s="297"/>
      <c r="F66" s="296">
        <v>411.25</v>
      </c>
      <c r="G66" s="297"/>
      <c r="H66" s="295"/>
      <c r="I66" s="296"/>
      <c r="J66" s="295"/>
      <c r="K66" s="296"/>
      <c r="L66" s="297"/>
      <c r="M66" s="296"/>
      <c r="N66" s="296"/>
      <c r="O66" s="298"/>
    </row>
    <row r="67" spans="1:16" ht="18" customHeight="1" x14ac:dyDescent="0.25">
      <c r="A67" s="293"/>
      <c r="B67" s="294">
        <v>42220</v>
      </c>
      <c r="C67" s="295">
        <v>10</v>
      </c>
      <c r="D67" s="296">
        <v>81.349999999999994</v>
      </c>
      <c r="E67" s="297"/>
      <c r="F67" s="296">
        <v>813.5</v>
      </c>
      <c r="G67" s="297"/>
      <c r="H67" s="295"/>
      <c r="I67" s="296"/>
      <c r="J67" s="295"/>
      <c r="K67" s="296"/>
      <c r="L67" s="297"/>
      <c r="M67" s="296"/>
      <c r="N67" s="296"/>
      <c r="O67" s="298"/>
    </row>
    <row r="68" spans="1:16" ht="18" customHeight="1" x14ac:dyDescent="0.25">
      <c r="A68" s="293"/>
      <c r="B68" s="294">
        <v>42220</v>
      </c>
      <c r="C68" s="295">
        <v>5</v>
      </c>
      <c r="D68" s="296">
        <v>82.4</v>
      </c>
      <c r="E68" s="297"/>
      <c r="F68" s="296">
        <v>412</v>
      </c>
      <c r="G68" s="297"/>
      <c r="H68" s="295"/>
      <c r="I68" s="296"/>
      <c r="J68" s="295"/>
      <c r="K68" s="296"/>
      <c r="L68" s="297"/>
      <c r="M68" s="296"/>
      <c r="N68" s="296"/>
      <c r="O68" s="298"/>
    </row>
    <row r="69" spans="1:16" ht="18" customHeight="1" x14ac:dyDescent="0.25">
      <c r="A69" s="293"/>
      <c r="B69" s="294">
        <v>42221</v>
      </c>
      <c r="C69" s="295">
        <v>10</v>
      </c>
      <c r="D69" s="296">
        <v>80.7</v>
      </c>
      <c r="E69" s="297"/>
      <c r="F69" s="296">
        <v>807</v>
      </c>
      <c r="G69" s="297"/>
      <c r="H69" s="295"/>
      <c r="I69" s="296"/>
      <c r="J69" s="295"/>
      <c r="K69" s="296"/>
      <c r="L69" s="297"/>
      <c r="M69" s="296"/>
      <c r="N69" s="296"/>
      <c r="O69" s="298"/>
    </row>
    <row r="70" spans="1:16" ht="18" customHeight="1" x14ac:dyDescent="0.25">
      <c r="A70" s="312"/>
      <c r="B70" s="316"/>
      <c r="C70" s="314">
        <v>70</v>
      </c>
      <c r="D70" s="315"/>
      <c r="E70" s="316"/>
      <c r="F70" s="315">
        <f>SUM(F63:F69)</f>
        <v>5819.5</v>
      </c>
      <c r="G70" s="316"/>
      <c r="H70" s="314">
        <v>70</v>
      </c>
      <c r="I70" s="315"/>
      <c r="J70" s="314"/>
      <c r="K70" s="315">
        <f>SUM(K63:K64)</f>
        <v>5926.79</v>
      </c>
      <c r="L70" s="316"/>
      <c r="M70" s="315"/>
      <c r="N70" s="315">
        <f>K70-F70</f>
        <v>107.28999999999996</v>
      </c>
      <c r="O70" s="317">
        <f>N70/F70</f>
        <v>1.843629177764412E-2</v>
      </c>
    </row>
    <row r="71" spans="1:16" ht="18" customHeight="1" x14ac:dyDescent="0.25">
      <c r="B71" s="308"/>
      <c r="C71" s="309"/>
      <c r="D71" s="310"/>
      <c r="E71" s="310"/>
      <c r="F71" s="310"/>
      <c r="G71" s="308"/>
      <c r="H71" s="309"/>
      <c r="I71" s="310"/>
      <c r="K71" s="310"/>
      <c r="L71" s="308"/>
      <c r="M71" s="310"/>
      <c r="N71" s="310"/>
      <c r="O71" s="311"/>
    </row>
    <row r="72" spans="1:16" ht="18" customHeight="1" x14ac:dyDescent="0.25">
      <c r="A72" s="293" t="s">
        <v>8</v>
      </c>
      <c r="B72" s="294">
        <v>42145</v>
      </c>
      <c r="C72" s="295">
        <v>50</v>
      </c>
      <c r="D72" s="296">
        <v>61.7</v>
      </c>
      <c r="E72" s="296"/>
      <c r="F72" s="296">
        <f t="shared" ref="F72:F82" si="4">C72*D72</f>
        <v>3085</v>
      </c>
      <c r="G72" s="294">
        <v>42187</v>
      </c>
      <c r="H72" s="295">
        <v>300</v>
      </c>
      <c r="I72" s="296">
        <v>57.78</v>
      </c>
      <c r="J72" s="296">
        <v>0.32</v>
      </c>
      <c r="K72" s="296">
        <f>H72*I72-J72</f>
        <v>17333.68</v>
      </c>
      <c r="L72" s="294">
        <v>42185</v>
      </c>
      <c r="M72" s="296">
        <v>44.61</v>
      </c>
      <c r="N72" s="296"/>
      <c r="O72" s="298"/>
      <c r="P72" s="139" t="s">
        <v>133</v>
      </c>
    </row>
    <row r="73" spans="1:16" ht="18" customHeight="1" x14ac:dyDescent="0.25">
      <c r="A73" s="293"/>
      <c r="B73" s="294">
        <v>42146</v>
      </c>
      <c r="C73" s="295">
        <v>10</v>
      </c>
      <c r="D73" s="296">
        <v>61.37</v>
      </c>
      <c r="E73" s="296"/>
      <c r="F73" s="296">
        <f t="shared" si="4"/>
        <v>613.69999999999993</v>
      </c>
      <c r="G73" s="294">
        <v>42216</v>
      </c>
      <c r="H73" s="295">
        <v>300</v>
      </c>
      <c r="I73" s="296">
        <v>62</v>
      </c>
      <c r="J73" s="295">
        <v>0.34</v>
      </c>
      <c r="K73" s="296">
        <f>H73*I73-J73</f>
        <v>18599.66</v>
      </c>
      <c r="L73" s="297"/>
      <c r="M73" s="296"/>
      <c r="N73" s="296"/>
      <c r="O73" s="298"/>
    </row>
    <row r="74" spans="1:16" ht="18" customHeight="1" x14ac:dyDescent="0.25">
      <c r="A74" s="293"/>
      <c r="B74" s="294">
        <v>42146</v>
      </c>
      <c r="C74" s="295">
        <v>20</v>
      </c>
      <c r="D74" s="296">
        <v>61.12</v>
      </c>
      <c r="E74" s="296"/>
      <c r="F74" s="296">
        <f t="shared" si="4"/>
        <v>1222.3999999999999</v>
      </c>
      <c r="G74" s="297"/>
      <c r="H74" s="295"/>
      <c r="I74" s="296"/>
      <c r="J74" s="296"/>
      <c r="K74" s="296"/>
      <c r="L74" s="297"/>
      <c r="M74" s="296"/>
      <c r="N74" s="296"/>
      <c r="O74" s="298"/>
    </row>
    <row r="75" spans="1:16" ht="18" customHeight="1" x14ac:dyDescent="0.25">
      <c r="A75" s="293"/>
      <c r="B75" s="294">
        <v>42146</v>
      </c>
      <c r="C75" s="295">
        <v>20</v>
      </c>
      <c r="D75" s="296">
        <v>61.1</v>
      </c>
      <c r="E75" s="296"/>
      <c r="F75" s="296">
        <f t="shared" si="4"/>
        <v>1222</v>
      </c>
      <c r="G75" s="297"/>
      <c r="H75" s="295"/>
      <c r="I75" s="296"/>
      <c r="J75" s="295"/>
      <c r="K75" s="296"/>
      <c r="L75" s="297"/>
      <c r="M75" s="296"/>
      <c r="N75" s="296"/>
      <c r="O75" s="298"/>
    </row>
    <row r="76" spans="1:16" ht="18" customHeight="1" x14ac:dyDescent="0.25">
      <c r="A76" s="293"/>
      <c r="B76" s="294">
        <v>42146</v>
      </c>
      <c r="C76" s="295">
        <v>10</v>
      </c>
      <c r="D76" s="296">
        <v>60.8</v>
      </c>
      <c r="E76" s="296"/>
      <c r="F76" s="296">
        <f t="shared" si="4"/>
        <v>608</v>
      </c>
      <c r="G76" s="297"/>
      <c r="H76" s="295"/>
      <c r="I76" s="296"/>
      <c r="J76" s="296"/>
      <c r="K76" s="296"/>
      <c r="L76" s="297"/>
      <c r="M76" s="296"/>
      <c r="N76" s="296"/>
      <c r="O76" s="298"/>
    </row>
    <row r="77" spans="1:16" ht="18" customHeight="1" x14ac:dyDescent="0.25">
      <c r="A77" s="293"/>
      <c r="B77" s="294">
        <v>42146</v>
      </c>
      <c r="C77" s="295">
        <v>20</v>
      </c>
      <c r="D77" s="296">
        <v>60.7</v>
      </c>
      <c r="E77" s="296"/>
      <c r="F77" s="296">
        <f t="shared" si="4"/>
        <v>1214</v>
      </c>
      <c r="G77" s="297"/>
      <c r="H77" s="295"/>
      <c r="I77" s="296"/>
      <c r="J77" s="296"/>
      <c r="K77" s="296"/>
      <c r="L77" s="297"/>
      <c r="M77" s="296"/>
      <c r="N77" s="296"/>
      <c r="O77" s="298"/>
      <c r="P77" s="139" t="s">
        <v>133</v>
      </c>
    </row>
    <row r="78" spans="1:16" ht="18" customHeight="1" x14ac:dyDescent="0.25">
      <c r="A78" s="293"/>
      <c r="B78" s="294">
        <v>42150</v>
      </c>
      <c r="C78" s="295">
        <v>20</v>
      </c>
      <c r="D78" s="296">
        <v>60.6</v>
      </c>
      <c r="E78" s="296"/>
      <c r="F78" s="296">
        <f t="shared" si="4"/>
        <v>1212</v>
      </c>
      <c r="G78" s="297"/>
      <c r="H78" s="295"/>
      <c r="I78" s="296"/>
      <c r="J78" s="296"/>
      <c r="K78" s="296"/>
      <c r="L78" s="297"/>
      <c r="M78" s="296"/>
      <c r="N78" s="296"/>
      <c r="O78" s="298"/>
    </row>
    <row r="79" spans="1:16" ht="18" customHeight="1" x14ac:dyDescent="0.25">
      <c r="A79" s="293"/>
      <c r="B79" s="294">
        <v>42152</v>
      </c>
      <c r="C79" s="295">
        <v>30</v>
      </c>
      <c r="D79" s="296">
        <v>60.33</v>
      </c>
      <c r="E79" s="296"/>
      <c r="F79" s="296">
        <f t="shared" si="4"/>
        <v>1809.8999999999999</v>
      </c>
      <c r="G79" s="297"/>
      <c r="H79" s="295"/>
      <c r="I79" s="296"/>
      <c r="J79" s="296"/>
      <c r="K79" s="296"/>
      <c r="L79" s="297"/>
      <c r="M79" s="296"/>
      <c r="N79" s="296"/>
      <c r="O79" s="298"/>
    </row>
    <row r="80" spans="1:16" ht="18" customHeight="1" x14ac:dyDescent="0.25">
      <c r="A80" s="293"/>
      <c r="B80" s="294">
        <v>42152</v>
      </c>
      <c r="C80" s="295">
        <v>30</v>
      </c>
      <c r="D80" s="296">
        <v>60.39</v>
      </c>
      <c r="E80" s="296"/>
      <c r="F80" s="296">
        <f t="shared" si="4"/>
        <v>1811.7</v>
      </c>
      <c r="G80" s="297"/>
      <c r="H80" s="295"/>
      <c r="I80" s="296"/>
      <c r="J80" s="296"/>
      <c r="K80" s="296"/>
      <c r="L80" s="297"/>
      <c r="M80" s="296"/>
      <c r="N80" s="296"/>
      <c r="O80" s="298"/>
    </row>
    <row r="81" spans="1:16" ht="18" customHeight="1" x14ac:dyDescent="0.25">
      <c r="A81" s="293"/>
      <c r="B81" s="294">
        <v>42166</v>
      </c>
      <c r="C81" s="295">
        <v>100</v>
      </c>
      <c r="D81" s="296">
        <v>58</v>
      </c>
      <c r="E81" s="296"/>
      <c r="F81" s="296">
        <f t="shared" si="4"/>
        <v>5800</v>
      </c>
      <c r="G81" s="297"/>
      <c r="H81" s="295"/>
      <c r="I81" s="296"/>
      <c r="J81" s="296"/>
      <c r="K81" s="296"/>
      <c r="L81" s="297"/>
      <c r="M81" s="296"/>
      <c r="N81" s="296"/>
      <c r="O81" s="298"/>
    </row>
    <row r="82" spans="1:16" ht="18" customHeight="1" x14ac:dyDescent="0.25">
      <c r="A82" s="293"/>
      <c r="B82" s="294">
        <v>42187</v>
      </c>
      <c r="C82" s="295">
        <v>290</v>
      </c>
      <c r="D82" s="296">
        <v>57.85</v>
      </c>
      <c r="E82" s="296"/>
      <c r="F82" s="296">
        <f t="shared" si="4"/>
        <v>16776.5</v>
      </c>
      <c r="G82" s="297"/>
      <c r="H82" s="295"/>
      <c r="I82" s="296"/>
      <c r="J82" s="296"/>
      <c r="K82" s="296"/>
      <c r="L82" s="297"/>
      <c r="M82" s="296"/>
      <c r="N82" s="296"/>
      <c r="O82" s="298"/>
    </row>
    <row r="83" spans="1:16" ht="18" customHeight="1" x14ac:dyDescent="0.25">
      <c r="A83" s="293"/>
      <c r="B83" s="299"/>
      <c r="C83" s="300">
        <f>SUM(C72:C82)</f>
        <v>600</v>
      </c>
      <c r="D83" s="301"/>
      <c r="E83" s="301"/>
      <c r="F83" s="301">
        <f>SUM(F72:F82)</f>
        <v>35375.199999999997</v>
      </c>
      <c r="G83" s="302"/>
      <c r="H83" s="300">
        <f>SUM(H72:H82)</f>
        <v>600</v>
      </c>
      <c r="I83" s="301"/>
      <c r="J83" s="301"/>
      <c r="K83" s="301">
        <f>SUM(K72:K82)</f>
        <v>35933.339999999997</v>
      </c>
      <c r="L83" s="302"/>
      <c r="M83" s="301">
        <f>SUM(M72:M82)</f>
        <v>44.61</v>
      </c>
      <c r="N83" s="301">
        <f>K83-F83</f>
        <v>558.13999999999942</v>
      </c>
      <c r="O83" s="303">
        <f>(N83+M83)/F83</f>
        <v>1.7038772925665423E-2</v>
      </c>
      <c r="P83" s="139" t="s">
        <v>133</v>
      </c>
    </row>
    <row r="84" spans="1:16" ht="18" customHeight="1" x14ac:dyDescent="0.25">
      <c r="B84" s="308"/>
      <c r="C84" s="309"/>
      <c r="D84" s="310"/>
      <c r="E84" s="24"/>
      <c r="F84" s="310"/>
      <c r="G84" s="308"/>
      <c r="H84" s="309"/>
      <c r="I84" s="310"/>
      <c r="J84" s="310"/>
      <c r="K84" s="310"/>
      <c r="L84" s="308"/>
      <c r="M84" s="310"/>
      <c r="N84" s="310"/>
      <c r="O84" s="311"/>
    </row>
    <row r="85" spans="1:16" ht="18" customHeight="1" x14ac:dyDescent="0.25">
      <c r="A85" s="293" t="s">
        <v>40</v>
      </c>
      <c r="B85" s="294">
        <v>42184</v>
      </c>
      <c r="C85" s="295">
        <v>20</v>
      </c>
      <c r="D85" s="296">
        <v>164.18</v>
      </c>
      <c r="E85" s="296"/>
      <c r="F85" s="296">
        <f>C85*D85</f>
        <v>3283.6000000000004</v>
      </c>
      <c r="G85" s="294">
        <v>42216</v>
      </c>
      <c r="H85" s="295">
        <v>20</v>
      </c>
      <c r="I85" s="296">
        <v>158</v>
      </c>
      <c r="J85" s="296">
        <v>0.06</v>
      </c>
      <c r="K85" s="296">
        <f>H85*I85-J85</f>
        <v>3159.94</v>
      </c>
      <c r="L85" s="297"/>
      <c r="M85" s="296"/>
      <c r="N85" s="296"/>
      <c r="O85" s="295"/>
    </row>
    <row r="86" spans="1:16" ht="18" customHeight="1" x14ac:dyDescent="0.25">
      <c r="A86" s="293"/>
      <c r="B86" s="294">
        <v>42209</v>
      </c>
      <c r="C86" s="295">
        <v>10</v>
      </c>
      <c r="D86" s="296">
        <v>148</v>
      </c>
      <c r="E86" s="296"/>
      <c r="F86" s="296">
        <f>C86*D86</f>
        <v>1480</v>
      </c>
      <c r="G86" s="294">
        <v>42235</v>
      </c>
      <c r="H86" s="295">
        <v>20</v>
      </c>
      <c r="I86" s="296">
        <v>159.80000000000001</v>
      </c>
      <c r="J86" s="296">
        <v>0.06</v>
      </c>
      <c r="K86" s="296">
        <f>H86*I86-J86</f>
        <v>3195.94</v>
      </c>
      <c r="L86" s="297"/>
      <c r="M86" s="296"/>
      <c r="N86" s="296"/>
      <c r="O86" s="295"/>
    </row>
    <row r="87" spans="1:16" ht="18" customHeight="1" x14ac:dyDescent="0.25">
      <c r="A87" s="293"/>
      <c r="B87" s="294">
        <v>42209</v>
      </c>
      <c r="C87" s="295">
        <v>10</v>
      </c>
      <c r="D87" s="296">
        <v>146.69999999999999</v>
      </c>
      <c r="E87" s="296"/>
      <c r="F87" s="296">
        <f>C87*D87</f>
        <v>1467</v>
      </c>
      <c r="G87" s="297"/>
      <c r="H87" s="295"/>
      <c r="I87" s="296"/>
      <c r="J87" s="296"/>
      <c r="K87" s="296"/>
      <c r="L87" s="297"/>
      <c r="M87" s="296"/>
      <c r="N87" s="296"/>
      <c r="O87" s="295"/>
      <c r="P87" s="139" t="s">
        <v>133</v>
      </c>
    </row>
    <row r="88" spans="1:16" ht="18" customHeight="1" x14ac:dyDescent="0.25">
      <c r="A88" s="293"/>
      <c r="B88" s="302"/>
      <c r="C88" s="300">
        <f>SUM(C85:C87)</f>
        <v>40</v>
      </c>
      <c r="D88" s="301"/>
      <c r="E88" s="301"/>
      <c r="F88" s="301">
        <f>SUM(F85:F87)</f>
        <v>6230.6</v>
      </c>
      <c r="G88" s="302"/>
      <c r="H88" s="300">
        <f>SUM(H85:H87)</f>
        <v>40</v>
      </c>
      <c r="I88" s="301"/>
      <c r="J88" s="301"/>
      <c r="K88" s="301">
        <f>SUM(K85:K87)</f>
        <v>6355.88</v>
      </c>
      <c r="L88" s="302"/>
      <c r="M88" s="301"/>
      <c r="N88" s="301">
        <f>K88-F88</f>
        <v>125.27999999999975</v>
      </c>
      <c r="O88" s="303">
        <f>(N88+M88)/F88</f>
        <v>2.0107212788495449E-2</v>
      </c>
      <c r="P88" s="139"/>
    </row>
    <row r="89" spans="1:16" ht="18" customHeight="1" x14ac:dyDescent="0.25">
      <c r="B89" s="308"/>
      <c r="C89" s="309"/>
      <c r="D89" s="310"/>
      <c r="E89" s="310"/>
      <c r="F89" s="310"/>
      <c r="G89" s="308"/>
      <c r="H89" s="309"/>
      <c r="I89" s="310"/>
      <c r="J89" s="310"/>
      <c r="K89" s="310"/>
      <c r="L89" s="308"/>
      <c r="M89" s="310"/>
      <c r="N89" s="310"/>
      <c r="O89" s="311"/>
      <c r="P89" s="139"/>
    </row>
    <row r="90" spans="1:16" ht="18" customHeight="1" x14ac:dyDescent="0.25">
      <c r="A90" s="293" t="s">
        <v>19</v>
      </c>
      <c r="B90" s="294">
        <v>42152</v>
      </c>
      <c r="C90" s="295">
        <v>5</v>
      </c>
      <c r="D90" s="296">
        <v>35.049999999999997</v>
      </c>
      <c r="E90" s="296"/>
      <c r="F90" s="296">
        <v>175.25</v>
      </c>
      <c r="G90" s="294">
        <v>42206</v>
      </c>
      <c r="H90" s="295">
        <v>39</v>
      </c>
      <c r="I90" s="296">
        <v>35.65</v>
      </c>
      <c r="J90" s="295">
        <v>0.03</v>
      </c>
      <c r="K90" s="296">
        <f>H90*I90-J90</f>
        <v>1390.32</v>
      </c>
      <c r="L90" s="294">
        <v>42170</v>
      </c>
      <c r="M90" s="296">
        <v>7.73</v>
      </c>
      <c r="N90" s="296"/>
      <c r="O90" s="298"/>
      <c r="P90" s="139" t="s">
        <v>133</v>
      </c>
    </row>
    <row r="91" spans="1:16" ht="18" customHeight="1" x14ac:dyDescent="0.25">
      <c r="A91" s="293"/>
      <c r="B91" s="294">
        <v>42153</v>
      </c>
      <c r="C91" s="295">
        <v>25</v>
      </c>
      <c r="D91" s="296">
        <v>34.4</v>
      </c>
      <c r="E91" s="297"/>
      <c r="F91" s="296">
        <v>860</v>
      </c>
      <c r="G91" s="294">
        <v>42264</v>
      </c>
      <c r="H91" s="295">
        <v>51</v>
      </c>
      <c r="I91" s="296">
        <v>35</v>
      </c>
      <c r="J91" s="296">
        <v>0.03</v>
      </c>
      <c r="K91" s="296">
        <f>H91*I91-J91</f>
        <v>1784.97</v>
      </c>
      <c r="L91" s="294">
        <v>42262</v>
      </c>
      <c r="M91" s="296">
        <v>13.64</v>
      </c>
      <c r="N91" s="296"/>
      <c r="O91" s="298"/>
      <c r="P91" s="139"/>
    </row>
    <row r="92" spans="1:16" ht="18" customHeight="1" x14ac:dyDescent="0.25">
      <c r="A92" s="293"/>
      <c r="B92" s="294">
        <v>42173</v>
      </c>
      <c r="C92" s="295">
        <v>10</v>
      </c>
      <c r="D92" s="296">
        <v>34.1</v>
      </c>
      <c r="E92" s="296"/>
      <c r="F92" s="296">
        <v>341</v>
      </c>
      <c r="G92" s="297"/>
      <c r="H92" s="295"/>
      <c r="I92" s="296"/>
      <c r="J92" s="296"/>
      <c r="K92" s="296"/>
      <c r="L92" s="297"/>
      <c r="M92" s="296"/>
      <c r="N92" s="296"/>
      <c r="O92" s="298"/>
      <c r="P92" s="139"/>
    </row>
    <row r="93" spans="1:16" ht="18" customHeight="1" x14ac:dyDescent="0.25">
      <c r="A93" s="293"/>
      <c r="B93" s="294">
        <v>42228</v>
      </c>
      <c r="C93" s="295">
        <v>50</v>
      </c>
      <c r="D93" s="296">
        <v>33.44</v>
      </c>
      <c r="E93" s="296"/>
      <c r="F93" s="296">
        <v>1672.2</v>
      </c>
      <c r="G93" s="297"/>
      <c r="H93" s="295"/>
      <c r="I93" s="296"/>
      <c r="J93" s="296"/>
      <c r="K93" s="296"/>
      <c r="L93" s="297"/>
      <c r="M93" s="296"/>
      <c r="N93" s="296"/>
      <c r="O93" s="298"/>
      <c r="P93" s="139"/>
    </row>
    <row r="94" spans="1:16" ht="18" customHeight="1" x14ac:dyDescent="0.25">
      <c r="A94" s="293"/>
      <c r="B94" s="302"/>
      <c r="C94" s="300">
        <v>90</v>
      </c>
      <c r="D94" s="301"/>
      <c r="E94" s="301"/>
      <c r="F94" s="301">
        <f>SUM(F90:F93)</f>
        <v>3048.45</v>
      </c>
      <c r="G94" s="302"/>
      <c r="H94" s="300">
        <v>90</v>
      </c>
      <c r="I94" s="301"/>
      <c r="J94" s="301"/>
      <c r="K94" s="301">
        <f>SUM(K90:K91)</f>
        <v>3175.29</v>
      </c>
      <c r="L94" s="302"/>
      <c r="M94" s="301">
        <f>SUM(M90:M91)</f>
        <v>21.37</v>
      </c>
      <c r="N94" s="301">
        <f>K94-F94</f>
        <v>126.84000000000015</v>
      </c>
      <c r="O94" s="303">
        <f>N94/F94</f>
        <v>4.1608030310485704E-2</v>
      </c>
      <c r="P94" s="139"/>
    </row>
    <row r="95" spans="1:16" ht="18" customHeight="1" x14ac:dyDescent="0.25">
      <c r="B95" s="308"/>
      <c r="C95" s="309"/>
      <c r="D95" s="310"/>
      <c r="E95" s="24"/>
      <c r="F95" s="310"/>
      <c r="G95" s="308"/>
      <c r="H95" s="309"/>
      <c r="I95" s="310"/>
      <c r="K95" s="310"/>
      <c r="L95" s="308"/>
      <c r="M95" s="310"/>
      <c r="N95" s="310"/>
      <c r="O95" s="311"/>
      <c r="P95" s="139"/>
    </row>
    <row r="96" spans="1:16" ht="18" customHeight="1" x14ac:dyDescent="0.25">
      <c r="A96" s="293" t="s">
        <v>32</v>
      </c>
      <c r="B96" s="294">
        <v>42166</v>
      </c>
      <c r="C96" s="295">
        <v>25</v>
      </c>
      <c r="D96" s="296">
        <v>41.2</v>
      </c>
      <c r="E96" s="297"/>
      <c r="F96" s="296">
        <f>C96*D96</f>
        <v>1030</v>
      </c>
      <c r="G96" s="294">
        <v>42200</v>
      </c>
      <c r="H96" s="295">
        <v>50</v>
      </c>
      <c r="I96" s="296">
        <v>42.08</v>
      </c>
      <c r="J96" s="295">
        <v>0.04</v>
      </c>
      <c r="K96" s="296">
        <f>H96*I96-J96</f>
        <v>2103.96</v>
      </c>
      <c r="L96" s="297"/>
      <c r="M96" s="296"/>
      <c r="N96" s="296"/>
      <c r="O96" s="298"/>
      <c r="P96" s="139" t="s">
        <v>133</v>
      </c>
    </row>
    <row r="97" spans="1:15" ht="18" customHeight="1" x14ac:dyDescent="0.25">
      <c r="A97" s="293"/>
      <c r="B97" s="294">
        <v>42167</v>
      </c>
      <c r="C97" s="295">
        <v>25</v>
      </c>
      <c r="D97" s="296">
        <v>39.1</v>
      </c>
      <c r="E97" s="297"/>
      <c r="F97" s="296">
        <f>C97*D97</f>
        <v>977.5</v>
      </c>
      <c r="G97" s="297"/>
      <c r="H97" s="295"/>
      <c r="I97" s="296"/>
      <c r="J97" s="295"/>
      <c r="K97" s="296"/>
      <c r="L97" s="297"/>
      <c r="M97" s="296"/>
      <c r="N97" s="296"/>
      <c r="O97" s="298"/>
    </row>
    <row r="98" spans="1:15" ht="18" customHeight="1" x14ac:dyDescent="0.25">
      <c r="A98" s="293"/>
      <c r="B98" s="299"/>
      <c r="C98" s="300">
        <f>SUM(C96:C97)</f>
        <v>50</v>
      </c>
      <c r="D98" s="301"/>
      <c r="E98" s="302"/>
      <c r="F98" s="301">
        <f>SUM(F96:F97)</f>
        <v>2007.5</v>
      </c>
      <c r="G98" s="302"/>
      <c r="H98" s="300">
        <f>SUM(H96:H97)</f>
        <v>50</v>
      </c>
      <c r="I98" s="301"/>
      <c r="J98" s="300"/>
      <c r="K98" s="301">
        <f>SUM(K96:K97)</f>
        <v>2103.96</v>
      </c>
      <c r="L98" s="302"/>
      <c r="M98" s="301"/>
      <c r="N98" s="301">
        <f>K98-F98</f>
        <v>96.460000000000036</v>
      </c>
      <c r="O98" s="303">
        <f>(N98+M98)/F98</f>
        <v>4.804981320049815E-2</v>
      </c>
    </row>
    <row r="99" spans="1:15" ht="18" customHeight="1" x14ac:dyDescent="0.25">
      <c r="B99" s="308"/>
      <c r="C99" s="309"/>
      <c r="D99" s="310"/>
      <c r="E99" s="310"/>
      <c r="F99" s="310"/>
      <c r="G99" s="308"/>
      <c r="H99" s="309"/>
      <c r="I99" s="310"/>
      <c r="K99" s="310"/>
      <c r="L99" s="308"/>
      <c r="M99" s="310"/>
      <c r="N99" s="310"/>
      <c r="O99" s="311"/>
    </row>
    <row r="100" spans="1:15" ht="18" customHeight="1" x14ac:dyDescent="0.25">
      <c r="A100" s="293" t="s">
        <v>16</v>
      </c>
      <c r="B100" s="294">
        <v>42153</v>
      </c>
      <c r="C100" s="295">
        <v>1</v>
      </c>
      <c r="D100" s="296">
        <v>20.3</v>
      </c>
      <c r="E100" s="296"/>
      <c r="F100" s="296">
        <f>C100*D100</f>
        <v>20.3</v>
      </c>
      <c r="G100" s="294">
        <v>42187</v>
      </c>
      <c r="H100" s="295">
        <v>1</v>
      </c>
      <c r="I100" s="296">
        <v>28.5</v>
      </c>
      <c r="J100" s="296">
        <v>0.01</v>
      </c>
      <c r="K100" s="296">
        <f>H100*I100-J100</f>
        <v>28.49</v>
      </c>
      <c r="L100" s="297"/>
      <c r="M100" s="296"/>
      <c r="N100" s="296"/>
      <c r="O100" s="298"/>
    </row>
    <row r="101" spans="1:15" ht="18" customHeight="1" x14ac:dyDescent="0.25">
      <c r="A101" s="293"/>
      <c r="B101" s="302"/>
      <c r="C101" s="300">
        <f>SUM(C100)</f>
        <v>1</v>
      </c>
      <c r="D101" s="301"/>
      <c r="E101" s="301"/>
      <c r="F101" s="301">
        <f>SUM(F100)</f>
        <v>20.3</v>
      </c>
      <c r="G101" s="302"/>
      <c r="H101" s="300">
        <f>SUM(H100)</f>
        <v>1</v>
      </c>
      <c r="I101" s="301"/>
      <c r="J101" s="301"/>
      <c r="K101" s="301">
        <f>SUM(K100)</f>
        <v>28.49</v>
      </c>
      <c r="L101" s="302"/>
      <c r="M101" s="301"/>
      <c r="N101" s="301">
        <f>K101-F101</f>
        <v>8.1899999999999977</v>
      </c>
      <c r="O101" s="303">
        <f>(N101+M101)/F101</f>
        <v>0.40344827586206883</v>
      </c>
    </row>
    <row r="102" spans="1:15" ht="18" customHeight="1" x14ac:dyDescent="0.25">
      <c r="B102" s="308"/>
      <c r="C102" s="309"/>
      <c r="D102" s="310"/>
      <c r="E102" s="24"/>
      <c r="F102" s="310"/>
      <c r="G102" s="308"/>
      <c r="H102" s="309"/>
      <c r="I102" s="310"/>
      <c r="K102" s="310"/>
      <c r="L102" s="308"/>
      <c r="M102" s="310"/>
      <c r="N102" s="310"/>
      <c r="O102" s="311"/>
    </row>
    <row r="103" spans="1:15" ht="18" customHeight="1" x14ac:dyDescent="0.25">
      <c r="A103" s="293" t="s">
        <v>21</v>
      </c>
      <c r="B103" s="294">
        <v>42153</v>
      </c>
      <c r="C103" s="295">
        <v>10</v>
      </c>
      <c r="D103" s="296">
        <v>17.399999999999999</v>
      </c>
      <c r="E103" s="297"/>
      <c r="F103" s="296">
        <f>C103*D103</f>
        <v>174</v>
      </c>
      <c r="G103" s="294">
        <v>42186</v>
      </c>
      <c r="H103" s="295">
        <v>10</v>
      </c>
      <c r="I103" s="296">
        <v>24.2</v>
      </c>
      <c r="J103" s="295">
        <v>0.01</v>
      </c>
      <c r="K103" s="296">
        <f>H103*I103-J103</f>
        <v>241.99</v>
      </c>
      <c r="L103" s="297"/>
      <c r="M103" s="296"/>
      <c r="N103" s="296"/>
      <c r="O103" s="298"/>
    </row>
    <row r="104" spans="1:15" ht="18" customHeight="1" x14ac:dyDescent="0.25">
      <c r="A104" s="293"/>
      <c r="B104" s="294">
        <v>42187</v>
      </c>
      <c r="C104" s="295">
        <v>1000</v>
      </c>
      <c r="D104" s="296">
        <v>22.12</v>
      </c>
      <c r="E104" s="297"/>
      <c r="F104" s="296">
        <f>C104*D104</f>
        <v>22120</v>
      </c>
      <c r="G104" s="294">
        <v>42187</v>
      </c>
      <c r="H104" s="295">
        <v>4000</v>
      </c>
      <c r="I104" s="296">
        <v>21.81</v>
      </c>
      <c r="J104" s="295">
        <v>11.91</v>
      </c>
      <c r="K104" s="296">
        <f>H104*I104-J104</f>
        <v>87228.09</v>
      </c>
      <c r="L104" s="297"/>
      <c r="M104" s="296"/>
      <c r="N104" s="296"/>
      <c r="O104" s="298"/>
    </row>
    <row r="105" spans="1:15" ht="18" customHeight="1" x14ac:dyDescent="0.25">
      <c r="A105" s="293"/>
      <c r="B105" s="294">
        <v>42187</v>
      </c>
      <c r="C105" s="295">
        <v>1000</v>
      </c>
      <c r="D105" s="296">
        <v>21.7</v>
      </c>
      <c r="E105" s="297"/>
      <c r="F105" s="296">
        <f>C105*D105</f>
        <v>21700</v>
      </c>
      <c r="G105" s="294"/>
      <c r="H105" s="295"/>
      <c r="I105" s="296"/>
      <c r="J105" s="295"/>
      <c r="K105" s="296"/>
      <c r="L105" s="297"/>
      <c r="M105" s="296"/>
      <c r="N105" s="296"/>
      <c r="O105" s="298"/>
    </row>
    <row r="106" spans="1:15" ht="18" customHeight="1" x14ac:dyDescent="0.25">
      <c r="A106" s="293"/>
      <c r="B106" s="294">
        <v>42187</v>
      </c>
      <c r="C106" s="295">
        <v>2000</v>
      </c>
      <c r="D106" s="296">
        <v>21.49</v>
      </c>
      <c r="E106" s="297"/>
      <c r="F106" s="296">
        <f>C106*D106</f>
        <v>42980</v>
      </c>
      <c r="G106" s="294"/>
      <c r="H106" s="295"/>
      <c r="I106" s="296"/>
      <c r="J106" s="295"/>
      <c r="K106" s="296"/>
      <c r="L106" s="297"/>
      <c r="M106" s="296"/>
      <c r="N106" s="296"/>
      <c r="O106" s="298"/>
    </row>
    <row r="107" spans="1:15" ht="18" customHeight="1" x14ac:dyDescent="0.25">
      <c r="A107" s="293"/>
      <c r="B107" s="299"/>
      <c r="C107" s="300">
        <f>SUM(C103:C106)</f>
        <v>4010</v>
      </c>
      <c r="D107" s="301"/>
      <c r="E107" s="302"/>
      <c r="F107" s="301">
        <f>SUM(F103:F106)</f>
        <v>86974</v>
      </c>
      <c r="G107" s="302"/>
      <c r="H107" s="300">
        <f>SUM(H103:H106)</f>
        <v>4010</v>
      </c>
      <c r="I107" s="301"/>
      <c r="J107" s="300"/>
      <c r="K107" s="301">
        <f>SUM(K103:K106)</f>
        <v>87470.080000000002</v>
      </c>
      <c r="L107" s="302"/>
      <c r="M107" s="301"/>
      <c r="N107" s="301">
        <f>K107-F107</f>
        <v>496.08000000000175</v>
      </c>
      <c r="O107" s="303">
        <f>(N107+M107)/F107</f>
        <v>5.7037735415181746E-3</v>
      </c>
    </row>
    <row r="108" spans="1:15" ht="18" customHeight="1" x14ac:dyDescent="0.25">
      <c r="B108" s="308"/>
      <c r="C108" s="309"/>
      <c r="D108" s="310"/>
      <c r="E108" s="24"/>
      <c r="F108" s="310"/>
      <c r="G108" s="308"/>
      <c r="H108" s="309"/>
      <c r="I108" s="310"/>
      <c r="J108" s="310"/>
      <c r="K108" s="310"/>
      <c r="L108" s="308"/>
      <c r="M108" s="310"/>
      <c r="N108" s="309"/>
      <c r="O108" s="309"/>
    </row>
    <row r="109" spans="1:15" ht="18" customHeight="1" x14ac:dyDescent="0.25">
      <c r="A109" s="293" t="s">
        <v>9</v>
      </c>
      <c r="B109" s="294">
        <v>42145</v>
      </c>
      <c r="C109" s="295">
        <v>100</v>
      </c>
      <c r="D109" s="296">
        <v>5.55</v>
      </c>
      <c r="E109" s="296"/>
      <c r="F109" s="296">
        <f t="shared" ref="F109:F138" si="5">C109*D109</f>
        <v>555</v>
      </c>
      <c r="G109" s="294">
        <v>42187</v>
      </c>
      <c r="H109" s="295">
        <v>4200</v>
      </c>
      <c r="I109" s="296">
        <v>5.0199999999999996</v>
      </c>
      <c r="J109" s="296">
        <v>0.39</v>
      </c>
      <c r="K109" s="296">
        <f>H109*I109-J109</f>
        <v>21083.61</v>
      </c>
      <c r="L109" s="294">
        <v>42185</v>
      </c>
      <c r="M109" s="296">
        <v>656.25</v>
      </c>
      <c r="N109" s="295"/>
      <c r="O109" s="295"/>
    </row>
    <row r="110" spans="1:15" ht="18" customHeight="1" x14ac:dyDescent="0.25">
      <c r="A110" s="293"/>
      <c r="B110" s="294">
        <v>42146</v>
      </c>
      <c r="C110" s="295">
        <v>100</v>
      </c>
      <c r="D110" s="296">
        <v>5.47</v>
      </c>
      <c r="E110" s="296"/>
      <c r="F110" s="296">
        <f t="shared" si="5"/>
        <v>547</v>
      </c>
      <c r="G110" s="294">
        <v>42207</v>
      </c>
      <c r="H110" s="295">
        <v>1000</v>
      </c>
      <c r="I110" s="296">
        <v>5.12</v>
      </c>
      <c r="J110" s="296">
        <v>0.09</v>
      </c>
      <c r="K110" s="296">
        <f>H110*I110-J110</f>
        <v>5119.91</v>
      </c>
      <c r="L110" s="297"/>
      <c r="M110" s="296"/>
      <c r="N110" s="295"/>
      <c r="O110" s="295"/>
    </row>
    <row r="111" spans="1:15" ht="18" customHeight="1" x14ac:dyDescent="0.25">
      <c r="A111" s="293"/>
      <c r="B111" s="294">
        <v>42146</v>
      </c>
      <c r="C111" s="295">
        <v>100</v>
      </c>
      <c r="D111" s="296">
        <v>5.43</v>
      </c>
      <c r="E111" s="296"/>
      <c r="F111" s="296">
        <f t="shared" si="5"/>
        <v>543</v>
      </c>
      <c r="G111" s="294">
        <v>42207</v>
      </c>
      <c r="H111" s="295">
        <v>2000</v>
      </c>
      <c r="I111" s="296">
        <v>5.16</v>
      </c>
      <c r="J111" s="296">
        <v>0.19</v>
      </c>
      <c r="K111" s="296">
        <f t="shared" ref="K111:K118" si="6">H111*I111-J111</f>
        <v>10319.81</v>
      </c>
      <c r="L111" s="297"/>
      <c r="M111" s="296"/>
      <c r="N111" s="295"/>
      <c r="O111" s="295"/>
    </row>
    <row r="112" spans="1:15" ht="18" customHeight="1" x14ac:dyDescent="0.25">
      <c r="A112" s="293"/>
      <c r="B112" s="294">
        <v>42146</v>
      </c>
      <c r="C112" s="295">
        <v>100</v>
      </c>
      <c r="D112" s="296">
        <v>5.4</v>
      </c>
      <c r="E112" s="296"/>
      <c r="F112" s="296">
        <f t="shared" si="5"/>
        <v>540</v>
      </c>
      <c r="G112" s="294">
        <v>42207</v>
      </c>
      <c r="H112" s="295">
        <v>1000</v>
      </c>
      <c r="I112" s="296">
        <v>5.07</v>
      </c>
      <c r="J112" s="296">
        <v>0.09</v>
      </c>
      <c r="K112" s="296">
        <f t="shared" si="6"/>
        <v>5069.91</v>
      </c>
      <c r="L112" s="297"/>
      <c r="M112" s="296"/>
      <c r="N112" s="295"/>
      <c r="O112" s="295"/>
    </row>
    <row r="113" spans="1:16" ht="18" customHeight="1" x14ac:dyDescent="0.25">
      <c r="A113" s="293"/>
      <c r="B113" s="294">
        <v>42146</v>
      </c>
      <c r="C113" s="295">
        <v>200</v>
      </c>
      <c r="D113" s="296">
        <v>5.35</v>
      </c>
      <c r="E113" s="296"/>
      <c r="F113" s="296">
        <f t="shared" si="5"/>
        <v>1070</v>
      </c>
      <c r="G113" s="294">
        <v>42207</v>
      </c>
      <c r="H113" s="295">
        <v>1000</v>
      </c>
      <c r="I113" s="296">
        <v>5.09</v>
      </c>
      <c r="J113" s="296">
        <v>0.09</v>
      </c>
      <c r="K113" s="296">
        <f t="shared" si="6"/>
        <v>5089.91</v>
      </c>
      <c r="L113" s="297"/>
      <c r="M113" s="296"/>
      <c r="N113" s="295"/>
      <c r="O113" s="295"/>
    </row>
    <row r="114" spans="1:16" ht="18" customHeight="1" x14ac:dyDescent="0.25">
      <c r="A114" s="293"/>
      <c r="B114" s="294">
        <v>42152</v>
      </c>
      <c r="C114" s="295">
        <v>250</v>
      </c>
      <c r="D114" s="296">
        <v>5.3</v>
      </c>
      <c r="E114" s="296"/>
      <c r="F114" s="296">
        <f t="shared" si="5"/>
        <v>1325</v>
      </c>
      <c r="G114" s="294">
        <v>42207</v>
      </c>
      <c r="H114" s="295">
        <v>2000</v>
      </c>
      <c r="I114" s="296">
        <v>5.23</v>
      </c>
      <c r="J114" s="296">
        <v>0.19</v>
      </c>
      <c r="K114" s="296">
        <f t="shared" si="6"/>
        <v>10459.81</v>
      </c>
      <c r="L114" s="297"/>
      <c r="M114" s="296"/>
      <c r="N114" s="295"/>
      <c r="O114" s="295"/>
    </row>
    <row r="115" spans="1:16" ht="18" customHeight="1" x14ac:dyDescent="0.25">
      <c r="A115" s="293"/>
      <c r="B115" s="294">
        <v>42152</v>
      </c>
      <c r="C115" s="295">
        <v>200</v>
      </c>
      <c r="D115" s="296">
        <v>5.26</v>
      </c>
      <c r="E115" s="296"/>
      <c r="F115" s="296">
        <f t="shared" si="5"/>
        <v>1052</v>
      </c>
      <c r="G115" s="294">
        <v>42222</v>
      </c>
      <c r="H115" s="295">
        <v>5000</v>
      </c>
      <c r="I115" s="296">
        <v>5.12</v>
      </c>
      <c r="J115" s="296">
        <v>0.47</v>
      </c>
      <c r="K115" s="296">
        <f t="shared" si="6"/>
        <v>25599.53</v>
      </c>
      <c r="L115" s="297"/>
      <c r="M115" s="296"/>
      <c r="N115" s="295"/>
      <c r="O115" s="295"/>
    </row>
    <row r="116" spans="1:16" ht="18" customHeight="1" x14ac:dyDescent="0.25">
      <c r="A116" s="293"/>
      <c r="B116" s="294">
        <v>42152</v>
      </c>
      <c r="C116" s="295">
        <v>200</v>
      </c>
      <c r="D116" s="296">
        <v>5.22</v>
      </c>
      <c r="E116" s="296"/>
      <c r="F116" s="296">
        <f t="shared" si="5"/>
        <v>1044</v>
      </c>
      <c r="G116" s="294">
        <v>42222</v>
      </c>
      <c r="H116" s="295">
        <v>1000</v>
      </c>
      <c r="I116" s="296">
        <v>5.1100000000000003</v>
      </c>
      <c r="J116" s="296">
        <v>0.09</v>
      </c>
      <c r="K116" s="296">
        <f t="shared" si="6"/>
        <v>5109.91</v>
      </c>
      <c r="L116" s="297"/>
      <c r="M116" s="296"/>
      <c r="N116" s="295"/>
      <c r="O116" s="295"/>
    </row>
    <row r="117" spans="1:16" ht="18" customHeight="1" x14ac:dyDescent="0.25">
      <c r="A117" s="293"/>
      <c r="B117" s="294">
        <v>42152</v>
      </c>
      <c r="C117" s="295">
        <v>1000</v>
      </c>
      <c r="D117" s="296">
        <v>5.19</v>
      </c>
      <c r="E117" s="296"/>
      <c r="F117" s="296">
        <f t="shared" si="5"/>
        <v>5190</v>
      </c>
      <c r="G117" s="294">
        <v>42223</v>
      </c>
      <c r="H117" s="295">
        <v>1950</v>
      </c>
      <c r="I117" s="296">
        <v>5.2</v>
      </c>
      <c r="J117" s="296">
        <v>0.19</v>
      </c>
      <c r="K117" s="296">
        <f t="shared" si="6"/>
        <v>10139.81</v>
      </c>
      <c r="L117" s="297"/>
      <c r="M117" s="296"/>
      <c r="N117" s="295"/>
      <c r="O117" s="295"/>
    </row>
    <row r="118" spans="1:16" ht="18" customHeight="1" x14ac:dyDescent="0.25">
      <c r="A118" s="293"/>
      <c r="B118" s="294">
        <v>42152</v>
      </c>
      <c r="C118" s="295">
        <v>2000</v>
      </c>
      <c r="D118" s="296">
        <v>5.17</v>
      </c>
      <c r="E118" s="296"/>
      <c r="F118" s="296">
        <f t="shared" si="5"/>
        <v>10340</v>
      </c>
      <c r="G118" s="294">
        <v>42229</v>
      </c>
      <c r="H118" s="295">
        <v>50</v>
      </c>
      <c r="I118" s="296">
        <v>5.28</v>
      </c>
      <c r="J118" s="296">
        <v>0.01</v>
      </c>
      <c r="K118" s="296">
        <f t="shared" si="6"/>
        <v>263.99</v>
      </c>
      <c r="L118" s="297"/>
      <c r="M118" s="296"/>
      <c r="N118" s="295"/>
      <c r="O118" s="295"/>
    </row>
    <row r="119" spans="1:16" ht="18" customHeight="1" x14ac:dyDescent="0.25">
      <c r="A119" s="293"/>
      <c r="B119" s="294">
        <v>42152</v>
      </c>
      <c r="C119" s="295">
        <v>2000</v>
      </c>
      <c r="D119" s="296">
        <v>5.15</v>
      </c>
      <c r="E119" s="296"/>
      <c r="F119" s="296">
        <f t="shared" si="5"/>
        <v>10300</v>
      </c>
      <c r="G119" s="297"/>
      <c r="H119" s="295"/>
      <c r="I119" s="296"/>
      <c r="J119" s="296"/>
      <c r="K119" s="296"/>
      <c r="L119" s="297"/>
      <c r="M119" s="296"/>
      <c r="N119" s="295"/>
      <c r="O119" s="295"/>
    </row>
    <row r="120" spans="1:16" ht="18" customHeight="1" x14ac:dyDescent="0.25">
      <c r="A120" s="293"/>
      <c r="B120" s="294">
        <v>42158</v>
      </c>
      <c r="C120" s="295">
        <v>500</v>
      </c>
      <c r="D120" s="296">
        <v>5.09</v>
      </c>
      <c r="E120" s="296"/>
      <c r="F120" s="296">
        <f t="shared" si="5"/>
        <v>2545</v>
      </c>
      <c r="G120" s="297"/>
      <c r="H120" s="295"/>
      <c r="I120" s="296"/>
      <c r="J120" s="296"/>
      <c r="K120" s="296"/>
      <c r="L120" s="297"/>
      <c r="M120" s="296"/>
      <c r="N120" s="295"/>
      <c r="O120" s="295"/>
    </row>
    <row r="121" spans="1:16" ht="18" customHeight="1" x14ac:dyDescent="0.25">
      <c r="A121" s="293"/>
      <c r="B121" s="294">
        <v>42158</v>
      </c>
      <c r="C121" s="295">
        <v>1000</v>
      </c>
      <c r="D121" s="296">
        <v>5.04</v>
      </c>
      <c r="E121" s="297"/>
      <c r="F121" s="296">
        <f t="shared" si="5"/>
        <v>5040</v>
      </c>
      <c r="G121" s="297"/>
      <c r="H121" s="295"/>
      <c r="I121" s="296"/>
      <c r="J121" s="296"/>
      <c r="K121" s="296"/>
      <c r="L121" s="297"/>
      <c r="M121" s="296"/>
      <c r="N121" s="295"/>
      <c r="O121" s="295"/>
    </row>
    <row r="122" spans="1:16" ht="18" customHeight="1" x14ac:dyDescent="0.25">
      <c r="A122" s="293"/>
      <c r="B122" s="294">
        <v>42158</v>
      </c>
      <c r="C122" s="295">
        <v>200</v>
      </c>
      <c r="D122" s="296">
        <v>5.05</v>
      </c>
      <c r="E122" s="296"/>
      <c r="F122" s="296">
        <f t="shared" si="5"/>
        <v>1010</v>
      </c>
      <c r="G122" s="297"/>
      <c r="H122" s="295"/>
      <c r="I122" s="296"/>
      <c r="J122" s="296"/>
      <c r="K122" s="296"/>
      <c r="L122" s="297"/>
      <c r="M122" s="296"/>
      <c r="N122" s="295"/>
      <c r="O122" s="295"/>
    </row>
    <row r="123" spans="1:16" ht="18" customHeight="1" x14ac:dyDescent="0.25">
      <c r="A123" s="293"/>
      <c r="B123" s="294">
        <v>42164</v>
      </c>
      <c r="C123" s="295">
        <v>500</v>
      </c>
      <c r="D123" s="296">
        <v>5.07</v>
      </c>
      <c r="E123" s="296"/>
      <c r="F123" s="296">
        <f t="shared" si="5"/>
        <v>2535</v>
      </c>
      <c r="G123" s="297"/>
      <c r="H123" s="295"/>
      <c r="I123" s="296"/>
      <c r="J123" s="296"/>
      <c r="K123" s="296"/>
      <c r="L123" s="297"/>
      <c r="M123" s="296"/>
      <c r="N123" s="295"/>
      <c r="O123" s="295"/>
    </row>
    <row r="124" spans="1:16" ht="18" customHeight="1" x14ac:dyDescent="0.25">
      <c r="A124" s="293"/>
      <c r="B124" s="294">
        <v>42164</v>
      </c>
      <c r="C124" s="295">
        <v>1000</v>
      </c>
      <c r="D124" s="296">
        <v>5.04</v>
      </c>
      <c r="E124" s="296"/>
      <c r="F124" s="296">
        <f t="shared" si="5"/>
        <v>5040</v>
      </c>
      <c r="G124" s="297"/>
      <c r="H124" s="295"/>
      <c r="I124" s="296"/>
      <c r="J124" s="296"/>
      <c r="K124" s="296"/>
      <c r="L124" s="297"/>
      <c r="M124" s="296"/>
      <c r="N124" s="295"/>
      <c r="O124" s="295"/>
    </row>
    <row r="125" spans="1:16" ht="18" customHeight="1" x14ac:dyDescent="0.25">
      <c r="A125" s="293"/>
      <c r="B125" s="294">
        <v>42164</v>
      </c>
      <c r="C125" s="295">
        <v>1000</v>
      </c>
      <c r="D125" s="296">
        <v>5.01</v>
      </c>
      <c r="E125" s="296"/>
      <c r="F125" s="296">
        <f t="shared" si="5"/>
        <v>5010</v>
      </c>
      <c r="G125" s="297"/>
      <c r="H125" s="295"/>
      <c r="I125" s="296"/>
      <c r="J125" s="296"/>
      <c r="K125" s="296"/>
      <c r="L125" s="297"/>
      <c r="M125" s="296"/>
      <c r="N125" s="295"/>
      <c r="O125" s="295"/>
    </row>
    <row r="126" spans="1:16" ht="18" customHeight="1" x14ac:dyDescent="0.25">
      <c r="A126" s="293"/>
      <c r="B126" s="294">
        <v>42173</v>
      </c>
      <c r="C126" s="295">
        <v>500</v>
      </c>
      <c r="D126" s="296">
        <v>4.88</v>
      </c>
      <c r="E126" s="296"/>
      <c r="F126" s="296">
        <f t="shared" si="5"/>
        <v>2440</v>
      </c>
      <c r="G126" s="297"/>
      <c r="H126" s="295"/>
      <c r="I126" s="296"/>
      <c r="J126" s="296"/>
      <c r="K126" s="296"/>
      <c r="L126" s="297"/>
      <c r="M126" s="296"/>
      <c r="N126" s="295"/>
      <c r="O126" s="295"/>
    </row>
    <row r="127" spans="1:16" ht="18" customHeight="1" x14ac:dyDescent="0.25">
      <c r="A127" s="293"/>
      <c r="B127" s="294">
        <v>42187</v>
      </c>
      <c r="C127" s="295">
        <v>2000</v>
      </c>
      <c r="D127" s="296">
        <v>4.9800000000000004</v>
      </c>
      <c r="E127" s="296"/>
      <c r="F127" s="296">
        <f t="shared" si="5"/>
        <v>9960</v>
      </c>
      <c r="G127" s="297"/>
      <c r="H127" s="295"/>
      <c r="I127" s="296"/>
      <c r="J127" s="296"/>
      <c r="K127" s="296"/>
      <c r="L127" s="297"/>
      <c r="M127" s="296"/>
      <c r="N127" s="295"/>
      <c r="O127" s="295"/>
    </row>
    <row r="128" spans="1:16" ht="18" customHeight="1" x14ac:dyDescent="0.25">
      <c r="A128" s="293"/>
      <c r="B128" s="294">
        <v>42187</v>
      </c>
      <c r="C128" s="295">
        <v>100</v>
      </c>
      <c r="D128" s="296">
        <v>4.9800000000000004</v>
      </c>
      <c r="E128" s="296"/>
      <c r="F128" s="296">
        <f t="shared" si="5"/>
        <v>498.00000000000006</v>
      </c>
      <c r="G128" s="297"/>
      <c r="H128" s="295"/>
      <c r="I128" s="296"/>
      <c r="J128" s="296"/>
      <c r="K128" s="296"/>
      <c r="L128" s="297"/>
      <c r="M128" s="296"/>
      <c r="N128" s="295"/>
      <c r="O128" s="295"/>
      <c r="P128" s="139" t="s">
        <v>133</v>
      </c>
    </row>
    <row r="129" spans="1:16" ht="18" customHeight="1" x14ac:dyDescent="0.25">
      <c r="A129" s="293"/>
      <c r="B129" s="294">
        <v>42187</v>
      </c>
      <c r="C129" s="295">
        <v>100</v>
      </c>
      <c r="D129" s="296">
        <v>4.9800000000000004</v>
      </c>
      <c r="E129" s="296"/>
      <c r="F129" s="296">
        <f t="shared" si="5"/>
        <v>498.00000000000006</v>
      </c>
      <c r="G129" s="297"/>
      <c r="H129" s="295"/>
      <c r="I129" s="296"/>
      <c r="J129" s="296"/>
      <c r="K129" s="296"/>
      <c r="L129" s="297"/>
      <c r="M129" s="296"/>
      <c r="N129" s="295"/>
      <c r="O129" s="295"/>
    </row>
    <row r="130" spans="1:16" ht="18" customHeight="1" x14ac:dyDescent="0.25">
      <c r="A130" s="293"/>
      <c r="B130" s="294">
        <v>42187</v>
      </c>
      <c r="C130" s="295">
        <v>2000</v>
      </c>
      <c r="D130" s="296">
        <v>4.97</v>
      </c>
      <c r="E130" s="296"/>
      <c r="F130" s="296">
        <f t="shared" si="5"/>
        <v>9940</v>
      </c>
      <c r="G130" s="297"/>
      <c r="H130" s="295"/>
      <c r="I130" s="296"/>
      <c r="J130" s="296"/>
      <c r="K130" s="296"/>
      <c r="L130" s="297"/>
      <c r="M130" s="296"/>
      <c r="N130" s="295"/>
      <c r="O130" s="295"/>
    </row>
    <row r="131" spans="1:16" ht="18" customHeight="1" x14ac:dyDescent="0.25">
      <c r="A131" s="293"/>
      <c r="B131" s="294">
        <v>42199</v>
      </c>
      <c r="C131" s="295">
        <v>500</v>
      </c>
      <c r="D131" s="296">
        <v>4.8</v>
      </c>
      <c r="E131" s="296"/>
      <c r="F131" s="296">
        <f t="shared" si="5"/>
        <v>2400</v>
      </c>
      <c r="G131" s="297"/>
      <c r="H131" s="295"/>
      <c r="I131" s="296"/>
      <c r="J131" s="296"/>
      <c r="K131" s="296"/>
      <c r="L131" s="297"/>
      <c r="M131" s="296"/>
      <c r="N131" s="295"/>
      <c r="O131" s="295"/>
      <c r="P131" s="139" t="s">
        <v>133</v>
      </c>
    </row>
    <row r="132" spans="1:16" ht="18" customHeight="1" x14ac:dyDescent="0.25">
      <c r="A132" s="293"/>
      <c r="B132" s="294">
        <v>42212</v>
      </c>
      <c r="C132" s="295">
        <v>300</v>
      </c>
      <c r="D132" s="296">
        <v>4.76</v>
      </c>
      <c r="E132" s="296"/>
      <c r="F132" s="296">
        <f t="shared" si="5"/>
        <v>1428</v>
      </c>
      <c r="G132" s="297"/>
      <c r="H132" s="295"/>
      <c r="I132" s="296"/>
      <c r="J132" s="296"/>
      <c r="K132" s="296"/>
      <c r="L132" s="297"/>
      <c r="M132" s="296"/>
      <c r="N132" s="295"/>
      <c r="O132" s="295"/>
    </row>
    <row r="133" spans="1:16" ht="18" customHeight="1" x14ac:dyDescent="0.25">
      <c r="A133" s="293"/>
      <c r="B133" s="294">
        <v>42212</v>
      </c>
      <c r="C133" s="295">
        <v>1700</v>
      </c>
      <c r="D133" s="296">
        <v>4.76</v>
      </c>
      <c r="E133" s="296"/>
      <c r="F133" s="296">
        <f t="shared" si="5"/>
        <v>8092</v>
      </c>
      <c r="G133" s="297"/>
      <c r="H133" s="295"/>
      <c r="I133" s="296"/>
      <c r="J133" s="296"/>
      <c r="K133" s="296"/>
      <c r="L133" s="297"/>
      <c r="M133" s="296"/>
      <c r="N133" s="295"/>
      <c r="O133" s="295"/>
    </row>
    <row r="134" spans="1:16" ht="18" customHeight="1" x14ac:dyDescent="0.25">
      <c r="A134" s="293"/>
      <c r="B134" s="294">
        <v>42214</v>
      </c>
      <c r="C134" s="295">
        <v>500</v>
      </c>
      <c r="D134" s="296">
        <v>4.68</v>
      </c>
      <c r="E134" s="296"/>
      <c r="F134" s="296">
        <f t="shared" si="5"/>
        <v>2340</v>
      </c>
      <c r="G134" s="297"/>
      <c r="H134" s="295"/>
      <c r="I134" s="296"/>
      <c r="J134" s="296"/>
      <c r="K134" s="296"/>
      <c r="L134" s="297"/>
      <c r="M134" s="296"/>
      <c r="N134" s="295"/>
      <c r="O134" s="295"/>
    </row>
    <row r="135" spans="1:16" ht="18" customHeight="1" x14ac:dyDescent="0.25">
      <c r="A135" s="293"/>
      <c r="B135" s="294">
        <v>42214</v>
      </c>
      <c r="C135" s="295">
        <v>50</v>
      </c>
      <c r="D135" s="296">
        <v>4.6500000000000004</v>
      </c>
      <c r="E135" s="296"/>
      <c r="F135" s="296">
        <f t="shared" si="5"/>
        <v>232.50000000000003</v>
      </c>
      <c r="G135" s="297"/>
      <c r="H135" s="295"/>
      <c r="I135" s="296"/>
      <c r="J135" s="296"/>
      <c r="K135" s="296"/>
      <c r="L135" s="297"/>
      <c r="M135" s="296"/>
      <c r="N135" s="295"/>
      <c r="O135" s="295"/>
      <c r="P135" s="139" t="s">
        <v>133</v>
      </c>
    </row>
    <row r="136" spans="1:16" ht="18" customHeight="1" x14ac:dyDescent="0.25">
      <c r="A136" s="293"/>
      <c r="B136" s="294">
        <v>42214</v>
      </c>
      <c r="C136" s="295">
        <v>200</v>
      </c>
      <c r="D136" s="296">
        <v>4.63</v>
      </c>
      <c r="E136" s="296"/>
      <c r="F136" s="296">
        <f t="shared" si="5"/>
        <v>926</v>
      </c>
      <c r="G136" s="297"/>
      <c r="H136" s="295"/>
      <c r="I136" s="296"/>
      <c r="J136" s="296"/>
      <c r="K136" s="296"/>
      <c r="L136" s="297"/>
      <c r="M136" s="296"/>
      <c r="N136" s="295"/>
      <c r="O136" s="295"/>
    </row>
    <row r="137" spans="1:16" ht="18" customHeight="1" x14ac:dyDescent="0.25">
      <c r="A137" s="293"/>
      <c r="B137" s="294">
        <v>42214</v>
      </c>
      <c r="C137" s="295">
        <v>300</v>
      </c>
      <c r="D137" s="296">
        <v>4.59</v>
      </c>
      <c r="E137" s="296"/>
      <c r="F137" s="296">
        <f t="shared" si="5"/>
        <v>1377</v>
      </c>
      <c r="G137" s="297"/>
      <c r="H137" s="295"/>
      <c r="I137" s="296"/>
      <c r="J137" s="296"/>
      <c r="K137" s="296"/>
      <c r="L137" s="297"/>
      <c r="M137" s="296"/>
      <c r="N137" s="295"/>
      <c r="O137" s="295"/>
    </row>
    <row r="138" spans="1:16" ht="18" customHeight="1" x14ac:dyDescent="0.25">
      <c r="A138" s="293"/>
      <c r="B138" s="294">
        <v>42214</v>
      </c>
      <c r="C138" s="295">
        <v>500</v>
      </c>
      <c r="D138" s="296">
        <v>4.54</v>
      </c>
      <c r="E138" s="296"/>
      <c r="F138" s="296">
        <f t="shared" si="5"/>
        <v>2270</v>
      </c>
      <c r="G138" s="297"/>
      <c r="H138" s="295"/>
      <c r="I138" s="296"/>
      <c r="J138" s="296"/>
      <c r="K138" s="296"/>
      <c r="L138" s="297"/>
      <c r="M138" s="296"/>
      <c r="N138" s="295"/>
      <c r="O138" s="295"/>
    </row>
    <row r="139" spans="1:16" ht="18" customHeight="1" x14ac:dyDescent="0.25">
      <c r="A139" s="293"/>
      <c r="B139" s="302"/>
      <c r="C139" s="300">
        <f>SUM(C109:C138)</f>
        <v>19200</v>
      </c>
      <c r="D139" s="301"/>
      <c r="E139" s="301"/>
      <c r="F139" s="301">
        <f>SUM(F109:F138)</f>
        <v>96087.5</v>
      </c>
      <c r="G139" s="302"/>
      <c r="H139" s="300">
        <f>SUM(H109:H138)</f>
        <v>19200</v>
      </c>
      <c r="I139" s="301"/>
      <c r="J139" s="301"/>
      <c r="K139" s="301">
        <f>SUM(K109:K138)</f>
        <v>98256.200000000012</v>
      </c>
      <c r="L139" s="302"/>
      <c r="M139" s="301">
        <f>SUM(M109:M138)</f>
        <v>656.25</v>
      </c>
      <c r="N139" s="301">
        <f>K139-F139</f>
        <v>2168.7000000000116</v>
      </c>
      <c r="O139" s="303">
        <f>(N139+M139)/F139</f>
        <v>2.9399765838428637E-2</v>
      </c>
    </row>
    <row r="140" spans="1:16" ht="18" customHeight="1" x14ac:dyDescent="0.25">
      <c r="B140" s="308"/>
      <c r="C140" s="309"/>
      <c r="D140" s="310"/>
      <c r="E140" s="24"/>
      <c r="F140" s="310"/>
      <c r="G140" s="308"/>
      <c r="H140" s="309"/>
      <c r="I140" s="310"/>
      <c r="K140" s="310"/>
      <c r="L140" s="308"/>
      <c r="M140" s="310"/>
      <c r="N140" s="310"/>
      <c r="O140" s="311"/>
    </row>
    <row r="141" spans="1:16" ht="18" customHeight="1" x14ac:dyDescent="0.25">
      <c r="A141" s="380" t="s">
        <v>15</v>
      </c>
      <c r="B141" s="370">
        <v>42153</v>
      </c>
      <c r="C141" s="371">
        <v>1</v>
      </c>
      <c r="D141" s="372">
        <v>26.75</v>
      </c>
      <c r="E141" s="372">
        <v>0</v>
      </c>
      <c r="F141" s="372">
        <f>C141*D141</f>
        <v>26.75</v>
      </c>
      <c r="G141" s="370">
        <v>42226</v>
      </c>
      <c r="H141" s="371">
        <v>170</v>
      </c>
      <c r="I141" s="371">
        <v>22.35</v>
      </c>
      <c r="J141" s="372">
        <v>7.0000000000000007E-2</v>
      </c>
      <c r="K141" s="371">
        <f t="shared" ref="K141:K148" si="7">H141*I141-J141</f>
        <v>3799.4300000000003</v>
      </c>
      <c r="L141" s="371" t="s">
        <v>80</v>
      </c>
      <c r="M141" s="371"/>
      <c r="N141" s="371"/>
      <c r="O141" s="371"/>
      <c r="P141" s="81"/>
    </row>
    <row r="142" spans="1:16" ht="18" customHeight="1" x14ac:dyDescent="0.25">
      <c r="A142" s="381"/>
      <c r="B142" s="370">
        <v>42173</v>
      </c>
      <c r="C142" s="371">
        <v>19</v>
      </c>
      <c r="D142" s="372">
        <v>24.84</v>
      </c>
      <c r="E142" s="372">
        <v>0</v>
      </c>
      <c r="F142" s="372">
        <f t="shared" ref="F142:F155" si="8">C142*D142</f>
        <v>471.96</v>
      </c>
      <c r="G142" s="370">
        <v>42263</v>
      </c>
      <c r="H142" s="371">
        <v>120</v>
      </c>
      <c r="I142" s="371">
        <v>19.28</v>
      </c>
      <c r="J142" s="371">
        <v>0.04</v>
      </c>
      <c r="K142" s="371">
        <f t="shared" si="7"/>
        <v>2313.5600000000004</v>
      </c>
      <c r="L142" s="371"/>
      <c r="M142" s="371"/>
      <c r="N142" s="371"/>
      <c r="O142" s="371"/>
      <c r="P142" s="81"/>
    </row>
    <row r="143" spans="1:16" ht="18" customHeight="1" x14ac:dyDescent="0.25">
      <c r="A143" s="371"/>
      <c r="B143" s="370">
        <v>42184</v>
      </c>
      <c r="C143" s="371">
        <v>10</v>
      </c>
      <c r="D143" s="372">
        <v>24.33</v>
      </c>
      <c r="E143" s="372">
        <v>0</v>
      </c>
      <c r="F143" s="372">
        <f t="shared" si="8"/>
        <v>243.29999999999998</v>
      </c>
      <c r="G143" s="370">
        <v>42284</v>
      </c>
      <c r="H143" s="371">
        <v>40</v>
      </c>
      <c r="I143" s="371">
        <v>20.45</v>
      </c>
      <c r="J143" s="371">
        <v>0.02</v>
      </c>
      <c r="K143" s="371">
        <f t="shared" si="7"/>
        <v>817.98</v>
      </c>
      <c r="L143" s="371"/>
      <c r="M143" s="371"/>
      <c r="N143" s="371"/>
      <c r="O143" s="371"/>
      <c r="P143" s="81"/>
    </row>
    <row r="144" spans="1:16" ht="18" customHeight="1" x14ac:dyDescent="0.25">
      <c r="A144" s="371"/>
      <c r="B144" s="370">
        <v>42185</v>
      </c>
      <c r="C144" s="371">
        <v>5</v>
      </c>
      <c r="D144" s="372">
        <v>23.82</v>
      </c>
      <c r="E144" s="372">
        <v>0</v>
      </c>
      <c r="F144" s="372">
        <f t="shared" si="8"/>
        <v>119.1</v>
      </c>
      <c r="G144" s="370">
        <v>42285</v>
      </c>
      <c r="H144" s="371">
        <v>80</v>
      </c>
      <c r="I144" s="372">
        <v>21.14</v>
      </c>
      <c r="J144" s="372">
        <v>0.03</v>
      </c>
      <c r="K144" s="371">
        <f t="shared" si="7"/>
        <v>1691.17</v>
      </c>
      <c r="L144" s="371"/>
      <c r="M144" s="371"/>
      <c r="N144" s="371"/>
      <c r="O144" s="371"/>
      <c r="P144" s="81"/>
    </row>
    <row r="145" spans="1:17" ht="18" customHeight="1" x14ac:dyDescent="0.25">
      <c r="A145" s="371"/>
      <c r="B145" s="370">
        <v>42185</v>
      </c>
      <c r="C145" s="371">
        <v>15</v>
      </c>
      <c r="D145" s="372">
        <v>23.71</v>
      </c>
      <c r="E145" s="372">
        <v>0</v>
      </c>
      <c r="F145" s="372">
        <f t="shared" si="8"/>
        <v>355.65000000000003</v>
      </c>
      <c r="G145" s="370">
        <v>42010</v>
      </c>
      <c r="H145" s="371">
        <v>60</v>
      </c>
      <c r="I145" s="371">
        <v>17.760000000000002</v>
      </c>
      <c r="J145" s="371">
        <v>0.02</v>
      </c>
      <c r="K145" s="371">
        <f t="shared" si="7"/>
        <v>1065.5800000000002</v>
      </c>
      <c r="L145" s="371"/>
      <c r="M145" s="371"/>
      <c r="N145" s="371"/>
      <c r="O145" s="371"/>
      <c r="P145" s="81"/>
    </row>
    <row r="146" spans="1:17" ht="18" customHeight="1" x14ac:dyDescent="0.25">
      <c r="A146" s="371"/>
      <c r="B146" s="370">
        <v>42185</v>
      </c>
      <c r="C146" s="371">
        <v>30</v>
      </c>
      <c r="D146" s="372">
        <v>23.65</v>
      </c>
      <c r="E146" s="372">
        <v>0</v>
      </c>
      <c r="F146" s="372">
        <f t="shared" si="8"/>
        <v>709.5</v>
      </c>
      <c r="G146" s="370">
        <v>42398</v>
      </c>
      <c r="H146" s="371">
        <v>60</v>
      </c>
      <c r="I146" s="371">
        <v>17.559999999999999</v>
      </c>
      <c r="J146" s="371">
        <v>0.02</v>
      </c>
      <c r="K146" s="371">
        <f t="shared" si="7"/>
        <v>1053.58</v>
      </c>
      <c r="L146" s="371"/>
      <c r="M146" s="371"/>
      <c r="N146" s="371"/>
      <c r="O146" s="371"/>
      <c r="P146" s="81"/>
    </row>
    <row r="147" spans="1:17" ht="18" customHeight="1" x14ac:dyDescent="0.25">
      <c r="A147" s="371"/>
      <c r="B147" s="370">
        <v>42185</v>
      </c>
      <c r="C147" s="371">
        <v>40</v>
      </c>
      <c r="D147" s="372">
        <v>23.2</v>
      </c>
      <c r="E147" s="372">
        <v>0</v>
      </c>
      <c r="F147" s="372">
        <f t="shared" si="8"/>
        <v>928</v>
      </c>
      <c r="G147" s="370">
        <v>42416</v>
      </c>
      <c r="H147" s="371">
        <v>60</v>
      </c>
      <c r="I147" s="371">
        <v>16.82</v>
      </c>
      <c r="J147" s="371">
        <v>0.02</v>
      </c>
      <c r="K147" s="371">
        <f t="shared" si="7"/>
        <v>1009.1800000000001</v>
      </c>
      <c r="L147" s="371"/>
      <c r="M147" s="371"/>
      <c r="N147" s="371"/>
      <c r="O147" s="371"/>
      <c r="P147" s="81"/>
    </row>
    <row r="148" spans="1:17" ht="18" customHeight="1" x14ac:dyDescent="0.25">
      <c r="A148" s="371"/>
      <c r="B148" s="370">
        <v>42185</v>
      </c>
      <c r="C148" s="371">
        <v>50</v>
      </c>
      <c r="D148" s="372">
        <v>22.94</v>
      </c>
      <c r="E148" s="372">
        <v>0</v>
      </c>
      <c r="F148" s="372">
        <f t="shared" si="8"/>
        <v>1147</v>
      </c>
      <c r="G148" s="370">
        <v>42423</v>
      </c>
      <c r="H148" s="371">
        <v>60</v>
      </c>
      <c r="I148" s="371">
        <v>17.84</v>
      </c>
      <c r="J148" s="371">
        <v>0.02</v>
      </c>
      <c r="K148" s="371">
        <f t="shared" si="7"/>
        <v>1070.3800000000001</v>
      </c>
      <c r="L148" s="371"/>
      <c r="M148" s="371"/>
      <c r="N148" s="371"/>
      <c r="O148" s="371"/>
      <c r="P148" s="81"/>
    </row>
    <row r="149" spans="1:17" ht="18" customHeight="1" x14ac:dyDescent="0.25">
      <c r="A149" s="371"/>
      <c r="B149" s="370">
        <v>42209</v>
      </c>
      <c r="C149" s="371">
        <v>50</v>
      </c>
      <c r="D149" s="372">
        <v>19.75</v>
      </c>
      <c r="E149" s="372">
        <v>0</v>
      </c>
      <c r="F149" s="372">
        <f t="shared" si="8"/>
        <v>987.5</v>
      </c>
      <c r="G149" s="371"/>
      <c r="H149" s="371"/>
      <c r="I149" s="371"/>
      <c r="J149" s="371"/>
      <c r="K149" s="371"/>
      <c r="L149" s="371"/>
      <c r="M149" s="371"/>
      <c r="N149" s="371"/>
      <c r="O149" s="371"/>
      <c r="P149" s="81"/>
    </row>
    <row r="150" spans="1:17" ht="18" customHeight="1" x14ac:dyDescent="0.25">
      <c r="A150" s="371"/>
      <c r="B150" s="370">
        <v>42212</v>
      </c>
      <c r="C150" s="371">
        <v>30</v>
      </c>
      <c r="D150" s="372">
        <v>19.2</v>
      </c>
      <c r="E150" s="372">
        <v>0</v>
      </c>
      <c r="F150" s="372">
        <f t="shared" si="8"/>
        <v>576</v>
      </c>
      <c r="G150" s="371"/>
      <c r="H150" s="371"/>
      <c r="I150" s="371"/>
      <c r="J150" s="371"/>
      <c r="K150" s="371"/>
      <c r="L150" s="371"/>
      <c r="M150" s="371"/>
      <c r="N150" s="371"/>
      <c r="O150" s="371"/>
      <c r="P150" s="81"/>
    </row>
    <row r="151" spans="1:17" ht="18" customHeight="1" x14ac:dyDescent="0.25">
      <c r="A151" s="371"/>
      <c r="B151" s="370">
        <v>42240</v>
      </c>
      <c r="C151" s="371">
        <v>40</v>
      </c>
      <c r="D151" s="372">
        <v>19.93</v>
      </c>
      <c r="E151" s="372">
        <v>0</v>
      </c>
      <c r="F151" s="372">
        <f t="shared" si="8"/>
        <v>797.2</v>
      </c>
      <c r="G151" s="371"/>
      <c r="H151" s="371"/>
      <c r="I151" s="371"/>
      <c r="J151" s="371"/>
      <c r="K151" s="371"/>
      <c r="L151" s="371"/>
      <c r="M151" s="371"/>
      <c r="N151" s="371"/>
      <c r="O151" s="371"/>
      <c r="P151" s="81"/>
    </row>
    <row r="152" spans="1:17" ht="18" customHeight="1" x14ac:dyDescent="0.25">
      <c r="A152" s="371"/>
      <c r="B152" s="370">
        <v>42261</v>
      </c>
      <c r="C152" s="371">
        <v>120</v>
      </c>
      <c r="D152" s="372">
        <v>18.7</v>
      </c>
      <c r="E152" s="372">
        <v>0</v>
      </c>
      <c r="F152" s="372">
        <f t="shared" si="8"/>
        <v>2244</v>
      </c>
      <c r="G152" s="371"/>
      <c r="H152" s="371"/>
      <c r="I152" s="371"/>
      <c r="J152" s="371"/>
      <c r="K152" s="371"/>
      <c r="L152" s="371"/>
      <c r="M152" s="371"/>
      <c r="N152" s="371"/>
      <c r="O152" s="371"/>
      <c r="P152" s="81"/>
    </row>
    <row r="153" spans="1:17" ht="18" customHeight="1" x14ac:dyDescent="0.25">
      <c r="A153" s="371"/>
      <c r="B153" s="370">
        <v>42349</v>
      </c>
      <c r="C153" s="371">
        <v>60</v>
      </c>
      <c r="D153" s="372">
        <v>18.04</v>
      </c>
      <c r="E153" s="372">
        <v>0</v>
      </c>
      <c r="F153" s="372">
        <f t="shared" si="8"/>
        <v>1082.3999999999999</v>
      </c>
      <c r="G153" s="371"/>
      <c r="H153" s="371"/>
      <c r="I153" s="371"/>
      <c r="J153" s="371"/>
      <c r="K153" s="371"/>
      <c r="L153" s="371"/>
      <c r="M153" s="371"/>
      <c r="N153" s="371"/>
      <c r="O153" s="371"/>
      <c r="P153" s="81"/>
    </row>
    <row r="154" spans="1:17" ht="18" customHeight="1" x14ac:dyDescent="0.25">
      <c r="A154" s="371"/>
      <c r="B154" s="370">
        <v>42362</v>
      </c>
      <c r="C154" s="371">
        <v>120</v>
      </c>
      <c r="D154" s="372">
        <v>17.079999999999998</v>
      </c>
      <c r="E154" s="372">
        <v>0</v>
      </c>
      <c r="F154" s="372">
        <f t="shared" si="8"/>
        <v>2049.6</v>
      </c>
      <c r="G154" s="371"/>
      <c r="H154" s="371"/>
      <c r="I154" s="371"/>
      <c r="J154" s="371"/>
      <c r="K154" s="371"/>
      <c r="L154" s="371"/>
      <c r="M154" s="371"/>
      <c r="N154" s="371"/>
      <c r="O154" s="371"/>
      <c r="P154" s="81"/>
    </row>
    <row r="155" spans="1:17" ht="18" customHeight="1" x14ac:dyDescent="0.25">
      <c r="A155" s="371"/>
      <c r="B155" s="370">
        <v>42409</v>
      </c>
      <c r="C155" s="371">
        <v>60</v>
      </c>
      <c r="D155" s="372">
        <v>15.45</v>
      </c>
      <c r="E155" s="372">
        <v>0</v>
      </c>
      <c r="F155" s="372">
        <f t="shared" si="8"/>
        <v>927</v>
      </c>
      <c r="G155" s="371"/>
      <c r="H155" s="371"/>
      <c r="I155" s="371"/>
      <c r="J155" s="371"/>
      <c r="K155" s="371"/>
      <c r="L155" s="371"/>
      <c r="M155" s="371"/>
      <c r="N155" s="371"/>
      <c r="O155" s="371"/>
      <c r="P155" s="81"/>
    </row>
    <row r="156" spans="1:17" ht="18" customHeight="1" x14ac:dyDescent="0.25">
      <c r="A156" s="371"/>
      <c r="B156" s="371"/>
      <c r="C156" s="371"/>
      <c r="D156" s="372"/>
      <c r="E156" s="372"/>
      <c r="F156" s="372"/>
      <c r="G156" s="371"/>
      <c r="H156" s="371"/>
      <c r="I156" s="371"/>
      <c r="J156" s="371"/>
      <c r="K156" s="371"/>
      <c r="L156" s="371"/>
      <c r="M156" s="371"/>
      <c r="N156" s="371"/>
      <c r="O156" s="371"/>
      <c r="P156" s="81"/>
    </row>
    <row r="157" spans="1:17" ht="18" customHeight="1" x14ac:dyDescent="0.25">
      <c r="A157" s="371"/>
      <c r="B157" s="371"/>
      <c r="C157" s="371"/>
      <c r="D157" s="372"/>
      <c r="E157" s="372"/>
      <c r="F157" s="372"/>
      <c r="G157" s="371"/>
      <c r="H157" s="371"/>
      <c r="I157" s="371"/>
      <c r="J157" s="371"/>
      <c r="K157" s="371"/>
      <c r="L157" s="371"/>
      <c r="M157" s="371"/>
      <c r="N157" s="371"/>
      <c r="O157" s="371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7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93" t="s">
        <v>25</v>
      </c>
      <c r="B160" s="294">
        <v>42163</v>
      </c>
      <c r="C160" s="295">
        <v>1</v>
      </c>
      <c r="D160" s="296">
        <v>117.3</v>
      </c>
      <c r="E160" s="297"/>
      <c r="F160" s="296">
        <f>C160*D160</f>
        <v>117.3</v>
      </c>
      <c r="G160" s="294">
        <v>42186</v>
      </c>
      <c r="H160" s="295">
        <v>1</v>
      </c>
      <c r="I160" s="296">
        <v>121.6</v>
      </c>
      <c r="J160" s="295">
        <v>0.01</v>
      </c>
      <c r="K160" s="296">
        <f>H160*I160-J160</f>
        <v>121.58999999999999</v>
      </c>
      <c r="L160" s="297"/>
      <c r="M160" s="296"/>
      <c r="N160" s="296"/>
      <c r="O160" s="298"/>
      <c r="Q160"/>
    </row>
    <row r="161" spans="1:18" ht="18" customHeight="1" x14ac:dyDescent="0.25">
      <c r="A161" s="293"/>
      <c r="B161" s="299"/>
      <c r="C161" s="300">
        <f>SUM(C160)</f>
        <v>1</v>
      </c>
      <c r="D161" s="301"/>
      <c r="E161" s="302"/>
      <c r="F161" s="301">
        <f>SUM(F160)</f>
        <v>117.3</v>
      </c>
      <c r="G161" s="302"/>
      <c r="H161" s="300">
        <f>SUM(H160)</f>
        <v>1</v>
      </c>
      <c r="I161" s="301"/>
      <c r="J161" s="300"/>
      <c r="K161" s="301">
        <f>SUM(K160)</f>
        <v>121.58999999999999</v>
      </c>
      <c r="L161" s="302"/>
      <c r="M161" s="301"/>
      <c r="N161" s="301">
        <f>K161-F161</f>
        <v>4.289999999999992</v>
      </c>
      <c r="O161" s="303">
        <f>(N161+M161)/F161</f>
        <v>3.6572890025575379E-2</v>
      </c>
      <c r="P161" s="139" t="s">
        <v>133</v>
      </c>
      <c r="Q161"/>
    </row>
    <row r="162" spans="1:18" ht="18" customHeight="1" x14ac:dyDescent="0.25">
      <c r="B162" s="308"/>
      <c r="C162" s="309"/>
      <c r="D162" s="310"/>
      <c r="E162" s="310"/>
      <c r="F162" s="310"/>
      <c r="G162" s="308"/>
      <c r="H162" s="309"/>
      <c r="I162" s="310"/>
      <c r="J162" s="310"/>
      <c r="K162" s="310"/>
      <c r="L162" s="308"/>
      <c r="M162" s="310"/>
      <c r="N162" s="310"/>
      <c r="O162" s="311"/>
      <c r="Q162"/>
    </row>
    <row r="163" spans="1:18" ht="18" customHeight="1" x14ac:dyDescent="0.25">
      <c r="A163" s="293" t="s">
        <v>36</v>
      </c>
      <c r="B163" s="294">
        <v>42167</v>
      </c>
      <c r="C163" s="295">
        <v>25</v>
      </c>
      <c r="D163" s="296">
        <v>34.15</v>
      </c>
      <c r="E163" s="296"/>
      <c r="F163" s="296">
        <f>C163*D163</f>
        <v>853.75</v>
      </c>
      <c r="G163" s="294">
        <v>42186</v>
      </c>
      <c r="H163" s="295">
        <v>35</v>
      </c>
      <c r="I163" s="296">
        <v>34.799999999999997</v>
      </c>
      <c r="J163" s="296">
        <v>0.02</v>
      </c>
      <c r="K163" s="296">
        <f>H163*I163-J163</f>
        <v>1217.98</v>
      </c>
      <c r="L163" s="297"/>
      <c r="M163" s="296"/>
      <c r="N163" s="296"/>
      <c r="O163" s="298"/>
      <c r="Q163" s="3"/>
      <c r="R163"/>
    </row>
    <row r="164" spans="1:18" ht="18" customHeight="1" x14ac:dyDescent="0.25">
      <c r="A164" s="293"/>
      <c r="B164" s="294">
        <v>42178</v>
      </c>
      <c r="C164" s="295">
        <v>10</v>
      </c>
      <c r="D164" s="296">
        <v>33.119999999999997</v>
      </c>
      <c r="E164" s="296"/>
      <c r="F164" s="296">
        <f>C164*D164</f>
        <v>331.2</v>
      </c>
      <c r="G164" s="297"/>
      <c r="H164" s="295"/>
      <c r="I164" s="296"/>
      <c r="J164" s="296"/>
      <c r="K164" s="296"/>
      <c r="L164" s="297"/>
      <c r="M164" s="296"/>
      <c r="N164" s="296"/>
      <c r="O164" s="298"/>
      <c r="Q164" s="134"/>
      <c r="R164"/>
    </row>
    <row r="165" spans="1:18" ht="18" customHeight="1" x14ac:dyDescent="0.25">
      <c r="A165" s="293"/>
      <c r="B165" s="299"/>
      <c r="C165" s="300">
        <f>SUM(C163:C164)</f>
        <v>35</v>
      </c>
      <c r="D165" s="301"/>
      <c r="E165" s="301"/>
      <c r="F165" s="301">
        <f>SUM(F163:F164)</f>
        <v>1184.95</v>
      </c>
      <c r="G165" s="302"/>
      <c r="H165" s="300">
        <f>SUM(H163:H164)</f>
        <v>35</v>
      </c>
      <c r="I165" s="301"/>
      <c r="J165" s="301"/>
      <c r="K165" s="301">
        <f>SUM(K163:K164)</f>
        <v>1217.98</v>
      </c>
      <c r="L165" s="302"/>
      <c r="M165" s="301"/>
      <c r="N165" s="301">
        <f>K165-F165</f>
        <v>33.029999999999973</v>
      </c>
      <c r="O165" s="303">
        <f>(N165+M165)/F165</f>
        <v>2.7874593864720007E-2</v>
      </c>
    </row>
    <row r="166" spans="1:18" ht="18" customHeight="1" x14ac:dyDescent="0.25">
      <c r="B166" s="308"/>
      <c r="C166" s="309"/>
      <c r="D166" s="310"/>
      <c r="E166" s="24"/>
      <c r="F166" s="310"/>
      <c r="G166" s="308"/>
      <c r="H166" s="309"/>
      <c r="I166" s="310"/>
      <c r="K166" s="310"/>
      <c r="L166" s="308"/>
      <c r="M166" s="310"/>
      <c r="N166" s="310"/>
      <c r="O166" s="311"/>
    </row>
    <row r="167" spans="1:18" ht="18" customHeight="1" x14ac:dyDescent="0.25">
      <c r="A167" s="665" t="s">
        <v>394</v>
      </c>
      <c r="B167" s="666">
        <v>42767</v>
      </c>
      <c r="C167" s="667">
        <v>35</v>
      </c>
      <c r="D167" s="668">
        <v>69.58</v>
      </c>
      <c r="E167" s="668">
        <v>0</v>
      </c>
      <c r="F167" s="668">
        <f>C167*D167+E167</f>
        <v>2435.2999999999997</v>
      </c>
      <c r="G167" s="666">
        <v>42803</v>
      </c>
      <c r="H167" s="669">
        <v>35</v>
      </c>
      <c r="I167" s="668">
        <v>87.78</v>
      </c>
      <c r="J167" s="668">
        <v>7.0000000000000007E-2</v>
      </c>
      <c r="K167" s="668">
        <f>I167*H167-J167</f>
        <v>3072.23</v>
      </c>
      <c r="L167" s="666">
        <v>42829</v>
      </c>
      <c r="M167" s="667">
        <v>14.44</v>
      </c>
      <c r="N167" s="670"/>
      <c r="O167" s="671"/>
    </row>
    <row r="168" spans="1:18" ht="18" customHeight="1" x14ac:dyDescent="0.25">
      <c r="A168" s="672"/>
      <c r="B168" s="667"/>
      <c r="C168" s="672">
        <f>SUM(C167:C167)</f>
        <v>35</v>
      </c>
      <c r="D168" s="673"/>
      <c r="E168" s="673"/>
      <c r="F168" s="673">
        <f>SUM(F167:F167)</f>
        <v>2435.2999999999997</v>
      </c>
      <c r="G168" s="672"/>
      <c r="H168" s="672">
        <f>SUM(H167:H167)</f>
        <v>35</v>
      </c>
      <c r="I168" s="673"/>
      <c r="J168" s="673"/>
      <c r="K168" s="673">
        <f>SUM(K167:K167)</f>
        <v>3072.23</v>
      </c>
      <c r="L168" s="672"/>
      <c r="M168" s="673">
        <f>SUM(M167:M167)</f>
        <v>14.44</v>
      </c>
      <c r="N168" s="663">
        <f>K168-F168</f>
        <v>636.93000000000029</v>
      </c>
      <c r="O168" s="66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93" t="s">
        <v>14</v>
      </c>
      <c r="B170" s="294">
        <v>42152</v>
      </c>
      <c r="C170" s="295">
        <v>2</v>
      </c>
      <c r="D170" s="296">
        <v>51.22</v>
      </c>
      <c r="E170" s="297"/>
      <c r="F170" s="296">
        <f>C170*D170</f>
        <v>102.44</v>
      </c>
      <c r="G170" s="294">
        <v>42187</v>
      </c>
      <c r="H170" s="295">
        <v>150</v>
      </c>
      <c r="I170" s="296">
        <v>48.92</v>
      </c>
      <c r="J170" s="295">
        <v>0.12</v>
      </c>
      <c r="K170" s="296">
        <f>H170*I170-J170</f>
        <v>7337.88</v>
      </c>
      <c r="L170" s="294">
        <v>42195</v>
      </c>
      <c r="M170" s="296">
        <v>52</v>
      </c>
      <c r="N170" s="296"/>
      <c r="O170" s="298"/>
    </row>
    <row r="171" spans="1:18" ht="18" customHeight="1" x14ac:dyDescent="0.25">
      <c r="A171" s="293"/>
      <c r="B171" s="294">
        <v>42164</v>
      </c>
      <c r="C171" s="295">
        <v>48</v>
      </c>
      <c r="D171" s="296">
        <v>49.9</v>
      </c>
      <c r="E171" s="297"/>
      <c r="F171" s="296">
        <f>C171*D171</f>
        <v>2395.1999999999998</v>
      </c>
      <c r="G171" s="297"/>
      <c r="H171" s="295"/>
      <c r="I171" s="296"/>
      <c r="J171" s="295"/>
      <c r="K171" s="296"/>
      <c r="L171" s="297"/>
      <c r="M171" s="296"/>
      <c r="N171" s="296"/>
      <c r="O171" s="298"/>
    </row>
    <row r="172" spans="1:18" ht="18" customHeight="1" x14ac:dyDescent="0.25">
      <c r="A172" s="293"/>
      <c r="B172" s="294">
        <v>42165</v>
      </c>
      <c r="C172" s="295">
        <v>50</v>
      </c>
      <c r="D172" s="296">
        <v>48.6</v>
      </c>
      <c r="E172" s="297"/>
      <c r="F172" s="296">
        <f>C172*D172</f>
        <v>2430</v>
      </c>
      <c r="G172" s="297"/>
      <c r="H172" s="295"/>
      <c r="I172" s="296"/>
      <c r="J172" s="295"/>
      <c r="K172" s="296"/>
      <c r="L172" s="297"/>
      <c r="M172" s="296"/>
      <c r="N172" s="296"/>
      <c r="O172" s="298"/>
    </row>
    <row r="173" spans="1:18" ht="18" customHeight="1" x14ac:dyDescent="0.25">
      <c r="A173" s="293"/>
      <c r="B173" s="294">
        <v>42173</v>
      </c>
      <c r="C173" s="295">
        <v>25</v>
      </c>
      <c r="D173" s="296">
        <v>47.62</v>
      </c>
      <c r="E173" s="297"/>
      <c r="F173" s="296">
        <f>C173*D173</f>
        <v>1190.5</v>
      </c>
      <c r="G173" s="297"/>
      <c r="H173" s="295"/>
      <c r="I173" s="296"/>
      <c r="J173" s="295"/>
      <c r="K173" s="296"/>
      <c r="L173" s="297"/>
      <c r="M173" s="296"/>
      <c r="N173" s="296"/>
      <c r="O173" s="298"/>
    </row>
    <row r="174" spans="1:18" ht="18" customHeight="1" x14ac:dyDescent="0.25">
      <c r="A174" s="293"/>
      <c r="B174" s="294">
        <v>42173</v>
      </c>
      <c r="C174" s="295">
        <v>25</v>
      </c>
      <c r="D174" s="296">
        <v>47.54</v>
      </c>
      <c r="E174" s="297"/>
      <c r="F174" s="296">
        <f>C174*D174</f>
        <v>1188.5</v>
      </c>
      <c r="G174" s="297"/>
      <c r="H174" s="295"/>
      <c r="I174" s="296"/>
      <c r="J174" s="295"/>
      <c r="K174" s="296"/>
      <c r="L174" s="297"/>
      <c r="M174" s="296"/>
      <c r="N174" s="296"/>
      <c r="O174" s="298"/>
    </row>
    <row r="175" spans="1:18" ht="18" customHeight="1" x14ac:dyDescent="0.25">
      <c r="A175" s="293"/>
      <c r="B175" s="299"/>
      <c r="C175" s="300">
        <f>SUM(C170:C174)</f>
        <v>150</v>
      </c>
      <c r="D175" s="301"/>
      <c r="E175" s="302"/>
      <c r="F175" s="301">
        <f t="shared" ref="F175:M175" si="9">SUM(F170:F174)</f>
        <v>7306.6399999999994</v>
      </c>
      <c r="G175" s="302"/>
      <c r="H175" s="300">
        <f t="shared" si="9"/>
        <v>150</v>
      </c>
      <c r="I175" s="301"/>
      <c r="J175" s="300"/>
      <c r="K175" s="301">
        <f t="shared" si="9"/>
        <v>7337.88</v>
      </c>
      <c r="L175" s="302"/>
      <c r="M175" s="301">
        <f t="shared" si="9"/>
        <v>52</v>
      </c>
      <c r="N175" s="301">
        <f>K175-F175</f>
        <v>31.240000000000691</v>
      </c>
      <c r="O175" s="303">
        <f>(N175+M175)/F175</f>
        <v>1.1392377344442959E-2</v>
      </c>
    </row>
    <row r="176" spans="1:18" ht="18" customHeight="1" x14ac:dyDescent="0.25">
      <c r="B176" s="321"/>
      <c r="C176" s="309"/>
      <c r="D176" s="310"/>
      <c r="E176" s="309"/>
      <c r="F176" s="310"/>
      <c r="G176" s="324"/>
      <c r="H176" s="309"/>
      <c r="I176" s="310"/>
      <c r="J176" s="309"/>
      <c r="K176" s="310"/>
      <c r="L176" s="308"/>
      <c r="M176" s="310"/>
      <c r="N176" s="309"/>
      <c r="O176" s="309"/>
      <c r="P176" s="139" t="s">
        <v>133</v>
      </c>
    </row>
    <row r="177" spans="1:16" ht="18" customHeight="1" x14ac:dyDescent="0.25">
      <c r="A177" s="293" t="s">
        <v>26</v>
      </c>
      <c r="B177" s="294">
        <v>42163</v>
      </c>
      <c r="C177" s="295">
        <v>50</v>
      </c>
      <c r="D177" s="296">
        <v>5.9</v>
      </c>
      <c r="E177" s="295">
        <v>0</v>
      </c>
      <c r="F177" s="296">
        <v>295</v>
      </c>
      <c r="G177" s="323">
        <v>42187</v>
      </c>
      <c r="H177" s="295">
        <v>200</v>
      </c>
      <c r="I177" s="296">
        <v>6.45</v>
      </c>
      <c r="J177" s="295">
        <v>0.02</v>
      </c>
      <c r="K177" s="296">
        <v>1289.98</v>
      </c>
      <c r="L177" s="297"/>
      <c r="M177" s="296"/>
      <c r="N177" s="295"/>
      <c r="O177" s="295"/>
    </row>
    <row r="178" spans="1:16" ht="18" customHeight="1" x14ac:dyDescent="0.25">
      <c r="A178" s="293"/>
      <c r="B178" s="294">
        <v>42163</v>
      </c>
      <c r="C178" s="295">
        <v>100</v>
      </c>
      <c r="D178" s="296">
        <v>6.2</v>
      </c>
      <c r="E178" s="295">
        <v>0</v>
      </c>
      <c r="F178" s="296">
        <v>620</v>
      </c>
      <c r="G178" s="323">
        <v>42261</v>
      </c>
      <c r="H178" s="295">
        <v>450</v>
      </c>
      <c r="I178" s="296">
        <v>6.23</v>
      </c>
      <c r="J178" s="295">
        <v>0.05</v>
      </c>
      <c r="K178" s="296">
        <v>2803.45</v>
      </c>
      <c r="L178" s="297"/>
      <c r="M178" s="296"/>
      <c r="N178" s="295"/>
      <c r="O178" s="295"/>
      <c r="P178"/>
    </row>
    <row r="179" spans="1:16" ht="18" customHeight="1" x14ac:dyDescent="0.25">
      <c r="A179" s="293"/>
      <c r="B179" s="294">
        <v>42187</v>
      </c>
      <c r="C179" s="295">
        <v>200</v>
      </c>
      <c r="D179" s="296">
        <v>6.3</v>
      </c>
      <c r="E179" s="295">
        <v>0</v>
      </c>
      <c r="F179" s="296">
        <v>1260</v>
      </c>
      <c r="G179" s="323"/>
      <c r="H179" s="295"/>
      <c r="I179" s="296"/>
      <c r="J179" s="295"/>
      <c r="K179" s="296"/>
      <c r="L179" s="297"/>
      <c r="M179" s="296"/>
      <c r="N179" s="295"/>
      <c r="O179" s="295"/>
      <c r="P179"/>
    </row>
    <row r="180" spans="1:16" ht="18" customHeight="1" x14ac:dyDescent="0.25">
      <c r="A180" s="293"/>
      <c r="B180" s="294">
        <v>42194</v>
      </c>
      <c r="C180" s="295">
        <v>150</v>
      </c>
      <c r="D180" s="296">
        <v>6.1</v>
      </c>
      <c r="E180" s="295">
        <v>0</v>
      </c>
      <c r="F180" s="296">
        <v>915</v>
      </c>
      <c r="G180" s="323"/>
      <c r="H180" s="295"/>
      <c r="I180" s="296"/>
      <c r="J180" s="295"/>
      <c r="K180" s="296"/>
      <c r="L180" s="297"/>
      <c r="M180" s="296"/>
      <c r="N180" s="295"/>
      <c r="O180" s="295"/>
      <c r="P180"/>
    </row>
    <row r="181" spans="1:16" ht="18" customHeight="1" x14ac:dyDescent="0.25">
      <c r="A181" s="293"/>
      <c r="B181" s="294">
        <v>42240</v>
      </c>
      <c r="C181" s="295">
        <v>150</v>
      </c>
      <c r="D181" s="296">
        <v>5.69</v>
      </c>
      <c r="E181" s="295">
        <v>0</v>
      </c>
      <c r="F181" s="296">
        <v>853.50000000000011</v>
      </c>
      <c r="G181" s="323"/>
      <c r="H181" s="295"/>
      <c r="I181" s="296"/>
      <c r="J181" s="295"/>
      <c r="K181" s="296"/>
      <c r="L181" s="297"/>
      <c r="M181" s="296"/>
      <c r="N181" s="295"/>
      <c r="O181" s="295"/>
      <c r="P181"/>
    </row>
    <row r="182" spans="1:16" ht="18" customHeight="1" x14ac:dyDescent="0.25">
      <c r="A182" s="293"/>
      <c r="B182" s="299"/>
      <c r="C182" s="300">
        <v>650</v>
      </c>
      <c r="D182" s="301"/>
      <c r="E182" s="300"/>
      <c r="F182" s="301">
        <v>3943.5</v>
      </c>
      <c r="G182" s="325"/>
      <c r="H182" s="300">
        <v>650</v>
      </c>
      <c r="I182" s="301"/>
      <c r="J182" s="300"/>
      <c r="K182" s="301">
        <f>SUM(K177:K178)</f>
        <v>4093.43</v>
      </c>
      <c r="L182" s="302"/>
      <c r="M182" s="301"/>
      <c r="N182" s="301">
        <f>K182-F182</f>
        <v>149.92999999999984</v>
      </c>
      <c r="O182" s="303">
        <f>N182/K182</f>
        <v>3.6626985193346374E-2</v>
      </c>
      <c r="P182"/>
    </row>
    <row r="183" spans="1:16" ht="18" customHeight="1" x14ac:dyDescent="0.25">
      <c r="B183" s="321"/>
      <c r="C183" s="309"/>
      <c r="D183" s="310"/>
      <c r="E183" s="309"/>
      <c r="F183" s="310"/>
      <c r="G183" s="324"/>
      <c r="H183" s="309"/>
      <c r="I183" s="310"/>
      <c r="J183" s="309"/>
      <c r="K183" s="310"/>
      <c r="L183" s="308"/>
      <c r="M183" s="310"/>
      <c r="N183" s="309"/>
      <c r="O183" s="309"/>
    </row>
    <row r="184" spans="1:16" ht="18" customHeight="1" x14ac:dyDescent="0.25">
      <c r="A184" s="282" t="s">
        <v>26</v>
      </c>
      <c r="B184" s="283">
        <v>42284</v>
      </c>
      <c r="C184" s="284">
        <v>150</v>
      </c>
      <c r="D184" s="285">
        <v>3.75</v>
      </c>
      <c r="E184" s="285">
        <v>0</v>
      </c>
      <c r="F184" s="285">
        <f>D184*C184</f>
        <v>562.5</v>
      </c>
      <c r="G184" s="283">
        <v>42291</v>
      </c>
      <c r="H184" s="286">
        <v>100</v>
      </c>
      <c r="I184" s="285">
        <v>4.4000000000000004</v>
      </c>
      <c r="J184" s="285">
        <v>0.01</v>
      </c>
      <c r="K184" s="284">
        <f>I184*H184-J184</f>
        <v>439.99000000000007</v>
      </c>
      <c r="L184" s="283"/>
      <c r="M184" s="285"/>
      <c r="N184" s="284"/>
      <c r="O184" s="287"/>
    </row>
    <row r="185" spans="1:16" ht="18" customHeight="1" x14ac:dyDescent="0.25">
      <c r="A185" s="328"/>
      <c r="B185" s="803">
        <v>42338</v>
      </c>
      <c r="C185" s="284">
        <v>50</v>
      </c>
      <c r="D185" s="285">
        <v>3.03</v>
      </c>
      <c r="E185" s="285">
        <v>0</v>
      </c>
      <c r="F185" s="285">
        <f>D185*C185</f>
        <v>151.5</v>
      </c>
      <c r="G185" s="283">
        <v>42333</v>
      </c>
      <c r="H185" s="284">
        <v>50</v>
      </c>
      <c r="I185" s="284">
        <v>3.16</v>
      </c>
      <c r="J185" s="284">
        <v>0.01</v>
      </c>
      <c r="K185" s="284">
        <f>I185*H185-J185</f>
        <v>157.99</v>
      </c>
      <c r="L185" s="284"/>
      <c r="M185" s="284"/>
      <c r="N185" s="284"/>
      <c r="O185" s="287"/>
    </row>
    <row r="186" spans="1:16" ht="18" customHeight="1" x14ac:dyDescent="0.25">
      <c r="A186" s="284"/>
      <c r="B186" s="803"/>
      <c r="C186" s="284">
        <v>2</v>
      </c>
      <c r="D186" s="285">
        <v>3.03</v>
      </c>
      <c r="E186" s="285">
        <v>0</v>
      </c>
      <c r="F186" s="285">
        <f>D186*C186</f>
        <v>6.06</v>
      </c>
      <c r="G186" s="283">
        <v>42339</v>
      </c>
      <c r="H186" s="284">
        <v>50</v>
      </c>
      <c r="I186" s="284">
        <v>3.38</v>
      </c>
      <c r="J186" s="284">
        <v>0.01</v>
      </c>
      <c r="K186" s="284">
        <f>I186*H186-J186</f>
        <v>168.99</v>
      </c>
      <c r="L186" s="284"/>
      <c r="M186" s="284"/>
      <c r="N186" s="284"/>
      <c r="O186" s="287"/>
    </row>
    <row r="187" spans="1:16" ht="18" customHeight="1" x14ac:dyDescent="0.25">
      <c r="A187" s="284"/>
      <c r="B187" s="283">
        <v>42340</v>
      </c>
      <c r="C187" s="284">
        <v>52</v>
      </c>
      <c r="D187" s="285">
        <v>3.2</v>
      </c>
      <c r="E187" s="285">
        <v>0</v>
      </c>
      <c r="F187" s="285">
        <f>D187*C187</f>
        <v>166.4</v>
      </c>
      <c r="G187" s="284"/>
      <c r="H187" s="285">
        <v>54</v>
      </c>
      <c r="I187" s="285">
        <v>1.63</v>
      </c>
      <c r="J187" s="285">
        <v>0</v>
      </c>
      <c r="K187" s="284">
        <f>I187*H187-J187</f>
        <v>88.02</v>
      </c>
      <c r="L187" s="284"/>
      <c r="M187" s="284"/>
      <c r="N187" s="284"/>
      <c r="O187" s="287"/>
    </row>
    <row r="188" spans="1:16" ht="18" customHeight="1" x14ac:dyDescent="0.25">
      <c r="A188" s="287"/>
      <c r="B188" s="287"/>
      <c r="C188" s="287">
        <f>SUM(C184:C187)</f>
        <v>254</v>
      </c>
      <c r="D188" s="287"/>
      <c r="E188" s="290"/>
      <c r="F188" s="287">
        <f>SUM(F184:F187)</f>
        <v>886.45999999999992</v>
      </c>
      <c r="G188" s="287"/>
      <c r="H188" s="291">
        <f>SUM(H184:H187)</f>
        <v>254</v>
      </c>
      <c r="I188" s="287"/>
      <c r="J188" s="287"/>
      <c r="K188" s="287">
        <f>SUM(K184:K187)</f>
        <v>854.99</v>
      </c>
      <c r="L188" s="287"/>
      <c r="M188" s="290">
        <f>SUM(M184:M186)</f>
        <v>0</v>
      </c>
      <c r="N188" s="287">
        <f>K188-F188</f>
        <v>-31.469999999999914</v>
      </c>
      <c r="O188" s="292">
        <f>N188/F188</f>
        <v>-3.5500755815265121E-2</v>
      </c>
      <c r="P188" s="139" t="s">
        <v>133</v>
      </c>
    </row>
    <row r="189" spans="1:16" ht="18" customHeight="1" x14ac:dyDescent="0.25">
      <c r="B189" s="321"/>
      <c r="C189" s="309"/>
      <c r="D189" s="310"/>
      <c r="E189" s="309"/>
      <c r="F189" s="310"/>
      <c r="G189" s="324"/>
      <c r="H189" s="309"/>
      <c r="I189" s="310"/>
      <c r="J189" s="309"/>
      <c r="K189" s="310"/>
      <c r="L189" s="308"/>
      <c r="M189" s="310"/>
      <c r="N189" s="309"/>
      <c r="O189" s="309"/>
    </row>
    <row r="190" spans="1:16" ht="18" customHeight="1" x14ac:dyDescent="0.25">
      <c r="A190" s="293" t="s">
        <v>23</v>
      </c>
      <c r="B190" s="294">
        <v>42153</v>
      </c>
      <c r="C190" s="295">
        <v>50</v>
      </c>
      <c r="D190" s="296">
        <v>37.22</v>
      </c>
      <c r="E190" s="295"/>
      <c r="F190" s="296">
        <f>D190*C190</f>
        <v>1861</v>
      </c>
      <c r="G190" s="323">
        <v>42186</v>
      </c>
      <c r="H190" s="295">
        <v>50</v>
      </c>
      <c r="I190" s="296">
        <v>38.4</v>
      </c>
      <c r="J190" s="295">
        <v>0.04</v>
      </c>
      <c r="K190" s="296">
        <f>H190*I190-J190</f>
        <v>1919.96</v>
      </c>
      <c r="L190" s="297"/>
      <c r="M190" s="296"/>
      <c r="N190" s="295"/>
      <c r="O190" s="295"/>
    </row>
    <row r="191" spans="1:16" ht="18" customHeight="1" x14ac:dyDescent="0.25">
      <c r="A191" s="293"/>
      <c r="B191" s="294">
        <v>42208</v>
      </c>
      <c r="C191" s="295">
        <v>100</v>
      </c>
      <c r="D191" s="296">
        <v>36</v>
      </c>
      <c r="E191" s="297"/>
      <c r="F191" s="296">
        <f>D191*C191</f>
        <v>3600</v>
      </c>
      <c r="G191" s="323">
        <v>42230</v>
      </c>
      <c r="H191" s="295">
        <v>100</v>
      </c>
      <c r="I191" s="296">
        <v>35.96</v>
      </c>
      <c r="J191" s="295">
        <v>7.0000000000000007E-2</v>
      </c>
      <c r="K191" s="296">
        <f>H191*I191-J191</f>
        <v>3595.93</v>
      </c>
      <c r="L191" s="297"/>
      <c r="M191" s="296"/>
      <c r="N191" s="295"/>
      <c r="O191" s="295"/>
      <c r="P191" s="139" t="s">
        <v>133</v>
      </c>
    </row>
    <row r="192" spans="1:16" ht="18" customHeight="1" x14ac:dyDescent="0.25">
      <c r="A192" s="293"/>
      <c r="B192" s="294">
        <v>42209</v>
      </c>
      <c r="C192" s="295">
        <v>20</v>
      </c>
      <c r="D192" s="295">
        <f>709.5/20</f>
        <v>35.475000000000001</v>
      </c>
      <c r="E192" s="295"/>
      <c r="F192" s="296">
        <f>D192*C192</f>
        <v>709.5</v>
      </c>
      <c r="G192" s="323">
        <v>42258</v>
      </c>
      <c r="H192" s="295">
        <v>40</v>
      </c>
      <c r="I192" s="296">
        <v>36.65</v>
      </c>
      <c r="J192" s="295">
        <v>0.03</v>
      </c>
      <c r="K192" s="296">
        <f>H192*I192-J192</f>
        <v>1465.97</v>
      </c>
      <c r="L192" s="297"/>
      <c r="M192" s="296"/>
      <c r="N192" s="295"/>
      <c r="O192" s="295"/>
    </row>
    <row r="193" spans="1:16" ht="18" customHeight="1" x14ac:dyDescent="0.25">
      <c r="A193" s="293"/>
      <c r="B193" s="294">
        <v>42209</v>
      </c>
      <c r="C193" s="295">
        <v>20</v>
      </c>
      <c r="D193" s="296">
        <v>35.03</v>
      </c>
      <c r="E193" s="297"/>
      <c r="F193" s="296">
        <f>D193*C193</f>
        <v>700.6</v>
      </c>
      <c r="G193" s="323"/>
      <c r="H193" s="295"/>
      <c r="I193" s="296"/>
      <c r="J193" s="295"/>
      <c r="K193" s="296"/>
      <c r="L193" s="297"/>
      <c r="M193" s="296"/>
      <c r="N193" s="295"/>
      <c r="O193" s="295"/>
    </row>
    <row r="194" spans="1:16" ht="18" customHeight="1" x14ac:dyDescent="0.25">
      <c r="A194" s="293"/>
      <c r="B194" s="299"/>
      <c r="C194" s="300">
        <v>190</v>
      </c>
      <c r="D194" s="301"/>
      <c r="E194" s="300"/>
      <c r="F194" s="301">
        <f>SUM(F190:F193)</f>
        <v>6871.1</v>
      </c>
      <c r="G194" s="325"/>
      <c r="H194" s="300">
        <v>190</v>
      </c>
      <c r="I194" s="301"/>
      <c r="J194" s="300"/>
      <c r="K194" s="301">
        <f>SUM(K190:K192)</f>
        <v>6981.86</v>
      </c>
      <c r="L194" s="302"/>
      <c r="M194" s="301"/>
      <c r="N194" s="300">
        <f>K194-F194</f>
        <v>110.75999999999931</v>
      </c>
      <c r="O194" s="303">
        <f>(N194+M194)/F194</f>
        <v>1.6119689714892711E-2</v>
      </c>
      <c r="P194" s="139" t="s">
        <v>133</v>
      </c>
    </row>
    <row r="195" spans="1:16" ht="18" customHeight="1" x14ac:dyDescent="0.25">
      <c r="B195" s="308"/>
      <c r="C195" s="309"/>
      <c r="D195" s="310"/>
      <c r="E195" s="310"/>
      <c r="F195" s="310"/>
      <c r="G195" s="308"/>
      <c r="H195" s="309"/>
      <c r="I195" s="310"/>
      <c r="J195" s="310"/>
      <c r="K195" s="310"/>
      <c r="L195" s="308"/>
      <c r="M195" s="310"/>
      <c r="N195" s="310"/>
      <c r="O195" s="311"/>
    </row>
    <row r="196" spans="1:16" ht="18" customHeight="1" x14ac:dyDescent="0.25">
      <c r="A196" s="293" t="s">
        <v>41</v>
      </c>
      <c r="B196" s="294">
        <v>42184</v>
      </c>
      <c r="C196" s="295">
        <v>10</v>
      </c>
      <c r="D196" s="296">
        <v>66</v>
      </c>
      <c r="E196" s="296"/>
      <c r="F196" s="296">
        <f>C196*D196</f>
        <v>660</v>
      </c>
      <c r="G196" s="294">
        <v>42219</v>
      </c>
      <c r="H196" s="295">
        <v>10</v>
      </c>
      <c r="I196" s="296">
        <v>70.45</v>
      </c>
      <c r="J196" s="296">
        <v>0.01</v>
      </c>
      <c r="K196" s="296">
        <f>H196*I196-J196</f>
        <v>704.49</v>
      </c>
      <c r="L196" s="297"/>
      <c r="M196" s="296"/>
      <c r="N196" s="296"/>
      <c r="O196" s="298"/>
    </row>
    <row r="197" spans="1:16" ht="18" customHeight="1" x14ac:dyDescent="0.25">
      <c r="A197" s="293"/>
      <c r="B197" s="299"/>
      <c r="C197" s="300">
        <f>SUM(C196)</f>
        <v>10</v>
      </c>
      <c r="D197" s="301"/>
      <c r="E197" s="301"/>
      <c r="F197" s="301">
        <f>SUM(F196)</f>
        <v>660</v>
      </c>
      <c r="G197" s="302"/>
      <c r="H197" s="300">
        <f>SUM(H196)</f>
        <v>10</v>
      </c>
      <c r="I197" s="301"/>
      <c r="J197" s="301"/>
      <c r="K197" s="301">
        <f>SUM(K196)</f>
        <v>704.49</v>
      </c>
      <c r="L197" s="302"/>
      <c r="M197" s="301"/>
      <c r="N197" s="301">
        <f>K197-F197</f>
        <v>44.490000000000009</v>
      </c>
      <c r="O197" s="303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93" t="s">
        <v>35</v>
      </c>
      <c r="B199" s="294">
        <v>42166</v>
      </c>
      <c r="C199" s="295">
        <v>10</v>
      </c>
      <c r="D199" s="296">
        <v>55.7</v>
      </c>
      <c r="E199" s="296">
        <v>0</v>
      </c>
      <c r="F199" s="296">
        <f t="shared" ref="F199:F225" si="10">C199*D199+E199</f>
        <v>557</v>
      </c>
      <c r="G199" s="294">
        <v>42208</v>
      </c>
      <c r="H199" s="295">
        <v>10</v>
      </c>
      <c r="I199" s="296">
        <v>56</v>
      </c>
      <c r="J199" s="296">
        <v>0.01</v>
      </c>
      <c r="K199" s="296">
        <f t="shared" ref="K199:K222" si="11">H199*I199-J199</f>
        <v>559.99</v>
      </c>
      <c r="L199" s="297"/>
      <c r="M199" s="296"/>
      <c r="N199" s="296"/>
      <c r="O199" s="298"/>
      <c r="P199" s="139"/>
    </row>
    <row r="200" spans="1:16" ht="18" customHeight="1" x14ac:dyDescent="0.25">
      <c r="A200" s="293"/>
      <c r="B200" s="294">
        <v>42205</v>
      </c>
      <c r="C200" s="295">
        <v>10</v>
      </c>
      <c r="D200" s="296">
        <v>52.6</v>
      </c>
      <c r="E200" s="296">
        <v>0</v>
      </c>
      <c r="F200" s="296">
        <f t="shared" si="10"/>
        <v>526</v>
      </c>
      <c r="G200" s="294">
        <v>42234</v>
      </c>
      <c r="H200" s="295">
        <v>25</v>
      </c>
      <c r="I200" s="296">
        <v>50.88</v>
      </c>
      <c r="J200" s="296">
        <v>0.02</v>
      </c>
      <c r="K200" s="296">
        <f t="shared" si="11"/>
        <v>1271.98</v>
      </c>
      <c r="L200" s="297"/>
      <c r="M200" s="296"/>
      <c r="N200" s="296"/>
      <c r="O200" s="298"/>
      <c r="P200" s="139"/>
    </row>
    <row r="201" spans="1:16" ht="18" customHeight="1" x14ac:dyDescent="0.25">
      <c r="A201" s="293"/>
      <c r="B201" s="294">
        <v>42229</v>
      </c>
      <c r="C201" s="295">
        <v>15</v>
      </c>
      <c r="D201" s="296">
        <v>50.9</v>
      </c>
      <c r="E201" s="296">
        <v>0</v>
      </c>
      <c r="F201" s="296">
        <f t="shared" si="10"/>
        <v>763.5</v>
      </c>
      <c r="G201" s="294">
        <v>42314</v>
      </c>
      <c r="H201" s="295">
        <v>150</v>
      </c>
      <c r="I201" s="296">
        <v>31.5</v>
      </c>
      <c r="J201" s="296">
        <v>0.09</v>
      </c>
      <c r="K201" s="296">
        <f t="shared" si="11"/>
        <v>4724.91</v>
      </c>
      <c r="L201" s="297"/>
      <c r="M201" s="296"/>
      <c r="N201" s="296"/>
      <c r="O201" s="298"/>
      <c r="P201" s="139"/>
    </row>
    <row r="202" spans="1:16" ht="18" customHeight="1" x14ac:dyDescent="0.25">
      <c r="A202" s="293"/>
      <c r="B202" s="294">
        <v>42233</v>
      </c>
      <c r="C202" s="295">
        <v>15</v>
      </c>
      <c r="D202" s="296">
        <v>46.8</v>
      </c>
      <c r="E202" s="296">
        <v>0</v>
      </c>
      <c r="F202" s="296">
        <f t="shared" si="10"/>
        <v>702</v>
      </c>
      <c r="G202" s="294">
        <v>42317</v>
      </c>
      <c r="H202" s="295">
        <v>150</v>
      </c>
      <c r="I202" s="296">
        <v>31.5</v>
      </c>
      <c r="J202" s="296">
        <v>0.09</v>
      </c>
      <c r="K202" s="296">
        <f t="shared" si="11"/>
        <v>4724.91</v>
      </c>
      <c r="L202" s="297"/>
      <c r="M202" s="296"/>
      <c r="N202" s="296"/>
      <c r="O202" s="298"/>
      <c r="P202" s="139" t="s">
        <v>133</v>
      </c>
    </row>
    <row r="203" spans="1:16" ht="18" customHeight="1" x14ac:dyDescent="0.25">
      <c r="A203" s="293"/>
      <c r="B203" s="294">
        <v>42233</v>
      </c>
      <c r="C203" s="295">
        <v>20</v>
      </c>
      <c r="D203" s="296">
        <v>47.45</v>
      </c>
      <c r="E203" s="296">
        <v>0</v>
      </c>
      <c r="F203" s="296">
        <f t="shared" si="10"/>
        <v>949</v>
      </c>
      <c r="G203" s="294">
        <v>42340</v>
      </c>
      <c r="H203" s="295">
        <v>150</v>
      </c>
      <c r="I203" s="296">
        <v>30.55</v>
      </c>
      <c r="J203" s="296">
        <v>0.08</v>
      </c>
      <c r="K203" s="296">
        <f t="shared" si="11"/>
        <v>4582.42</v>
      </c>
      <c r="L203" s="297"/>
      <c r="M203" s="296"/>
      <c r="N203" s="296"/>
      <c r="O203" s="298"/>
    </row>
    <row r="204" spans="1:16" ht="18" customHeight="1" x14ac:dyDescent="0.25">
      <c r="A204" s="293"/>
      <c r="B204" s="294">
        <v>42298</v>
      </c>
      <c r="C204" s="295">
        <v>35</v>
      </c>
      <c r="D204" s="296">
        <v>44.3</v>
      </c>
      <c r="E204" s="296">
        <v>0</v>
      </c>
      <c r="F204" s="296">
        <f t="shared" si="10"/>
        <v>1550.5</v>
      </c>
      <c r="G204" s="294">
        <v>42342</v>
      </c>
      <c r="H204" s="295">
        <v>150</v>
      </c>
      <c r="I204" s="296">
        <v>30.45</v>
      </c>
      <c r="J204" s="296">
        <v>0.08</v>
      </c>
      <c r="K204" s="296">
        <f t="shared" si="11"/>
        <v>4567.42</v>
      </c>
      <c r="L204" s="297"/>
      <c r="M204" s="296"/>
      <c r="N204" s="296"/>
      <c r="O204" s="298"/>
    </row>
    <row r="205" spans="1:16" ht="18" customHeight="1" x14ac:dyDescent="0.25">
      <c r="A205" s="293"/>
      <c r="B205" s="294">
        <v>42299</v>
      </c>
      <c r="C205" s="295">
        <v>70</v>
      </c>
      <c r="D205" s="296">
        <v>41.35</v>
      </c>
      <c r="E205" s="296">
        <v>0</v>
      </c>
      <c r="F205" s="296">
        <f t="shared" si="10"/>
        <v>2894.5</v>
      </c>
      <c r="G205" s="294">
        <v>42345</v>
      </c>
      <c r="H205" s="295">
        <v>100</v>
      </c>
      <c r="I205" s="296">
        <v>34.5</v>
      </c>
      <c r="J205" s="296">
        <v>0.06</v>
      </c>
      <c r="K205" s="296">
        <f t="shared" si="11"/>
        <v>3449.94</v>
      </c>
      <c r="L205" s="297"/>
      <c r="M205" s="296"/>
      <c r="N205" s="296"/>
      <c r="O205" s="298"/>
      <c r="P205" s="139"/>
    </row>
    <row r="206" spans="1:16" ht="18" customHeight="1" x14ac:dyDescent="0.25">
      <c r="A206" s="293"/>
      <c r="B206" s="294">
        <v>42299</v>
      </c>
      <c r="C206" s="295">
        <v>60</v>
      </c>
      <c r="D206" s="296">
        <v>40.229999999999997</v>
      </c>
      <c r="E206" s="296">
        <v>0</v>
      </c>
      <c r="F206" s="296">
        <f t="shared" si="10"/>
        <v>2413.7999999999997</v>
      </c>
      <c r="G206" s="294">
        <v>42356</v>
      </c>
      <c r="H206" s="295">
        <v>150</v>
      </c>
      <c r="I206" s="296">
        <v>43.25</v>
      </c>
      <c r="J206" s="296">
        <v>0.12</v>
      </c>
      <c r="K206" s="296">
        <f t="shared" si="11"/>
        <v>6487.38</v>
      </c>
      <c r="L206" s="297"/>
      <c r="M206" s="296"/>
      <c r="N206" s="296"/>
      <c r="O206" s="298"/>
    </row>
    <row r="207" spans="1:16" ht="18" customHeight="1" x14ac:dyDescent="0.25">
      <c r="A207" s="293"/>
      <c r="B207" s="294">
        <v>42300</v>
      </c>
      <c r="C207" s="295">
        <v>100</v>
      </c>
      <c r="D207" s="296">
        <v>39.57</v>
      </c>
      <c r="E207" s="296">
        <v>0</v>
      </c>
      <c r="F207" s="296">
        <f t="shared" si="10"/>
        <v>3957</v>
      </c>
      <c r="G207" s="294">
        <v>42359</v>
      </c>
      <c r="H207" s="295">
        <v>20</v>
      </c>
      <c r="I207" s="296">
        <v>51.05</v>
      </c>
      <c r="J207" s="296">
        <v>0.02</v>
      </c>
      <c r="K207" s="296">
        <f t="shared" si="11"/>
        <v>1020.98</v>
      </c>
      <c r="L207" s="297"/>
      <c r="M207" s="296"/>
      <c r="N207" s="296"/>
      <c r="O207" s="298"/>
    </row>
    <row r="208" spans="1:16" ht="18" customHeight="1" x14ac:dyDescent="0.25">
      <c r="A208" s="293"/>
      <c r="B208" s="294">
        <v>42304</v>
      </c>
      <c r="C208" s="295">
        <v>100</v>
      </c>
      <c r="D208" s="296">
        <v>37.950000000000003</v>
      </c>
      <c r="E208" s="296">
        <v>0</v>
      </c>
      <c r="F208" s="296">
        <f t="shared" si="10"/>
        <v>3795.0000000000005</v>
      </c>
      <c r="G208" s="294">
        <v>42361</v>
      </c>
      <c r="H208" s="295">
        <v>30</v>
      </c>
      <c r="I208" s="296">
        <v>57.95</v>
      </c>
      <c r="J208" s="296">
        <v>0.03</v>
      </c>
      <c r="K208" s="296">
        <f t="shared" si="11"/>
        <v>1738.47</v>
      </c>
      <c r="L208" s="297"/>
      <c r="M208" s="296"/>
      <c r="N208" s="296"/>
      <c r="O208" s="298"/>
      <c r="P208" s="139"/>
    </row>
    <row r="209" spans="1:16" ht="18" customHeight="1" x14ac:dyDescent="0.25">
      <c r="A209" s="293"/>
      <c r="B209" s="294">
        <v>42311</v>
      </c>
      <c r="C209" s="295">
        <v>150</v>
      </c>
      <c r="D209" s="296">
        <v>30.5</v>
      </c>
      <c r="E209" s="296">
        <v>6.95</v>
      </c>
      <c r="F209" s="296">
        <f t="shared" si="10"/>
        <v>4581.95</v>
      </c>
      <c r="G209" s="294">
        <v>42426</v>
      </c>
      <c r="H209" s="295">
        <v>50</v>
      </c>
      <c r="I209" s="296">
        <v>19.149999999999999</v>
      </c>
      <c r="J209" s="296">
        <v>0.02</v>
      </c>
      <c r="K209" s="296">
        <f t="shared" si="11"/>
        <v>957.4799999999999</v>
      </c>
      <c r="L209" s="297"/>
      <c r="M209" s="296"/>
      <c r="N209" s="296"/>
      <c r="O209" s="298"/>
    </row>
    <row r="210" spans="1:16" ht="18" customHeight="1" x14ac:dyDescent="0.25">
      <c r="A210" s="293"/>
      <c r="B210" s="294">
        <v>42314</v>
      </c>
      <c r="C210" s="295">
        <v>150</v>
      </c>
      <c r="D210" s="296">
        <v>30.65</v>
      </c>
      <c r="E210" s="296">
        <v>0</v>
      </c>
      <c r="F210" s="296">
        <f t="shared" si="10"/>
        <v>4597.5</v>
      </c>
      <c r="G210" s="294">
        <v>42430</v>
      </c>
      <c r="H210" s="295">
        <v>75</v>
      </c>
      <c r="I210" s="296">
        <v>18.350000000000001</v>
      </c>
      <c r="J210" s="296">
        <v>0.03</v>
      </c>
      <c r="K210" s="296">
        <f t="shared" si="11"/>
        <v>1376.22</v>
      </c>
      <c r="L210" s="297"/>
      <c r="M210" s="296"/>
      <c r="N210" s="296"/>
      <c r="O210" s="298"/>
    </row>
    <row r="211" spans="1:16" ht="18" customHeight="1" x14ac:dyDescent="0.25">
      <c r="A211" s="293"/>
      <c r="B211" s="294">
        <v>42317</v>
      </c>
      <c r="C211" s="295">
        <v>150</v>
      </c>
      <c r="D211" s="296">
        <v>30.65</v>
      </c>
      <c r="E211" s="296">
        <v>0</v>
      </c>
      <c r="F211" s="296">
        <f t="shared" si="10"/>
        <v>4597.5</v>
      </c>
      <c r="G211" s="294">
        <v>42432</v>
      </c>
      <c r="H211" s="295">
        <v>50</v>
      </c>
      <c r="I211" s="296">
        <v>20.67</v>
      </c>
      <c r="J211" s="296">
        <v>0.02</v>
      </c>
      <c r="K211" s="296">
        <f t="shared" si="11"/>
        <v>1033.48</v>
      </c>
      <c r="L211" s="297"/>
      <c r="M211" s="296"/>
      <c r="N211" s="296"/>
      <c r="O211" s="298"/>
    </row>
    <row r="212" spans="1:16" ht="18" customHeight="1" x14ac:dyDescent="0.25">
      <c r="A212" s="296"/>
      <c r="B212" s="294">
        <v>42340</v>
      </c>
      <c r="C212" s="295">
        <v>150</v>
      </c>
      <c r="D212" s="296">
        <v>30.21</v>
      </c>
      <c r="E212" s="296">
        <v>0</v>
      </c>
      <c r="F212" s="296">
        <f t="shared" si="10"/>
        <v>4531.5</v>
      </c>
      <c r="G212" s="294">
        <v>42437</v>
      </c>
      <c r="H212" s="295">
        <v>25</v>
      </c>
      <c r="I212" s="296">
        <v>26.85</v>
      </c>
      <c r="J212" s="296">
        <v>0.01</v>
      </c>
      <c r="K212" s="296">
        <f t="shared" si="11"/>
        <v>671.24</v>
      </c>
      <c r="L212" s="296"/>
      <c r="M212" s="296"/>
      <c r="N212" s="296"/>
      <c r="O212" s="296"/>
    </row>
    <row r="213" spans="1:16" ht="18" customHeight="1" x14ac:dyDescent="0.25">
      <c r="A213" s="296"/>
      <c r="B213" s="294">
        <v>42408</v>
      </c>
      <c r="C213" s="295">
        <v>25</v>
      </c>
      <c r="D213" s="296">
        <v>26.59</v>
      </c>
      <c r="E213" s="296">
        <v>0</v>
      </c>
      <c r="F213" s="296">
        <f t="shared" si="10"/>
        <v>664.75</v>
      </c>
      <c r="G213" s="294">
        <v>42466</v>
      </c>
      <c r="H213" s="295">
        <v>30</v>
      </c>
      <c r="I213" s="296">
        <v>28.08</v>
      </c>
      <c r="J213" s="296">
        <v>0.02</v>
      </c>
      <c r="K213" s="296">
        <f t="shared" si="11"/>
        <v>842.38</v>
      </c>
      <c r="L213" s="296"/>
      <c r="M213" s="296"/>
      <c r="N213" s="296"/>
      <c r="O213" s="296"/>
    </row>
    <row r="214" spans="1:16" ht="18" customHeight="1" x14ac:dyDescent="0.25">
      <c r="A214" s="296"/>
      <c r="B214" s="294">
        <v>42423</v>
      </c>
      <c r="C214" s="295">
        <v>50</v>
      </c>
      <c r="D214" s="296">
        <v>18.149999999999999</v>
      </c>
      <c r="E214" s="296">
        <v>0</v>
      </c>
      <c r="F214" s="296">
        <f t="shared" si="10"/>
        <v>907.49999999999989</v>
      </c>
      <c r="G214" s="294">
        <v>42471</v>
      </c>
      <c r="H214" s="295">
        <v>30</v>
      </c>
      <c r="I214" s="296">
        <v>29.37</v>
      </c>
      <c r="J214" s="296">
        <v>0.02</v>
      </c>
      <c r="K214" s="296">
        <f t="shared" si="11"/>
        <v>881.08</v>
      </c>
      <c r="L214" s="296"/>
      <c r="M214" s="296"/>
      <c r="N214" s="296"/>
      <c r="O214" s="296"/>
    </row>
    <row r="215" spans="1:16" ht="18" customHeight="1" x14ac:dyDescent="0.25">
      <c r="A215" s="296"/>
      <c r="B215" s="294">
        <v>42426</v>
      </c>
      <c r="C215" s="295">
        <v>50</v>
      </c>
      <c r="D215" s="296">
        <v>18.7</v>
      </c>
      <c r="E215" s="296">
        <v>0</v>
      </c>
      <c r="F215" s="296">
        <f t="shared" si="10"/>
        <v>935</v>
      </c>
      <c r="G215" s="294">
        <v>42480</v>
      </c>
      <c r="H215" s="295">
        <v>100</v>
      </c>
      <c r="I215" s="296">
        <v>31.79</v>
      </c>
      <c r="J215" s="296">
        <v>7.0000000000000007E-2</v>
      </c>
      <c r="K215" s="296">
        <f t="shared" si="11"/>
        <v>3178.93</v>
      </c>
      <c r="L215" s="296"/>
      <c r="M215" s="296"/>
      <c r="N215" s="296"/>
      <c r="O215" s="296"/>
    </row>
    <row r="216" spans="1:16" ht="18" customHeight="1" x14ac:dyDescent="0.25">
      <c r="A216" s="296"/>
      <c r="B216" s="294">
        <v>42430</v>
      </c>
      <c r="C216" s="295">
        <v>75</v>
      </c>
      <c r="D216" s="296">
        <v>17.989999999999998</v>
      </c>
      <c r="E216" s="296">
        <v>0</v>
      </c>
      <c r="F216" s="296">
        <f t="shared" si="10"/>
        <v>1349.2499999999998</v>
      </c>
      <c r="G216" s="294">
        <v>42486</v>
      </c>
      <c r="H216" s="295">
        <v>60</v>
      </c>
      <c r="I216" s="296">
        <v>32.5</v>
      </c>
      <c r="J216" s="296">
        <v>0.04</v>
      </c>
      <c r="K216" s="296">
        <f t="shared" si="11"/>
        <v>1949.96</v>
      </c>
      <c r="L216" s="296"/>
      <c r="M216" s="296"/>
      <c r="N216" s="296"/>
      <c r="O216" s="296"/>
    </row>
    <row r="217" spans="1:16" ht="18" customHeight="1" x14ac:dyDescent="0.25">
      <c r="A217" s="296"/>
      <c r="B217" s="294">
        <v>42451</v>
      </c>
      <c r="C217" s="295">
        <v>30</v>
      </c>
      <c r="D217" s="296">
        <v>25.08</v>
      </c>
      <c r="E217" s="296">
        <v>0</v>
      </c>
      <c r="F217" s="296">
        <f t="shared" si="10"/>
        <v>752.4</v>
      </c>
      <c r="G217" s="294">
        <v>42500</v>
      </c>
      <c r="H217" s="295">
        <v>200</v>
      </c>
      <c r="I217" s="296">
        <v>18.649999999999999</v>
      </c>
      <c r="J217" s="296">
        <v>0.08</v>
      </c>
      <c r="K217" s="296">
        <f t="shared" si="11"/>
        <v>3729.9199999999996</v>
      </c>
      <c r="L217" s="296"/>
      <c r="M217" s="296"/>
      <c r="N217" s="296"/>
      <c r="O217" s="296"/>
      <c r="P217" s="139"/>
    </row>
    <row r="218" spans="1:16" ht="18" customHeight="1" x14ac:dyDescent="0.25">
      <c r="A218" s="296"/>
      <c r="B218" s="294">
        <v>42471</v>
      </c>
      <c r="C218" s="295">
        <v>30</v>
      </c>
      <c r="D218" s="296">
        <v>28.67</v>
      </c>
      <c r="E218" s="296">
        <v>0</v>
      </c>
      <c r="F218" s="296">
        <f t="shared" si="10"/>
        <v>860.1</v>
      </c>
      <c r="G218" s="294">
        <v>42510</v>
      </c>
      <c r="H218" s="295">
        <v>130</v>
      </c>
      <c r="I218" s="296">
        <v>21.35</v>
      </c>
      <c r="J218" s="296">
        <v>0.06</v>
      </c>
      <c r="K218" s="296">
        <f t="shared" si="11"/>
        <v>2775.44</v>
      </c>
      <c r="L218" s="296"/>
      <c r="M218" s="296"/>
      <c r="N218" s="296"/>
      <c r="O218" s="296"/>
    </row>
    <row r="219" spans="1:16" ht="18" customHeight="1" x14ac:dyDescent="0.25">
      <c r="A219" s="296"/>
      <c r="B219" s="294">
        <v>42485</v>
      </c>
      <c r="C219" s="295">
        <v>100</v>
      </c>
      <c r="D219" s="296">
        <v>31.25</v>
      </c>
      <c r="E219" s="296">
        <v>0</v>
      </c>
      <c r="F219" s="296">
        <f t="shared" si="10"/>
        <v>3125</v>
      </c>
      <c r="G219" s="294">
        <v>42513</v>
      </c>
      <c r="H219" s="295">
        <v>70</v>
      </c>
      <c r="I219" s="296">
        <v>23.68</v>
      </c>
      <c r="J219" s="296">
        <v>0.04</v>
      </c>
      <c r="K219" s="296">
        <f t="shared" si="11"/>
        <v>1657.56</v>
      </c>
      <c r="L219" s="296"/>
      <c r="M219" s="296"/>
      <c r="N219" s="296"/>
      <c r="O219" s="296"/>
    </row>
    <row r="220" spans="1:16" ht="18" customHeight="1" x14ac:dyDescent="0.25">
      <c r="A220" s="296"/>
      <c r="B220" s="294">
        <v>42489</v>
      </c>
      <c r="C220" s="295">
        <v>60</v>
      </c>
      <c r="D220" s="296">
        <v>30.51</v>
      </c>
      <c r="E220" s="296">
        <v>0</v>
      </c>
      <c r="F220" s="296">
        <f t="shared" si="10"/>
        <v>1830.6000000000001</v>
      </c>
      <c r="G220" s="294">
        <v>42513</v>
      </c>
      <c r="H220" s="295">
        <v>40</v>
      </c>
      <c r="I220" s="296">
        <v>23.55</v>
      </c>
      <c r="J220" s="296">
        <v>0.02</v>
      </c>
      <c r="K220" s="296">
        <f t="shared" si="11"/>
        <v>941.98</v>
      </c>
      <c r="L220" s="296"/>
      <c r="M220" s="296"/>
      <c r="N220" s="296"/>
      <c r="O220" s="296"/>
    </row>
    <row r="221" spans="1:16" ht="18" customHeight="1" x14ac:dyDescent="0.25">
      <c r="A221" s="296"/>
      <c r="B221" s="294">
        <v>42493</v>
      </c>
      <c r="C221" s="295">
        <v>30</v>
      </c>
      <c r="D221" s="296">
        <v>26.75</v>
      </c>
      <c r="E221" s="296">
        <v>0</v>
      </c>
      <c r="F221" s="296">
        <f t="shared" si="10"/>
        <v>802.5</v>
      </c>
      <c r="G221" s="294">
        <v>42527</v>
      </c>
      <c r="H221" s="295">
        <v>60</v>
      </c>
      <c r="I221" s="296">
        <v>22.79</v>
      </c>
      <c r="J221" s="296">
        <v>0.03</v>
      </c>
      <c r="K221" s="296">
        <f t="shared" si="11"/>
        <v>1367.37</v>
      </c>
      <c r="L221" s="296"/>
      <c r="M221" s="296"/>
      <c r="N221" s="296"/>
      <c r="O221" s="296"/>
    </row>
    <row r="222" spans="1:16" ht="18" customHeight="1" x14ac:dyDescent="0.25">
      <c r="A222" s="296"/>
      <c r="B222" s="294">
        <v>42495</v>
      </c>
      <c r="C222" s="295">
        <v>70</v>
      </c>
      <c r="D222" s="296">
        <v>21.65</v>
      </c>
      <c r="E222" s="296">
        <v>0</v>
      </c>
      <c r="F222" s="296">
        <f t="shared" si="10"/>
        <v>1515.5</v>
      </c>
      <c r="G222" s="294">
        <v>42541</v>
      </c>
      <c r="H222" s="295">
        <v>70</v>
      </c>
      <c r="I222" s="296">
        <v>22.45</v>
      </c>
      <c r="J222" s="296">
        <v>0.03</v>
      </c>
      <c r="K222" s="296">
        <f t="shared" si="11"/>
        <v>1571.47</v>
      </c>
      <c r="L222" s="296"/>
      <c r="M222" s="296"/>
      <c r="N222" s="296"/>
      <c r="O222" s="296"/>
    </row>
    <row r="223" spans="1:16" ht="18" customHeight="1" x14ac:dyDescent="0.25">
      <c r="A223" s="296"/>
      <c r="B223" s="294">
        <v>42500</v>
      </c>
      <c r="C223" s="295">
        <v>200</v>
      </c>
      <c r="D223" s="296">
        <v>18.25</v>
      </c>
      <c r="E223" s="296">
        <v>0</v>
      </c>
      <c r="F223" s="296">
        <f t="shared" si="10"/>
        <v>3650</v>
      </c>
      <c r="G223" s="296"/>
      <c r="H223" s="296"/>
      <c r="I223" s="296"/>
      <c r="J223" s="296"/>
      <c r="K223" s="296"/>
      <c r="L223" s="296"/>
      <c r="M223" s="296"/>
      <c r="N223" s="296"/>
      <c r="O223" s="296"/>
    </row>
    <row r="224" spans="1:16" ht="18" customHeight="1" x14ac:dyDescent="0.25">
      <c r="A224" s="296"/>
      <c r="B224" s="294">
        <v>42500</v>
      </c>
      <c r="C224" s="295">
        <v>100</v>
      </c>
      <c r="D224" s="296">
        <v>16.510000000000002</v>
      </c>
      <c r="E224" s="296">
        <v>0</v>
      </c>
      <c r="F224" s="296">
        <f t="shared" si="10"/>
        <v>1651.0000000000002</v>
      </c>
      <c r="G224" s="296"/>
      <c r="H224" s="296"/>
      <c r="I224" s="296"/>
      <c r="J224" s="296"/>
      <c r="K224" s="296"/>
      <c r="L224" s="296"/>
      <c r="M224" s="296"/>
      <c r="N224" s="296"/>
      <c r="O224" s="296"/>
      <c r="P224" s="139"/>
    </row>
    <row r="225" spans="1:16" ht="18" customHeight="1" x14ac:dyDescent="0.25">
      <c r="A225" s="293"/>
      <c r="B225" s="322">
        <v>42531</v>
      </c>
      <c r="C225" s="295">
        <v>70</v>
      </c>
      <c r="D225" s="320">
        <v>21.65</v>
      </c>
      <c r="E225" s="296">
        <v>0</v>
      </c>
      <c r="F225" s="320">
        <f t="shared" si="10"/>
        <v>1515.5</v>
      </c>
      <c r="G225" s="322"/>
      <c r="H225" s="319"/>
      <c r="I225" s="320"/>
      <c r="J225" s="319"/>
      <c r="K225" s="320"/>
      <c r="L225" s="318"/>
      <c r="M225" s="320"/>
      <c r="N225" s="315"/>
      <c r="O225" s="317"/>
    </row>
    <row r="226" spans="1:16" ht="18" customHeight="1" x14ac:dyDescent="0.25">
      <c r="A226" s="312"/>
      <c r="B226" s="316"/>
      <c r="C226" s="314">
        <f>SUM(C199:C225)</f>
        <v>1925</v>
      </c>
      <c r="D226" s="315"/>
      <c r="E226" s="316"/>
      <c r="F226" s="315">
        <f>SUM(F199:F225)</f>
        <v>55975.85</v>
      </c>
      <c r="G226" s="316"/>
      <c r="H226" s="314">
        <f>SUM(H199:H225)</f>
        <v>1925</v>
      </c>
      <c r="I226" s="315"/>
      <c r="J226" s="314"/>
      <c r="K226" s="315">
        <f>SUM(K199:K225)</f>
        <v>56062.910000000011</v>
      </c>
      <c r="L226" s="316"/>
      <c r="M226" s="315"/>
      <c r="N226" s="315">
        <f>K226-F226</f>
        <v>87.060000000012224</v>
      </c>
      <c r="O226" s="317">
        <f>(N226+M226)/F226</f>
        <v>1.5553135861270928E-3</v>
      </c>
    </row>
    <row r="227" spans="1:16" ht="18" customHeight="1" x14ac:dyDescent="0.25">
      <c r="B227" s="308"/>
      <c r="C227" s="309"/>
      <c r="D227" s="310"/>
      <c r="E227" s="24"/>
      <c r="F227" s="310"/>
      <c r="G227" s="308"/>
      <c r="H227" s="309"/>
      <c r="I227" s="310"/>
      <c r="K227" s="310"/>
      <c r="L227" s="308"/>
      <c r="M227" s="310"/>
      <c r="N227" s="427"/>
      <c r="O227" s="428"/>
      <c r="P227" s="139"/>
    </row>
    <row r="228" spans="1:16" ht="18" customHeight="1" x14ac:dyDescent="0.25">
      <c r="A228" s="293" t="s">
        <v>46</v>
      </c>
      <c r="B228" s="322">
        <v>42185</v>
      </c>
      <c r="C228" s="319">
        <v>20</v>
      </c>
      <c r="D228" s="320">
        <v>28.2</v>
      </c>
      <c r="E228" s="318"/>
      <c r="F228" s="320">
        <f>C228*D228</f>
        <v>564</v>
      </c>
      <c r="G228" s="322">
        <v>42187</v>
      </c>
      <c r="H228" s="319">
        <v>20</v>
      </c>
      <c r="I228" s="320">
        <v>28.75</v>
      </c>
      <c r="J228" s="319">
        <v>0.01</v>
      </c>
      <c r="K228" s="320">
        <f>H228*I228-J228</f>
        <v>574.99</v>
      </c>
      <c r="L228" s="318"/>
      <c r="M228" s="320"/>
      <c r="N228" s="315"/>
      <c r="O228" s="317"/>
      <c r="P228" s="139"/>
    </row>
    <row r="229" spans="1:16" ht="18" customHeight="1" x14ac:dyDescent="0.25">
      <c r="A229" s="312"/>
      <c r="B229" s="316"/>
      <c r="C229" s="314">
        <f>SUM(C228)</f>
        <v>20</v>
      </c>
      <c r="D229" s="315"/>
      <c r="E229" s="316"/>
      <c r="F229" s="315">
        <f>SUM(F228)</f>
        <v>564</v>
      </c>
      <c r="G229" s="316"/>
      <c r="H229" s="314">
        <f>SUM(H228)</f>
        <v>20</v>
      </c>
      <c r="I229" s="315"/>
      <c r="J229" s="314"/>
      <c r="K229" s="315">
        <f>SUM(K228)</f>
        <v>574.99</v>
      </c>
      <c r="L229" s="316"/>
      <c r="M229" s="315"/>
      <c r="N229" s="315">
        <f>K229-F229</f>
        <v>10.990000000000009</v>
      </c>
      <c r="O229" s="317">
        <f>(N229+M229)/F229</f>
        <v>1.9485815602836895E-2</v>
      </c>
    </row>
    <row r="230" spans="1:16" ht="18" customHeight="1" x14ac:dyDescent="0.25">
      <c r="B230" s="308"/>
      <c r="C230" s="309"/>
      <c r="D230" s="310"/>
      <c r="E230" s="310"/>
      <c r="F230" s="310"/>
      <c r="G230" s="308"/>
      <c r="H230" s="309"/>
      <c r="I230" s="310"/>
      <c r="J230" s="310"/>
      <c r="K230" s="310"/>
      <c r="L230" s="308"/>
      <c r="M230" s="310"/>
      <c r="N230" s="310"/>
      <c r="O230" s="311"/>
    </row>
    <row r="231" spans="1:16" ht="18" customHeight="1" x14ac:dyDescent="0.25">
      <c r="A231" s="293" t="s">
        <v>28</v>
      </c>
      <c r="B231" s="294">
        <v>42164</v>
      </c>
      <c r="C231" s="295">
        <v>20</v>
      </c>
      <c r="D231" s="296">
        <v>29.9</v>
      </c>
      <c r="E231" s="296"/>
      <c r="F231" s="296">
        <f>C231*D231</f>
        <v>598</v>
      </c>
      <c r="G231" s="294">
        <v>42187</v>
      </c>
      <c r="H231" s="295">
        <v>40</v>
      </c>
      <c r="I231" s="296">
        <v>30.4</v>
      </c>
      <c r="J231" s="296">
        <v>0.02</v>
      </c>
      <c r="K231" s="296">
        <f>H231*I231-J231</f>
        <v>1215.98</v>
      </c>
      <c r="L231" s="297"/>
      <c r="M231" s="296"/>
      <c r="N231" s="296"/>
      <c r="O231" s="298"/>
      <c r="P231" s="139" t="s">
        <v>133</v>
      </c>
    </row>
    <row r="232" spans="1:16" ht="18" customHeight="1" x14ac:dyDescent="0.25">
      <c r="A232" s="293"/>
      <c r="B232" s="294">
        <v>42166</v>
      </c>
      <c r="C232" s="295">
        <v>20</v>
      </c>
      <c r="D232" s="296">
        <v>29.3</v>
      </c>
      <c r="E232" s="296"/>
      <c r="F232" s="296">
        <f>C232*D232</f>
        <v>586</v>
      </c>
      <c r="G232" s="297"/>
      <c r="H232" s="295"/>
      <c r="I232" s="296"/>
      <c r="J232" s="295"/>
      <c r="K232" s="296"/>
      <c r="L232" s="297"/>
      <c r="M232" s="296"/>
      <c r="N232" s="296"/>
      <c r="O232" s="298"/>
    </row>
    <row r="233" spans="1:16" ht="18" customHeight="1" x14ac:dyDescent="0.25">
      <c r="A233" s="293"/>
      <c r="B233" s="299"/>
      <c r="C233" s="300">
        <f>SUM(C231:C232)</f>
        <v>40</v>
      </c>
      <c r="D233" s="301"/>
      <c r="E233" s="301"/>
      <c r="F233" s="301">
        <f>SUM(F231:F232)</f>
        <v>1184</v>
      </c>
      <c r="G233" s="302"/>
      <c r="H233" s="300">
        <f>SUM(H231:H232)</f>
        <v>40</v>
      </c>
      <c r="I233" s="301"/>
      <c r="J233" s="301"/>
      <c r="K233" s="301">
        <f>SUM(K231:K232)</f>
        <v>1215.98</v>
      </c>
      <c r="L233" s="302"/>
      <c r="M233" s="301"/>
      <c r="N233" s="301">
        <f>K233-F233</f>
        <v>31.980000000000018</v>
      </c>
      <c r="O233" s="303">
        <f>(N233+M233)/F233</f>
        <v>2.7010135135135151E-2</v>
      </c>
      <c r="P233" s="234"/>
    </row>
    <row r="234" spans="1:16" ht="18" customHeight="1" x14ac:dyDescent="0.25">
      <c r="B234" s="321"/>
      <c r="C234" s="309"/>
      <c r="D234" s="310"/>
      <c r="E234" s="309"/>
      <c r="F234" s="310"/>
      <c r="G234" s="308"/>
      <c r="H234" s="309"/>
      <c r="I234" s="310"/>
      <c r="J234" s="309"/>
      <c r="K234" s="310"/>
      <c r="L234" s="308"/>
      <c r="M234" s="310"/>
      <c r="N234" s="308"/>
      <c r="O234" s="308"/>
    </row>
    <row r="235" spans="1:16" ht="18" customHeight="1" x14ac:dyDescent="0.25">
      <c r="A235" s="293" t="s">
        <v>44</v>
      </c>
      <c r="B235" s="294">
        <v>42185</v>
      </c>
      <c r="C235" s="295">
        <v>10</v>
      </c>
      <c r="D235" s="296">
        <v>71.2</v>
      </c>
      <c r="E235" s="295"/>
      <c r="F235" s="296">
        <f>C235*D235</f>
        <v>712</v>
      </c>
      <c r="G235" s="294">
        <v>42228</v>
      </c>
      <c r="H235" s="295">
        <v>10</v>
      </c>
      <c r="I235" s="296">
        <v>75.5</v>
      </c>
      <c r="J235" s="295">
        <v>0.01</v>
      </c>
      <c r="K235" s="296">
        <f>H235*I235-J235</f>
        <v>754.99</v>
      </c>
      <c r="L235" s="294">
        <v>42277</v>
      </c>
      <c r="M235" s="296">
        <v>2.83</v>
      </c>
      <c r="N235" s="297"/>
      <c r="O235" s="297"/>
    </row>
    <row r="236" spans="1:16" ht="18" customHeight="1" x14ac:dyDescent="0.25">
      <c r="A236" s="293"/>
      <c r="B236" s="294">
        <v>42220</v>
      </c>
      <c r="C236" s="295">
        <v>5</v>
      </c>
      <c r="D236" s="296">
        <v>70.650000000000006</v>
      </c>
      <c r="E236" s="296"/>
      <c r="F236" s="296">
        <f>C236*D236</f>
        <v>353.25</v>
      </c>
      <c r="G236" s="294">
        <v>42283</v>
      </c>
      <c r="H236" s="295">
        <v>5</v>
      </c>
      <c r="I236" s="296">
        <v>71.25</v>
      </c>
      <c r="J236" s="295">
        <v>0.01</v>
      </c>
      <c r="K236" s="296">
        <f>H236*I236-J236</f>
        <v>356.24</v>
      </c>
      <c r="L236" s="297"/>
      <c r="M236" s="295"/>
      <c r="N236" s="297"/>
      <c r="O236" s="297"/>
    </row>
    <row r="237" spans="1:16" ht="18" customHeight="1" x14ac:dyDescent="0.25">
      <c r="A237" s="293"/>
      <c r="B237" s="302"/>
      <c r="C237" s="300">
        <f>SUM(C235:C236)</f>
        <v>15</v>
      </c>
      <c r="D237" s="301"/>
      <c r="E237" s="301"/>
      <c r="F237" s="301">
        <f>SUM(F235:F236)</f>
        <v>1065.25</v>
      </c>
      <c r="G237" s="302"/>
      <c r="H237" s="300">
        <f>SUM(H235:H236)</f>
        <v>15</v>
      </c>
      <c r="I237" s="301"/>
      <c r="J237" s="301"/>
      <c r="K237" s="301">
        <f>SUM(K235:K236)</f>
        <v>1111.23</v>
      </c>
      <c r="L237" s="326"/>
      <c r="M237" s="301">
        <f>SUM(M235:M236)</f>
        <v>2.83</v>
      </c>
      <c r="N237" s="301">
        <f>K237-F237</f>
        <v>45.980000000000018</v>
      </c>
      <c r="O237" s="327">
        <f>(N237+M237)/F237</f>
        <v>4.5820229992959413E-2</v>
      </c>
    </row>
    <row r="238" spans="1:16" ht="18" customHeight="1" x14ac:dyDescent="0.25">
      <c r="B238" s="308"/>
      <c r="C238" s="309"/>
      <c r="D238" s="310"/>
      <c r="E238" s="24"/>
      <c r="F238" s="310"/>
      <c r="G238" s="308"/>
      <c r="H238" s="309"/>
      <c r="I238" s="310"/>
      <c r="K238" s="310"/>
      <c r="L238" s="308"/>
      <c r="M238" s="310"/>
      <c r="N238" s="310"/>
      <c r="O238" s="311"/>
    </row>
    <row r="239" spans="1:16" ht="18" customHeight="1" x14ac:dyDescent="0.25">
      <c r="A239" s="293" t="s">
        <v>0</v>
      </c>
      <c r="B239" s="294">
        <v>42144</v>
      </c>
      <c r="C239" s="295">
        <v>50</v>
      </c>
      <c r="D239" s="296">
        <v>130.16999999999999</v>
      </c>
      <c r="E239" s="297"/>
      <c r="F239" s="296">
        <f>C239*D239</f>
        <v>6508.4999999999991</v>
      </c>
      <c r="G239" s="294">
        <v>42186</v>
      </c>
      <c r="H239" s="295">
        <v>50</v>
      </c>
      <c r="I239" s="296">
        <v>133.5</v>
      </c>
      <c r="J239" s="295">
        <v>0.12</v>
      </c>
      <c r="K239" s="296">
        <f>H239*I239-J239</f>
        <v>6674.88</v>
      </c>
      <c r="L239" s="294">
        <v>42200</v>
      </c>
      <c r="M239" s="296">
        <v>7.5</v>
      </c>
      <c r="N239" s="295"/>
      <c r="O239" s="295"/>
    </row>
    <row r="240" spans="1:16" ht="18" customHeight="1" x14ac:dyDescent="0.25">
      <c r="A240" s="293"/>
      <c r="B240" s="299"/>
      <c r="C240" s="300">
        <f>SUM(C239)</f>
        <v>50</v>
      </c>
      <c r="D240" s="301"/>
      <c r="E240" s="302"/>
      <c r="F240" s="301">
        <f>SUM(F239)</f>
        <v>6508.4999999999991</v>
      </c>
      <c r="G240" s="302"/>
      <c r="H240" s="300">
        <f>SUM(H239)</f>
        <v>50</v>
      </c>
      <c r="I240" s="301"/>
      <c r="J240" s="300"/>
      <c r="K240" s="301">
        <f>SUM(K239)</f>
        <v>6674.88</v>
      </c>
      <c r="L240" s="302"/>
      <c r="M240" s="301">
        <f>SUM(M239)</f>
        <v>7.5</v>
      </c>
      <c r="N240" s="301">
        <f>K240-F240</f>
        <v>166.38000000000102</v>
      </c>
      <c r="O240" s="303">
        <f>(N240+M240)/F240</f>
        <v>2.6715833141276953E-2</v>
      </c>
    </row>
    <row r="241" spans="1:20" ht="18" customHeight="1" x14ac:dyDescent="0.25">
      <c r="B241" s="308"/>
      <c r="C241" s="309"/>
      <c r="D241" s="310"/>
      <c r="E241" s="310"/>
      <c r="F241" s="310"/>
      <c r="G241" s="308"/>
      <c r="H241" s="309"/>
      <c r="I241" s="310"/>
      <c r="J241" s="310"/>
      <c r="K241" s="310"/>
      <c r="L241" s="308"/>
      <c r="M241" s="310"/>
      <c r="N241" s="310"/>
      <c r="O241" s="311"/>
    </row>
    <row r="242" spans="1:20" ht="18" customHeight="1" x14ac:dyDescent="0.25">
      <c r="A242" s="293" t="s">
        <v>49</v>
      </c>
      <c r="B242" s="294">
        <v>42186</v>
      </c>
      <c r="C242" s="295">
        <v>100</v>
      </c>
      <c r="D242" s="296">
        <v>27.5</v>
      </c>
      <c r="E242" s="296"/>
      <c r="F242" s="296">
        <f>C242*D242</f>
        <v>2750</v>
      </c>
      <c r="G242" s="294">
        <v>42219</v>
      </c>
      <c r="H242" s="295">
        <v>100</v>
      </c>
      <c r="I242" s="296">
        <v>29.5</v>
      </c>
      <c r="J242" s="295">
        <v>0.05</v>
      </c>
      <c r="K242" s="296">
        <f>H242*I242-J242</f>
        <v>2949.95</v>
      </c>
      <c r="L242" s="294">
        <v>42216</v>
      </c>
      <c r="M242" s="296">
        <v>11</v>
      </c>
      <c r="N242" s="296"/>
      <c r="O242" s="298"/>
    </row>
    <row r="243" spans="1:20" ht="18" customHeight="1" x14ac:dyDescent="0.25">
      <c r="A243" s="293"/>
      <c r="B243" s="299"/>
      <c r="C243" s="300">
        <f>SUM(C242)</f>
        <v>100</v>
      </c>
      <c r="D243" s="301"/>
      <c r="E243" s="302"/>
      <c r="F243" s="301">
        <f>SUM(F242)</f>
        <v>2750</v>
      </c>
      <c r="G243" s="302"/>
      <c r="H243" s="300">
        <f>SUM(H242)</f>
        <v>100</v>
      </c>
      <c r="I243" s="301"/>
      <c r="J243" s="301"/>
      <c r="K243" s="301">
        <f>SUM(K242)</f>
        <v>2949.95</v>
      </c>
      <c r="L243" s="302"/>
      <c r="M243" s="301">
        <v>11</v>
      </c>
      <c r="N243" s="301">
        <f>K243-F243</f>
        <v>199.94999999999982</v>
      </c>
      <c r="O243" s="303">
        <f>(N243+M243)/F243</f>
        <v>7.6709090909090838E-2</v>
      </c>
    </row>
    <row r="244" spans="1:20" ht="18" customHeight="1" x14ac:dyDescent="0.25">
      <c r="B244" s="308"/>
      <c r="C244" s="309"/>
      <c r="D244" s="310"/>
      <c r="E244" s="24"/>
      <c r="F244" s="310"/>
      <c r="G244" s="308"/>
      <c r="H244" s="309"/>
      <c r="I244" s="310"/>
      <c r="K244" s="310"/>
      <c r="L244" s="308"/>
      <c r="M244" s="310"/>
      <c r="N244" s="310"/>
      <c r="O244" s="309"/>
    </row>
    <row r="245" spans="1:20" ht="18" customHeight="1" x14ac:dyDescent="0.25">
      <c r="A245" s="293" t="s">
        <v>13</v>
      </c>
      <c r="B245" s="294">
        <v>42151</v>
      </c>
      <c r="C245" s="295">
        <v>5</v>
      </c>
      <c r="D245" s="296">
        <v>54.2</v>
      </c>
      <c r="E245" s="297"/>
      <c r="F245" s="296">
        <f t="shared" ref="F245:F251" si="12">C245*D245</f>
        <v>271</v>
      </c>
      <c r="G245" s="294">
        <v>42181</v>
      </c>
      <c r="H245" s="295">
        <v>25</v>
      </c>
      <c r="I245" s="296">
        <v>55.4</v>
      </c>
      <c r="J245" s="295">
        <v>0.03</v>
      </c>
      <c r="K245" s="296">
        <f>H245*I245-J245</f>
        <v>1384.97</v>
      </c>
      <c r="L245" s="297"/>
      <c r="M245" s="296"/>
      <c r="N245" s="296"/>
      <c r="O245" s="298"/>
    </row>
    <row r="246" spans="1:20" ht="18" customHeight="1" x14ac:dyDescent="0.25">
      <c r="A246" s="293"/>
      <c r="B246" s="294">
        <v>42152</v>
      </c>
      <c r="C246" s="295">
        <v>20</v>
      </c>
      <c r="D246" s="296">
        <v>53.35</v>
      </c>
      <c r="E246" s="297"/>
      <c r="F246" s="296">
        <f t="shared" si="12"/>
        <v>1067</v>
      </c>
      <c r="G246" s="294">
        <v>42200</v>
      </c>
      <c r="H246" s="295">
        <v>225</v>
      </c>
      <c r="I246" s="296">
        <v>55.56</v>
      </c>
      <c r="J246" s="295">
        <v>0.23</v>
      </c>
      <c r="K246" s="296">
        <f>H246*I246-J246</f>
        <v>12500.77</v>
      </c>
      <c r="L246" s="297"/>
      <c r="M246" s="296"/>
      <c r="N246" s="296"/>
      <c r="O246" s="298"/>
    </row>
    <row r="247" spans="1:20" ht="18" customHeight="1" x14ac:dyDescent="0.25">
      <c r="A247" s="293"/>
      <c r="B247" s="294">
        <v>42153</v>
      </c>
      <c r="C247" s="295">
        <v>25</v>
      </c>
      <c r="D247" s="296">
        <v>52.35</v>
      </c>
      <c r="E247" s="297"/>
      <c r="F247" s="296">
        <f t="shared" si="12"/>
        <v>1308.75</v>
      </c>
      <c r="G247" s="297"/>
      <c r="H247" s="295"/>
      <c r="I247" s="296"/>
      <c r="J247" s="295"/>
      <c r="K247" s="296"/>
      <c r="L247" s="297"/>
      <c r="M247" s="296"/>
      <c r="N247" s="296"/>
      <c r="O247" s="298"/>
    </row>
    <row r="248" spans="1:20" ht="18" customHeight="1" x14ac:dyDescent="0.25">
      <c r="A248" s="293"/>
      <c r="B248" s="294">
        <v>42153</v>
      </c>
      <c r="C248" s="295">
        <v>25</v>
      </c>
      <c r="D248" s="296">
        <v>51.75</v>
      </c>
      <c r="E248" s="297"/>
      <c r="F248" s="296">
        <f t="shared" si="12"/>
        <v>1293.75</v>
      </c>
      <c r="G248" s="297"/>
      <c r="H248" s="295"/>
      <c r="I248" s="296"/>
      <c r="J248" s="295"/>
      <c r="K248" s="296"/>
      <c r="L248" s="297"/>
      <c r="M248" s="296"/>
      <c r="N248" s="296"/>
      <c r="O248" s="298"/>
    </row>
    <row r="249" spans="1:20" ht="18" customHeight="1" x14ac:dyDescent="0.25">
      <c r="A249" s="293"/>
      <c r="B249" s="294">
        <v>42166</v>
      </c>
      <c r="C249" s="295">
        <v>25</v>
      </c>
      <c r="D249" s="296">
        <v>52.1</v>
      </c>
      <c r="E249" s="297"/>
      <c r="F249" s="296">
        <f t="shared" si="12"/>
        <v>1302.5</v>
      </c>
      <c r="G249" s="297"/>
      <c r="H249" s="295"/>
      <c r="I249" s="296"/>
      <c r="J249" s="295"/>
      <c r="K249" s="296"/>
      <c r="L249" s="297"/>
      <c r="M249" s="296"/>
      <c r="N249" s="296"/>
      <c r="O249" s="298"/>
    </row>
    <row r="250" spans="1:20" ht="18" customHeight="1" x14ac:dyDescent="0.25">
      <c r="A250" s="293"/>
      <c r="B250" s="294">
        <v>42166</v>
      </c>
      <c r="C250" s="295">
        <v>50</v>
      </c>
      <c r="D250" s="296">
        <v>51.5</v>
      </c>
      <c r="E250" s="297"/>
      <c r="F250" s="296">
        <f t="shared" si="12"/>
        <v>2575</v>
      </c>
      <c r="G250" s="297"/>
      <c r="H250" s="295"/>
      <c r="I250" s="296"/>
      <c r="J250" s="295"/>
      <c r="K250" s="296"/>
      <c r="L250" s="297"/>
      <c r="M250" s="296"/>
      <c r="N250" s="296"/>
      <c r="O250" s="298"/>
    </row>
    <row r="251" spans="1:20" ht="18" customHeight="1" x14ac:dyDescent="0.25">
      <c r="A251" s="293"/>
      <c r="B251" s="294">
        <v>42166</v>
      </c>
      <c r="C251" s="295">
        <v>100</v>
      </c>
      <c r="D251" s="296">
        <v>51.35</v>
      </c>
      <c r="E251" s="297"/>
      <c r="F251" s="296">
        <f t="shared" si="12"/>
        <v>5135</v>
      </c>
      <c r="G251" s="297"/>
      <c r="H251" s="295"/>
      <c r="I251" s="296"/>
      <c r="J251" s="295"/>
      <c r="K251" s="296"/>
      <c r="L251" s="297"/>
      <c r="M251" s="296"/>
      <c r="N251" s="296"/>
      <c r="O251" s="298"/>
      <c r="Q251" s="441" t="s">
        <v>223</v>
      </c>
      <c r="R251" s="440"/>
      <c r="S251" s="419" t="s">
        <v>218</v>
      </c>
      <c r="T251" s="417"/>
    </row>
    <row r="252" spans="1:20" ht="18" customHeight="1" x14ac:dyDescent="0.25">
      <c r="A252" s="293"/>
      <c r="B252" s="299"/>
      <c r="C252" s="300">
        <f>SUM(C245:C251)</f>
        <v>250</v>
      </c>
      <c r="D252" s="301"/>
      <c r="E252" s="302"/>
      <c r="F252" s="301">
        <f>SUM(F245:F251)</f>
        <v>12953</v>
      </c>
      <c r="G252" s="302"/>
      <c r="H252" s="300">
        <f>SUM(H245:H251)</f>
        <v>250</v>
      </c>
      <c r="I252" s="301"/>
      <c r="J252" s="300"/>
      <c r="K252" s="301">
        <f>SUM(K245:K251)</f>
        <v>13885.74</v>
      </c>
      <c r="L252" s="302"/>
      <c r="M252" s="301"/>
      <c r="N252" s="301">
        <f>K252-F252</f>
        <v>932.73999999999978</v>
      </c>
      <c r="O252" s="303">
        <f>(N252+M252)/F252</f>
        <v>7.2009573071875221E-2</v>
      </c>
      <c r="Q252" s="355">
        <v>42449</v>
      </c>
      <c r="R252" s="440">
        <v>0.02</v>
      </c>
      <c r="S252" s="417">
        <v>2015</v>
      </c>
      <c r="T252" s="417">
        <v>1003.28</v>
      </c>
    </row>
    <row r="253" spans="1:20" ht="18" customHeight="1" x14ac:dyDescent="0.25">
      <c r="B253" s="308"/>
      <c r="C253" s="309"/>
      <c r="D253" s="310"/>
      <c r="E253" s="310"/>
      <c r="F253" s="310"/>
      <c r="G253" s="308"/>
      <c r="H253" s="309"/>
      <c r="I253" s="310"/>
      <c r="J253" s="310"/>
      <c r="K253" s="310"/>
      <c r="L253" s="308"/>
      <c r="M253" s="310"/>
      <c r="N253" s="310"/>
      <c r="O253" s="311"/>
      <c r="Q253" s="355"/>
      <c r="R253" s="440"/>
      <c r="S253" s="459">
        <v>42278</v>
      </c>
      <c r="T253" s="417">
        <v>0.19</v>
      </c>
    </row>
    <row r="254" spans="1:20" ht="18" customHeight="1" x14ac:dyDescent="0.25">
      <c r="A254" s="293" t="s">
        <v>20</v>
      </c>
      <c r="B254" s="294">
        <v>42153</v>
      </c>
      <c r="C254" s="295">
        <v>50</v>
      </c>
      <c r="D254" s="296">
        <v>20.99</v>
      </c>
      <c r="E254" s="297"/>
      <c r="F254" s="296">
        <f>C254*D254</f>
        <v>1049.5</v>
      </c>
      <c r="G254" s="294">
        <v>42186</v>
      </c>
      <c r="H254" s="295">
        <v>297</v>
      </c>
      <c r="I254" s="296">
        <v>19.399999999999999</v>
      </c>
      <c r="J254" s="296">
        <v>0.11</v>
      </c>
      <c r="K254" s="296">
        <f>H254*I254-J254</f>
        <v>5761.69</v>
      </c>
      <c r="L254" s="297"/>
      <c r="M254" s="296"/>
      <c r="N254" s="296"/>
      <c r="O254" s="298"/>
      <c r="Q254" s="477"/>
      <c r="R254" s="440"/>
      <c r="S254" s="459">
        <v>42309</v>
      </c>
      <c r="T254" s="417">
        <v>0.26</v>
      </c>
    </row>
    <row r="255" spans="1:20" ht="18" customHeight="1" x14ac:dyDescent="0.25">
      <c r="A255" s="293"/>
      <c r="B255" s="294">
        <v>42185</v>
      </c>
      <c r="C255" s="295">
        <v>100</v>
      </c>
      <c r="D255" s="296">
        <v>20.6</v>
      </c>
      <c r="E255" s="296"/>
      <c r="F255" s="296">
        <f>C255*D255</f>
        <v>2060</v>
      </c>
      <c r="G255" s="294">
        <v>42186</v>
      </c>
      <c r="H255" s="295">
        <v>300</v>
      </c>
      <c r="I255" s="296">
        <v>20.28</v>
      </c>
      <c r="J255" s="296">
        <v>0.11</v>
      </c>
      <c r="K255" s="296">
        <f>H255*I255-J255</f>
        <v>6083.89</v>
      </c>
      <c r="L255" s="297"/>
      <c r="M255" s="296"/>
      <c r="N255" s="296"/>
      <c r="O255" s="298"/>
      <c r="Q255" s="354"/>
      <c r="R255" s="440"/>
      <c r="S255" s="459">
        <v>42339</v>
      </c>
      <c r="T255" s="417">
        <v>0.23</v>
      </c>
    </row>
    <row r="256" spans="1:20" ht="18" customHeight="1" x14ac:dyDescent="0.25">
      <c r="A256" s="293"/>
      <c r="B256" s="294">
        <v>42186</v>
      </c>
      <c r="C256" s="295">
        <v>150</v>
      </c>
      <c r="D256" s="296">
        <v>19.95</v>
      </c>
      <c r="E256" s="296"/>
      <c r="F256" s="296">
        <f>C256*D256</f>
        <v>2992.5</v>
      </c>
      <c r="G256" s="294">
        <v>42186</v>
      </c>
      <c r="H256" s="295">
        <v>300</v>
      </c>
      <c r="I256" s="296">
        <v>19.75</v>
      </c>
      <c r="J256" s="296">
        <v>0.11</v>
      </c>
      <c r="K256" s="296">
        <f>H256*I256-J256</f>
        <v>5924.89</v>
      </c>
      <c r="L256" s="297"/>
      <c r="M256" s="296"/>
      <c r="N256" s="296"/>
      <c r="O256" s="298"/>
      <c r="Q256" s="354"/>
      <c r="R256" s="440"/>
      <c r="S256" s="459">
        <v>42370</v>
      </c>
      <c r="T256" s="417">
        <v>0.08</v>
      </c>
    </row>
    <row r="257" spans="1:21" ht="18" customHeight="1" x14ac:dyDescent="0.25">
      <c r="A257" s="293"/>
      <c r="B257" s="294">
        <v>42186</v>
      </c>
      <c r="C257" s="295">
        <v>300</v>
      </c>
      <c r="D257" s="296">
        <v>19.7</v>
      </c>
      <c r="E257" s="297"/>
      <c r="F257" s="296">
        <f>C257*D257</f>
        <v>5910</v>
      </c>
      <c r="G257" s="297"/>
      <c r="H257" s="295"/>
      <c r="I257" s="296"/>
      <c r="J257" s="296"/>
      <c r="K257" s="296"/>
      <c r="L257" s="297"/>
      <c r="M257" s="296"/>
      <c r="N257" s="296"/>
      <c r="O257" s="298"/>
      <c r="Q257" s="354"/>
      <c r="R257" s="440"/>
      <c r="S257" s="459">
        <v>42401</v>
      </c>
      <c r="T257" s="417">
        <v>0.57999999999999996</v>
      </c>
    </row>
    <row r="258" spans="1:21" ht="18" customHeight="1" x14ac:dyDescent="0.25">
      <c r="A258" s="293"/>
      <c r="B258" s="294">
        <v>42186</v>
      </c>
      <c r="C258" s="295">
        <v>297</v>
      </c>
      <c r="D258" s="296">
        <v>19.13</v>
      </c>
      <c r="E258" s="296"/>
      <c r="F258" s="296">
        <f>C258*D258</f>
        <v>5681.61</v>
      </c>
      <c r="G258" s="297"/>
      <c r="H258" s="295"/>
      <c r="I258" s="296"/>
      <c r="J258" s="296"/>
      <c r="K258" s="296"/>
      <c r="L258" s="297"/>
      <c r="M258" s="296"/>
      <c r="N258" s="296"/>
      <c r="O258" s="298"/>
      <c r="Q258" s="354"/>
      <c r="R258" s="440"/>
      <c r="S258" s="459">
        <v>42430</v>
      </c>
      <c r="T258" s="417">
        <v>0.68</v>
      </c>
    </row>
    <row r="259" spans="1:21" ht="18" customHeight="1" x14ac:dyDescent="0.25">
      <c r="A259" s="293"/>
      <c r="B259" s="299"/>
      <c r="C259" s="300">
        <f>SUM(C254:C258)</f>
        <v>897</v>
      </c>
      <c r="D259" s="301"/>
      <c r="E259" s="301"/>
      <c r="F259" s="301">
        <f>SUM(F254:F258)</f>
        <v>17693.61</v>
      </c>
      <c r="G259" s="302"/>
      <c r="H259" s="300">
        <f>SUM(H254:H258)</f>
        <v>897</v>
      </c>
      <c r="I259" s="301"/>
      <c r="J259" s="301"/>
      <c r="K259" s="301">
        <f>SUM(K254:K258)</f>
        <v>17770.47</v>
      </c>
      <c r="L259" s="302"/>
      <c r="M259" s="301"/>
      <c r="N259" s="301">
        <f>K259-F259</f>
        <v>76.860000000000582</v>
      </c>
      <c r="O259" s="303">
        <f>(N259+M259)/F259</f>
        <v>4.3439411177255841E-3</v>
      </c>
      <c r="Q259" s="354"/>
      <c r="R259" s="440"/>
      <c r="S259" s="459">
        <v>42461</v>
      </c>
      <c r="T259" s="417">
        <v>0.37</v>
      </c>
    </row>
    <row r="260" spans="1:21" ht="18" customHeight="1" x14ac:dyDescent="0.25">
      <c r="B260" s="308"/>
      <c r="C260" s="309"/>
      <c r="D260" s="310"/>
      <c r="E260" s="24"/>
      <c r="F260" s="310"/>
      <c r="G260" s="308"/>
      <c r="H260" s="309"/>
      <c r="I260" s="310"/>
      <c r="K260" s="310"/>
      <c r="L260" s="308"/>
      <c r="M260" s="310"/>
      <c r="N260" s="310"/>
      <c r="O260" s="311"/>
      <c r="Q260" s="354"/>
      <c r="R260" s="440"/>
      <c r="S260" s="459">
        <v>42491</v>
      </c>
      <c r="T260" s="417">
        <v>0.13</v>
      </c>
    </row>
    <row r="261" spans="1:21" ht="18" customHeight="1" x14ac:dyDescent="0.25">
      <c r="A261" s="293" t="s">
        <v>31</v>
      </c>
      <c r="B261" s="294">
        <v>42165</v>
      </c>
      <c r="C261" s="295">
        <v>1</v>
      </c>
      <c r="D261" s="296">
        <v>73.03</v>
      </c>
      <c r="E261" s="297"/>
      <c r="F261" s="296">
        <f>C261*D261</f>
        <v>73.03</v>
      </c>
      <c r="G261" s="294">
        <v>42195</v>
      </c>
      <c r="H261" s="295">
        <v>1</v>
      </c>
      <c r="I261" s="296">
        <v>73.5</v>
      </c>
      <c r="J261" s="295">
        <v>0.01</v>
      </c>
      <c r="K261" s="296">
        <f>H261*I261-J261</f>
        <v>73.489999999999995</v>
      </c>
      <c r="L261" s="297"/>
      <c r="M261" s="296"/>
      <c r="N261" s="296"/>
      <c r="O261" s="298"/>
      <c r="Q261" s="354"/>
      <c r="R261" s="440"/>
      <c r="S261" s="459">
        <v>42552</v>
      </c>
      <c r="T261" s="417">
        <v>0.64</v>
      </c>
    </row>
    <row r="262" spans="1:21" ht="18" customHeight="1" x14ac:dyDescent="0.25">
      <c r="A262" s="293"/>
      <c r="B262" s="299"/>
      <c r="C262" s="300">
        <f>SUM(C261)</f>
        <v>1</v>
      </c>
      <c r="D262" s="301"/>
      <c r="E262" s="302"/>
      <c r="F262" s="301">
        <f>SUM(F261)</f>
        <v>73.03</v>
      </c>
      <c r="G262" s="302"/>
      <c r="H262" s="300">
        <f>SUM(H261)</f>
        <v>1</v>
      </c>
      <c r="I262" s="301"/>
      <c r="J262" s="300"/>
      <c r="K262" s="301">
        <f>SUM(K261)</f>
        <v>73.489999999999995</v>
      </c>
      <c r="L262" s="302"/>
      <c r="M262" s="301"/>
      <c r="N262" s="301">
        <f>K262-F262</f>
        <v>0.45999999999999375</v>
      </c>
      <c r="O262" s="303">
        <f>(N262+M262)/F262</f>
        <v>6.2987813227439919E-3</v>
      </c>
      <c r="Q262" s="354"/>
      <c r="R262" s="440"/>
      <c r="S262" s="459">
        <v>42580</v>
      </c>
      <c r="T262" s="417">
        <v>-0.66</v>
      </c>
      <c r="U262" s="24" t="s">
        <v>256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54"/>
      <c r="R263" s="440"/>
      <c r="S263" s="459">
        <v>42582</v>
      </c>
      <c r="T263" s="417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54"/>
      <c r="R264" s="440"/>
      <c r="S264" s="459">
        <v>42608</v>
      </c>
      <c r="T264" s="417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54"/>
      <c r="R265" s="440"/>
      <c r="S265" s="459">
        <v>42614</v>
      </c>
      <c r="T265" s="417">
        <v>0.23</v>
      </c>
    </row>
    <row r="266" spans="1:21" ht="18" customHeight="1" x14ac:dyDescent="0.25">
      <c r="M266" s="25" t="s">
        <v>152</v>
      </c>
      <c r="N266" s="519">
        <f>T302</f>
        <v>1083.5500000000004</v>
      </c>
      <c r="Q266" s="354"/>
      <c r="R266" s="440"/>
      <c r="S266" s="459">
        <v>42639</v>
      </c>
      <c r="T266" s="417">
        <v>0.56999999999999995</v>
      </c>
    </row>
    <row r="267" spans="1:21" ht="18" customHeight="1" x14ac:dyDescent="0.25">
      <c r="M267" s="25" t="s">
        <v>129</v>
      </c>
      <c r="N267" s="141">
        <f>SUM(ACTIVE!L:L)</f>
        <v>41227.594666668272</v>
      </c>
      <c r="Q267" s="354"/>
      <c r="R267" s="440"/>
      <c r="S267" s="459">
        <v>42644</v>
      </c>
      <c r="T267" s="417">
        <v>0.14000000000000001</v>
      </c>
    </row>
    <row r="268" spans="1:21" ht="18" customHeight="1" x14ac:dyDescent="0.25">
      <c r="Q268" s="354"/>
      <c r="R268" s="440"/>
      <c r="S268" s="459">
        <v>42674</v>
      </c>
      <c r="T268" s="417">
        <v>0.45</v>
      </c>
    </row>
    <row r="269" spans="1:21" ht="18" customHeight="1" x14ac:dyDescent="0.25">
      <c r="M269" s="25" t="s">
        <v>143</v>
      </c>
      <c r="N269" s="141">
        <f>SUM(N264:N267)</f>
        <v>39998.96466666834</v>
      </c>
      <c r="Q269" s="354"/>
      <c r="R269" s="440"/>
      <c r="S269" s="459">
        <v>42704</v>
      </c>
      <c r="T269" s="417">
        <v>0.43</v>
      </c>
    </row>
    <row r="270" spans="1:21" ht="18" customHeight="1" x14ac:dyDescent="0.25">
      <c r="M270" s="25" t="s">
        <v>144</v>
      </c>
      <c r="N270" s="141">
        <f>Balance!Y2</f>
        <v>39997.440000000002</v>
      </c>
      <c r="Q270" s="354"/>
      <c r="R270" s="440"/>
      <c r="S270" s="459">
        <v>43099</v>
      </c>
      <c r="T270" s="417">
        <v>0.64</v>
      </c>
    </row>
    <row r="271" spans="1:21" ht="18" customHeight="1" x14ac:dyDescent="0.25">
      <c r="M271" s="25" t="s">
        <v>191</v>
      </c>
      <c r="N271" s="520">
        <f>1.5+R302</f>
        <v>1.52</v>
      </c>
      <c r="O271" s="343"/>
      <c r="Q271" s="354"/>
      <c r="R271" s="440"/>
      <c r="S271" s="459">
        <v>42760</v>
      </c>
      <c r="T271" s="417">
        <v>0.56999999999999995</v>
      </c>
    </row>
    <row r="272" spans="1:21" ht="18" customHeight="1" x14ac:dyDescent="0.25">
      <c r="Q272" s="354"/>
      <c r="R272" s="440"/>
      <c r="S272" s="459">
        <v>42767</v>
      </c>
      <c r="T272" s="417">
        <v>0.12</v>
      </c>
    </row>
    <row r="273" spans="13:20" ht="18" customHeight="1" x14ac:dyDescent="0.25">
      <c r="M273" s="25" t="s">
        <v>131</v>
      </c>
      <c r="N273" s="521">
        <f>N269-N271-N270</f>
        <v>4.6666683410876431E-3</v>
      </c>
      <c r="Q273" s="354"/>
      <c r="R273" s="440"/>
      <c r="S273" s="459">
        <v>42794</v>
      </c>
      <c r="T273" s="417">
        <v>0.28000000000000003</v>
      </c>
    </row>
    <row r="274" spans="13:20" ht="18" customHeight="1" x14ac:dyDescent="0.25">
      <c r="Q274" s="354"/>
      <c r="R274" s="440"/>
      <c r="S274" s="459">
        <v>42824</v>
      </c>
      <c r="T274" s="417">
        <v>0.81</v>
      </c>
    </row>
    <row r="275" spans="13:20" ht="18" customHeight="1" x14ac:dyDescent="0.25">
      <c r="Q275" s="354"/>
      <c r="R275" s="440"/>
      <c r="S275" s="459">
        <v>42851</v>
      </c>
      <c r="T275" s="417">
        <v>0.93</v>
      </c>
    </row>
    <row r="276" spans="13:20" ht="18" customHeight="1" x14ac:dyDescent="0.25">
      <c r="Q276" s="354"/>
      <c r="R276" s="440"/>
      <c r="S276" s="459">
        <v>42853</v>
      </c>
      <c r="T276" s="417">
        <v>7.0000000000000007E-2</v>
      </c>
    </row>
    <row r="277" spans="13:20" ht="18" customHeight="1" x14ac:dyDescent="0.25">
      <c r="Q277" s="354"/>
      <c r="R277" s="440"/>
      <c r="S277" s="459">
        <v>42877</v>
      </c>
      <c r="T277" s="417">
        <v>0.56000000000000005</v>
      </c>
    </row>
    <row r="278" spans="13:20" ht="18" customHeight="1" x14ac:dyDescent="0.25">
      <c r="Q278" s="354"/>
      <c r="R278" s="440"/>
      <c r="S278" s="459">
        <v>42887</v>
      </c>
      <c r="T278" s="417">
        <v>0.24</v>
      </c>
    </row>
    <row r="279" spans="13:20" ht="18" customHeight="1" x14ac:dyDescent="0.25">
      <c r="Q279" s="354"/>
      <c r="R279" s="440"/>
      <c r="S279" s="459">
        <v>42908</v>
      </c>
      <c r="T279" s="417">
        <v>0.42</v>
      </c>
    </row>
    <row r="280" spans="13:20" ht="18" customHeight="1" x14ac:dyDescent="0.25">
      <c r="Q280" s="354"/>
      <c r="R280" s="440"/>
      <c r="S280" s="459">
        <v>42916</v>
      </c>
      <c r="T280" s="417">
        <v>1.02</v>
      </c>
    </row>
    <row r="281" spans="13:20" ht="18" customHeight="1" x14ac:dyDescent="0.25">
      <c r="Q281" s="354"/>
      <c r="R281" s="440"/>
      <c r="S281" s="459">
        <v>42947</v>
      </c>
      <c r="T281" s="417">
        <v>7.97</v>
      </c>
    </row>
    <row r="282" spans="13:20" ht="18" customHeight="1" x14ac:dyDescent="0.25">
      <c r="Q282" s="354"/>
      <c r="R282" s="440"/>
      <c r="S282" s="459">
        <v>42965</v>
      </c>
      <c r="T282" s="417">
        <v>3.88</v>
      </c>
    </row>
    <row r="283" spans="13:20" ht="18" customHeight="1" x14ac:dyDescent="0.25">
      <c r="Q283" s="354"/>
      <c r="R283" s="440"/>
      <c r="S283" s="459">
        <v>42978</v>
      </c>
      <c r="T283" s="417">
        <v>2.72</v>
      </c>
    </row>
    <row r="284" spans="13:20" ht="18" customHeight="1" x14ac:dyDescent="0.25">
      <c r="Q284" s="354"/>
      <c r="R284" s="440"/>
      <c r="S284" s="459">
        <v>43007</v>
      </c>
      <c r="T284" s="417">
        <v>7.89</v>
      </c>
    </row>
    <row r="285" spans="13:20" ht="18" customHeight="1" x14ac:dyDescent="0.25">
      <c r="Q285" s="354"/>
      <c r="R285" s="440"/>
      <c r="S285" s="459">
        <v>43035</v>
      </c>
      <c r="T285" s="417">
        <v>10.63</v>
      </c>
    </row>
    <row r="286" spans="13:20" ht="18" customHeight="1" x14ac:dyDescent="0.25">
      <c r="Q286" s="354"/>
      <c r="R286" s="440"/>
      <c r="S286" s="459">
        <v>43039</v>
      </c>
      <c r="T286" s="417">
        <v>0.96</v>
      </c>
    </row>
    <row r="287" spans="13:20" ht="18" customHeight="1" x14ac:dyDescent="0.25">
      <c r="Q287" s="354"/>
      <c r="R287" s="440"/>
      <c r="S287" s="459">
        <v>11628</v>
      </c>
      <c r="T287" s="417">
        <v>5.66</v>
      </c>
    </row>
    <row r="288" spans="13:20" ht="18" customHeight="1" x14ac:dyDescent="0.25">
      <c r="Q288" s="354"/>
      <c r="R288" s="440"/>
      <c r="S288" s="459">
        <v>43098</v>
      </c>
      <c r="T288" s="417">
        <v>9.77</v>
      </c>
    </row>
    <row r="289" spans="1:20" ht="18" customHeight="1" x14ac:dyDescent="0.25">
      <c r="Q289" s="354"/>
      <c r="R289" s="440"/>
      <c r="S289" s="459">
        <v>43132</v>
      </c>
      <c r="T289" s="417">
        <v>16.059999999999999</v>
      </c>
    </row>
    <row r="290" spans="1:20" ht="18" customHeight="1" x14ac:dyDescent="0.25">
      <c r="Q290" s="354"/>
      <c r="R290" s="440"/>
      <c r="S290" s="459">
        <v>43139</v>
      </c>
      <c r="T290" s="417">
        <v>4.05</v>
      </c>
    </row>
    <row r="291" spans="1:20" ht="18" customHeight="1" x14ac:dyDescent="0.25">
      <c r="Q291" s="354"/>
      <c r="R291" s="440"/>
      <c r="S291" s="459"/>
      <c r="T291" s="417"/>
    </row>
    <row r="292" spans="1:20" ht="18" customHeight="1" x14ac:dyDescent="0.25">
      <c r="Q292" s="354"/>
      <c r="R292" s="440"/>
      <c r="S292" s="459"/>
      <c r="T292" s="417"/>
    </row>
    <row r="293" spans="1:20" ht="18" customHeight="1" x14ac:dyDescent="0.25">
      <c r="Q293" s="354"/>
      <c r="R293" s="440"/>
      <c r="S293" s="459"/>
      <c r="T293" s="417"/>
    </row>
    <row r="294" spans="1:20" ht="18" customHeight="1" x14ac:dyDescent="0.25">
      <c r="Q294" s="354"/>
      <c r="R294" s="440"/>
      <c r="S294" s="459"/>
      <c r="T294" s="417"/>
    </row>
    <row r="295" spans="1:20" ht="18" customHeight="1" x14ac:dyDescent="0.25">
      <c r="Q295" s="354"/>
      <c r="R295" s="440"/>
      <c r="S295" s="459"/>
      <c r="T295" s="417"/>
    </row>
    <row r="296" spans="1:20" ht="18" customHeight="1" x14ac:dyDescent="0.25">
      <c r="A296" s="495"/>
      <c r="Q296" s="354"/>
      <c r="R296" s="440"/>
      <c r="S296" s="459"/>
      <c r="T296" s="417"/>
    </row>
    <row r="297" spans="1:20" ht="18" customHeight="1" x14ac:dyDescent="0.25">
      <c r="A297" s="496"/>
      <c r="Q297" s="354"/>
      <c r="R297" s="440"/>
      <c r="S297" s="459"/>
      <c r="T297" s="417"/>
    </row>
    <row r="298" spans="1:20" ht="18" customHeight="1" x14ac:dyDescent="0.25">
      <c r="A298" s="496"/>
      <c r="Q298" s="354"/>
      <c r="R298" s="440"/>
      <c r="S298" s="459"/>
      <c r="T298" s="417"/>
    </row>
    <row r="299" spans="1:20" ht="18" customHeight="1" x14ac:dyDescent="0.25">
      <c r="A299" s="495"/>
      <c r="Q299" s="354"/>
      <c r="R299" s="440"/>
      <c r="S299" s="459"/>
      <c r="T299" s="417"/>
    </row>
    <row r="300" spans="1:20" ht="18" customHeight="1" x14ac:dyDescent="0.25">
      <c r="A300" s="496"/>
      <c r="Q300" s="354"/>
      <c r="R300" s="440"/>
      <c r="S300" s="459"/>
      <c r="T300" s="417"/>
    </row>
    <row r="301" spans="1:20" ht="18" customHeight="1" x14ac:dyDescent="0.25">
      <c r="A301" s="496"/>
      <c r="Q301" s="354"/>
      <c r="R301" s="440"/>
      <c r="S301" s="459"/>
      <c r="T301" s="417"/>
    </row>
    <row r="302" spans="1:20" ht="18" customHeight="1" x14ac:dyDescent="0.25">
      <c r="A302" s="495"/>
      <c r="Q302" s="354" t="s">
        <v>81</v>
      </c>
      <c r="R302" s="440">
        <f>SUM(R252:R271)</f>
        <v>0.02</v>
      </c>
      <c r="S302" s="418" t="s">
        <v>81</v>
      </c>
      <c r="T302" s="417">
        <f>SUM(T252:T301)</f>
        <v>1083.5500000000004</v>
      </c>
    </row>
    <row r="303" spans="1:20" ht="18" customHeight="1" x14ac:dyDescent="0.25">
      <c r="A303" s="496"/>
    </row>
    <row r="304" spans="1:20" ht="18" customHeight="1" x14ac:dyDescent="0.25">
      <c r="A304" s="496"/>
    </row>
    <row r="305" spans="1:1" ht="18" customHeight="1" x14ac:dyDescent="0.25">
      <c r="A305" s="496"/>
    </row>
  </sheetData>
  <mergeCells count="3">
    <mergeCell ref="B12:B13"/>
    <mergeCell ref="B14:B15"/>
    <mergeCell ref="B185:B186"/>
  </mergeCells>
  <conditionalFormatting sqref="Q13">
    <cfRule type="expression" dxfId="2037" priority="7">
      <formula>#REF!&gt;0</formula>
    </cfRule>
    <cfRule type="expression" dxfId="2036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Q582"/>
  <sheetViews>
    <sheetView zoomScaleNormal="100" workbookViewId="0">
      <pane ySplit="1" topLeftCell="A567" activePane="bottomLeft" state="frozen"/>
      <selection pane="bottomLeft" activeCell="U585" sqref="U585"/>
    </sheetView>
  </sheetViews>
  <sheetFormatPr defaultColWidth="9.140625" defaultRowHeight="20.100000000000001" customHeight="1" x14ac:dyDescent="0.25"/>
  <cols>
    <col min="1" max="1" width="14.42578125" style="166" customWidth="1"/>
    <col min="2" max="2" width="11.28515625" style="176" bestFit="1" customWidth="1"/>
    <col min="3" max="3" width="9.5703125" style="166" bestFit="1" customWidth="1"/>
    <col min="4" max="4" width="12.5703125" style="177" bestFit="1" customWidth="1"/>
    <col min="5" max="5" width="13.7109375" style="177" bestFit="1" customWidth="1"/>
    <col min="6" max="6" width="12.5703125" style="177" bestFit="1" customWidth="1"/>
    <col min="7" max="7" width="12.85546875" style="177" bestFit="1" customWidth="1"/>
    <col min="8" max="8" width="13.5703125" style="177" bestFit="1" customWidth="1"/>
    <col min="9" max="9" width="14.28515625" style="223" bestFit="1" customWidth="1"/>
    <col min="10" max="10" width="12.85546875" style="166" bestFit="1" customWidth="1"/>
    <col min="11" max="11" width="10.28515625" style="166" bestFit="1" customWidth="1"/>
    <col min="12" max="12" width="12.140625" style="166" bestFit="1" customWidth="1"/>
    <col min="13" max="13" width="11.42578125" style="213" bestFit="1" customWidth="1"/>
    <col min="14" max="14" width="8.7109375" style="185" bestFit="1" customWidth="1"/>
    <col min="15" max="15" width="11" style="185" bestFit="1" customWidth="1"/>
    <col min="16" max="16" width="10.7109375" style="212" bestFit="1" customWidth="1"/>
    <col min="17" max="17" width="11.5703125" style="334" bestFit="1" customWidth="1"/>
    <col min="18" max="18" width="13.85546875" style="334" bestFit="1" customWidth="1"/>
    <col min="19" max="19" width="10.7109375" style="334" bestFit="1" customWidth="1"/>
    <col min="20" max="20" width="12.5703125" style="334" bestFit="1" customWidth="1"/>
    <col min="21" max="21" width="12" style="334" customWidth="1"/>
    <col min="22" max="22" width="9" style="185" bestFit="1" customWidth="1"/>
    <col min="23" max="23" width="8" style="185" bestFit="1" customWidth="1"/>
    <col min="24" max="24" width="8.28515625" style="213" bestFit="1" customWidth="1"/>
    <col min="25" max="25" width="11.42578125" style="166" bestFit="1" customWidth="1"/>
    <col min="26" max="26" width="9.140625" style="166"/>
    <col min="27" max="27" width="11.42578125" style="166" bestFit="1" customWidth="1"/>
    <col min="28" max="16384" width="9.140625" style="166"/>
  </cols>
  <sheetData>
    <row r="1" spans="1:43" ht="20.100000000000001" customHeight="1" x14ac:dyDescent="0.25">
      <c r="A1" s="338"/>
      <c r="B1" s="339" t="s">
        <v>86</v>
      </c>
      <c r="C1" s="338" t="s">
        <v>135</v>
      </c>
      <c r="D1" s="340" t="s">
        <v>137</v>
      </c>
      <c r="E1" s="340" t="s">
        <v>140</v>
      </c>
      <c r="F1" s="340" t="s">
        <v>153</v>
      </c>
      <c r="G1" s="340" t="s">
        <v>285</v>
      </c>
      <c r="H1" s="340" t="s">
        <v>284</v>
      </c>
      <c r="I1" s="338" t="s">
        <v>85</v>
      </c>
      <c r="J1" s="338" t="s">
        <v>87</v>
      </c>
      <c r="K1" s="338" t="s">
        <v>134</v>
      </c>
      <c r="L1" s="338" t="s">
        <v>136</v>
      </c>
      <c r="M1" s="341" t="s">
        <v>96</v>
      </c>
      <c r="N1" s="341" t="s">
        <v>76</v>
      </c>
      <c r="O1" s="341" t="s">
        <v>831</v>
      </c>
      <c r="P1" s="338" t="s">
        <v>149</v>
      </c>
      <c r="Q1" s="342" t="s">
        <v>187</v>
      </c>
      <c r="R1" s="342" t="s">
        <v>188</v>
      </c>
      <c r="S1" s="342" t="s">
        <v>189</v>
      </c>
      <c r="T1" s="342" t="s">
        <v>216</v>
      </c>
      <c r="U1" s="342" t="s">
        <v>217</v>
      </c>
      <c r="V1" s="341" t="s">
        <v>221</v>
      </c>
      <c r="W1" s="341" t="s">
        <v>222</v>
      </c>
      <c r="X1" s="341" t="s">
        <v>286</v>
      </c>
      <c r="Y1" s="214" t="s">
        <v>150</v>
      </c>
      <c r="Z1" s="164"/>
      <c r="AA1" s="165"/>
      <c r="AB1" s="164"/>
      <c r="AC1" s="165"/>
      <c r="AD1" s="165"/>
      <c r="AE1" s="163"/>
      <c r="AF1" s="163"/>
      <c r="AG1" s="163"/>
      <c r="AH1" s="163"/>
    </row>
    <row r="2" spans="1:43" ht="20.100000000000001" customHeight="1" x14ac:dyDescent="0.25">
      <c r="A2" s="163"/>
      <c r="B2" s="167">
        <v>42233</v>
      </c>
      <c r="C2" s="198">
        <v>2102.44</v>
      </c>
      <c r="D2" s="199"/>
      <c r="E2" s="199"/>
      <c r="F2" s="216">
        <v>5091.7</v>
      </c>
      <c r="G2" s="199"/>
      <c r="H2" s="199"/>
      <c r="I2" s="220">
        <v>322588.21000000002</v>
      </c>
      <c r="J2" s="169">
        <v>360000</v>
      </c>
      <c r="K2" s="170"/>
      <c r="L2" s="170"/>
      <c r="M2" s="168">
        <f t="shared" ref="M2:M29" si="0">I2-J2</f>
        <v>-37411.789999999979</v>
      </c>
      <c r="N2" s="183">
        <f t="shared" ref="N2:N29" si="1">M2/J2</f>
        <v>-0.10392163888888883</v>
      </c>
      <c r="O2" s="183"/>
      <c r="P2" s="168" t="b">
        <f>L2&gt;D2</f>
        <v>0</v>
      </c>
      <c r="Q2" s="183">
        <f>COUNTIF(P$2:P2, TRUE)/(COUNTIF(P$2:P2,FALSE) + COUNTIF(P$2:P2, TRUE))</f>
        <v>0</v>
      </c>
      <c r="R2" s="335"/>
      <c r="S2" s="335"/>
      <c r="T2" s="335"/>
      <c r="U2" s="335"/>
      <c r="V2" s="183"/>
      <c r="W2" s="183"/>
      <c r="X2" s="168"/>
      <c r="Y2" s="333">
        <f>LOOKUP(2,1/(M:M&lt;&gt;""),M:M)</f>
        <v>39997.440000000002</v>
      </c>
      <c r="Z2" s="164"/>
      <c r="AA2" s="165"/>
      <c r="AB2" s="164"/>
      <c r="AC2" s="165"/>
      <c r="AD2" s="165"/>
      <c r="AE2" s="163"/>
      <c r="AF2" s="163"/>
      <c r="AG2" s="163"/>
      <c r="AH2" s="163"/>
    </row>
    <row r="3" spans="1:43" ht="20.100000000000001" customHeight="1" x14ac:dyDescent="0.25">
      <c r="A3" s="751" t="s">
        <v>71</v>
      </c>
      <c r="B3" s="167">
        <v>42234</v>
      </c>
      <c r="C3" s="200">
        <v>2096.92</v>
      </c>
      <c r="D3" s="171">
        <f>(C3-C2)/C2</f>
        <v>-2.6255208234242031E-3</v>
      </c>
      <c r="E3" s="201">
        <f>(C3-$C$2)/$C$2</f>
        <v>-2.6255208234242031E-3</v>
      </c>
      <c r="F3" s="217">
        <v>5059.3500000000004</v>
      </c>
      <c r="G3" s="171">
        <f t="shared" ref="G3:G66" si="2">(F3-F2)/F2</f>
        <v>-6.3534772276448836E-3</v>
      </c>
      <c r="H3" s="201">
        <f>(F3-F$2)/F$2</f>
        <v>-6.3534772276448836E-3</v>
      </c>
      <c r="I3" s="220">
        <v>319994.03000000003</v>
      </c>
      <c r="J3" s="169">
        <v>360000</v>
      </c>
      <c r="K3" s="169">
        <f t="shared" ref="K3:K28" si="3">I3-I2-J3+J2</f>
        <v>-2594.179999999993</v>
      </c>
      <c r="L3" s="171">
        <f>K3/I2</f>
        <v>-8.0417694124654861E-3</v>
      </c>
      <c r="M3" s="168">
        <f t="shared" si="0"/>
        <v>-40005.969999999972</v>
      </c>
      <c r="N3" s="183">
        <f t="shared" si="1"/>
        <v>-0.11112769444444437</v>
      </c>
      <c r="O3" s="183"/>
      <c r="P3" s="168" t="b">
        <f>L3&gt;D3</f>
        <v>0</v>
      </c>
      <c r="Q3" s="183">
        <f>COUNTIF(P$2:P3, TRUE)/(COUNTIF(P$2:P3,FALSE) + COUNTIF(P$2:P3, TRUE))</f>
        <v>0</v>
      </c>
      <c r="R3" s="335"/>
      <c r="S3" s="335"/>
      <c r="T3" s="335"/>
      <c r="U3" s="335"/>
      <c r="V3" s="183"/>
      <c r="W3" s="183"/>
      <c r="X3" s="168"/>
      <c r="Z3" s="164"/>
      <c r="AA3" s="165"/>
      <c r="AB3" s="164"/>
      <c r="AC3" s="165"/>
      <c r="AD3" s="165"/>
      <c r="AE3" s="163"/>
      <c r="AF3" s="163"/>
      <c r="AG3" s="163"/>
      <c r="AH3" s="163"/>
    </row>
    <row r="4" spans="1:43" ht="20.100000000000001" customHeight="1" x14ac:dyDescent="0.25">
      <c r="A4" s="163"/>
      <c r="B4" s="167">
        <v>42235</v>
      </c>
      <c r="C4" s="200">
        <v>2079.61</v>
      </c>
      <c r="D4" s="171">
        <f t="shared" ref="D4:D67" si="4">(C4-C3)/C3</f>
        <v>-8.254964424012334E-3</v>
      </c>
      <c r="E4" s="201">
        <f t="shared" ref="E4:E43" si="5">(C4-$C$2)/$C$2</f>
        <v>-1.0858811666444668E-2</v>
      </c>
      <c r="F4" s="217">
        <v>5019.05</v>
      </c>
      <c r="G4" s="171">
        <f t="shared" si="2"/>
        <v>-7.9654501072272486E-3</v>
      </c>
      <c r="H4" s="201">
        <f t="shared" ref="H4:H66" si="6">(F4-F$2)/F$2</f>
        <v>-1.4268319029007923E-2</v>
      </c>
      <c r="I4" s="220">
        <v>311839.78000000003</v>
      </c>
      <c r="J4" s="169">
        <v>360000</v>
      </c>
      <c r="K4" s="169">
        <f t="shared" si="3"/>
        <v>-8154.25</v>
      </c>
      <c r="L4" s="171">
        <f t="shared" ref="L4:L67" si="7">K4/I3</f>
        <v>-2.5482506658014836E-2</v>
      </c>
      <c r="M4" s="168">
        <f t="shared" si="0"/>
        <v>-48160.219999999972</v>
      </c>
      <c r="N4" s="183">
        <f t="shared" si="1"/>
        <v>-0.13377838888888882</v>
      </c>
      <c r="O4" s="183"/>
      <c r="P4" s="168" t="b">
        <f>L4&gt;D4</f>
        <v>0</v>
      </c>
      <c r="Q4" s="183">
        <f>COUNTIF(P$2:P4, TRUE)/(COUNTIF(P$2:P4,FALSE) + COUNTIF(P$2:P4, TRUE))</f>
        <v>0</v>
      </c>
      <c r="R4" s="335"/>
      <c r="S4" s="335"/>
      <c r="T4" s="335"/>
      <c r="U4" s="335"/>
      <c r="V4" s="183">
        <f>STDEV(D$2:D4)*SQRT(252)</f>
        <v>6.3190347694703594E-2</v>
      </c>
      <c r="W4" s="183">
        <f>STDEV(L$2:L4)*SQRT(252)</f>
        <v>0.19577179003677936</v>
      </c>
      <c r="X4" s="168"/>
      <c r="Y4" s="163"/>
      <c r="Z4" s="164"/>
      <c r="AA4" s="165"/>
      <c r="AB4" s="164"/>
      <c r="AC4" s="165"/>
      <c r="AD4" s="165"/>
      <c r="AE4" s="163"/>
      <c r="AF4" s="163"/>
      <c r="AG4" s="163"/>
      <c r="AH4" s="163"/>
    </row>
    <row r="5" spans="1:43" ht="20.100000000000001" customHeight="1" x14ac:dyDescent="0.25">
      <c r="A5" s="163"/>
      <c r="B5" s="167">
        <v>42236</v>
      </c>
      <c r="C5" s="200">
        <v>2035.73</v>
      </c>
      <c r="D5" s="171">
        <f t="shared" si="4"/>
        <v>-2.1100110116800797E-2</v>
      </c>
      <c r="E5" s="201">
        <f t="shared" si="5"/>
        <v>-3.1729799661345884E-2</v>
      </c>
      <c r="F5" s="217">
        <v>4877.49</v>
      </c>
      <c r="G5" s="171">
        <f t="shared" si="2"/>
        <v>-2.8204540699933334E-2</v>
      </c>
      <c r="H5" s="201">
        <f t="shared" si="6"/>
        <v>-4.2070428344167965E-2</v>
      </c>
      <c r="I5" s="220">
        <v>301697.40999999997</v>
      </c>
      <c r="J5" s="169">
        <v>360000</v>
      </c>
      <c r="K5" s="169">
        <f t="shared" si="3"/>
        <v>-10142.370000000054</v>
      </c>
      <c r="L5" s="171">
        <f t="shared" si="7"/>
        <v>-3.2524298214936055E-2</v>
      </c>
      <c r="M5" s="168">
        <f t="shared" si="0"/>
        <v>-58302.590000000026</v>
      </c>
      <c r="N5" s="183">
        <f t="shared" si="1"/>
        <v>-0.16195163888888897</v>
      </c>
      <c r="O5" s="183"/>
      <c r="P5" s="168" t="b">
        <f>L5&gt;D5</f>
        <v>0</v>
      </c>
      <c r="Q5" s="183">
        <f>COUNTIF(P$2:P5, TRUE)/(COUNTIF(P$2:P5,FALSE) + COUNTIF(P$2:P5, TRUE))</f>
        <v>0</v>
      </c>
      <c r="R5" s="335"/>
      <c r="S5" s="335"/>
      <c r="T5" s="335"/>
      <c r="U5" s="335"/>
      <c r="V5" s="183">
        <f>STDEV(D$2:D5)*SQRT(252)</f>
        <v>0.15031949910961184</v>
      </c>
      <c r="W5" s="183">
        <f>STDEV(L$2:L5)*SQRT(252)</f>
        <v>0.20008182112239786</v>
      </c>
      <c r="X5" s="168"/>
      <c r="Y5" s="163"/>
      <c r="Z5" s="164"/>
      <c r="AA5" s="165"/>
      <c r="AB5" s="164"/>
      <c r="AC5" s="165"/>
      <c r="AD5" s="165"/>
      <c r="AE5" s="163"/>
      <c r="AF5" s="163"/>
      <c r="AG5" s="163"/>
      <c r="AH5" s="163"/>
    </row>
    <row r="6" spans="1:43" ht="20.100000000000001" customHeight="1" x14ac:dyDescent="0.25">
      <c r="A6" s="163">
        <f>B6-$B$2</f>
        <v>4</v>
      </c>
      <c r="B6" s="167">
        <v>42237</v>
      </c>
      <c r="C6" s="200">
        <v>1970.89</v>
      </c>
      <c r="D6" s="171">
        <f t="shared" si="4"/>
        <v>-3.1850982202944356E-2</v>
      </c>
      <c r="E6" s="201">
        <f t="shared" si="5"/>
        <v>-6.2570156579973724E-2</v>
      </c>
      <c r="F6" s="217">
        <v>4706.04</v>
      </c>
      <c r="G6" s="171">
        <f t="shared" si="2"/>
        <v>-3.5151276578732057E-2</v>
      </c>
      <c r="H6" s="201">
        <f t="shared" si="6"/>
        <v>-7.5742875660388453E-2</v>
      </c>
      <c r="I6" s="220">
        <v>295093.56</v>
      </c>
      <c r="J6" s="169">
        <v>360000</v>
      </c>
      <c r="K6" s="169">
        <f t="shared" si="3"/>
        <v>-6603.8499999999767</v>
      </c>
      <c r="L6" s="171">
        <f t="shared" si="7"/>
        <v>-2.1888984728108792E-2</v>
      </c>
      <c r="M6" s="168">
        <f t="shared" si="0"/>
        <v>-64906.44</v>
      </c>
      <c r="N6" s="183">
        <f t="shared" si="1"/>
        <v>-0.18029566666666666</v>
      </c>
      <c r="O6" s="183"/>
      <c r="P6" s="168" t="b">
        <f>L6&gt;D6</f>
        <v>1</v>
      </c>
      <c r="Q6" s="183">
        <f>COUNTIF(P$2:P6, TRUE)/(COUNTIF(P$2:P6,FALSE) + COUNTIF(P$2:P6, TRUE))</f>
        <v>0.2</v>
      </c>
      <c r="R6" s="335"/>
      <c r="S6" s="335"/>
      <c r="T6" s="335"/>
      <c r="U6" s="335"/>
      <c r="V6" s="183">
        <f>STDEV(D$2:D6)*SQRT(252)</f>
        <v>0.20821641331654633</v>
      </c>
      <c r="W6" s="183">
        <f>STDEV(L$2:L6)*SQRT(252)</f>
        <v>0.16336924292253127</v>
      </c>
      <c r="X6" s="168"/>
      <c r="Y6" s="163"/>
      <c r="Z6" s="164"/>
      <c r="AA6" s="165"/>
      <c r="AB6" s="164"/>
      <c r="AC6" s="165"/>
      <c r="AD6" s="165"/>
      <c r="AE6" s="163"/>
      <c r="AF6" s="163"/>
      <c r="AG6" s="163"/>
      <c r="AH6" s="163"/>
    </row>
    <row r="7" spans="1:43" ht="20.100000000000001" customHeight="1" x14ac:dyDescent="0.25">
      <c r="A7" s="163">
        <f t="shared" ref="A7:A70" si="8">B7-$B$2</f>
        <v>7</v>
      </c>
      <c r="B7" s="172">
        <v>42240</v>
      </c>
      <c r="C7" s="202">
        <v>1893.21</v>
      </c>
      <c r="D7" s="171">
        <f t="shared" si="4"/>
        <v>-3.9413665907280494E-2</v>
      </c>
      <c r="E7" s="203">
        <f t="shared" si="5"/>
        <v>-9.95177032400449E-2</v>
      </c>
      <c r="F7" s="218">
        <v>4526.25</v>
      </c>
      <c r="G7" s="171">
        <f t="shared" si="2"/>
        <v>-3.8204095162812035E-2</v>
      </c>
      <c r="H7" s="203">
        <f t="shared" si="6"/>
        <v>-0.11105328279356597</v>
      </c>
      <c r="I7" s="221">
        <v>283095.28999999998</v>
      </c>
      <c r="J7" s="173">
        <v>360000</v>
      </c>
      <c r="K7" s="173">
        <f t="shared" si="3"/>
        <v>-11998.270000000019</v>
      </c>
      <c r="L7" s="171">
        <f t="shared" si="7"/>
        <v>-4.0659206524195309E-2</v>
      </c>
      <c r="M7" s="174">
        <f t="shared" si="0"/>
        <v>-76904.710000000021</v>
      </c>
      <c r="N7" s="184">
        <f t="shared" si="1"/>
        <v>-0.2136241944444445</v>
      </c>
      <c r="O7" s="183"/>
      <c r="P7" s="174" t="b">
        <f t="shared" ref="P7:P58" si="9">L7&gt;D7</f>
        <v>0</v>
      </c>
      <c r="Q7" s="184">
        <f>COUNTIF(P$2:P7, TRUE)/(COUNTIF(P$2:P7,FALSE) + COUNTIF(P$2:P7, TRUE))</f>
        <v>0.16666666666666666</v>
      </c>
      <c r="R7" s="336"/>
      <c r="S7" s="336"/>
      <c r="T7" s="336"/>
      <c r="U7" s="336"/>
      <c r="V7" s="184">
        <f>STDEV(D$2:D7)*SQRT(252)</f>
        <v>0.24544711494961968</v>
      </c>
      <c r="W7" s="184">
        <f>STDEV(L$2:L7)*SQRT(252)</f>
        <v>0.19389190476539761</v>
      </c>
      <c r="X7" s="174"/>
      <c r="Y7" s="163"/>
      <c r="Z7" s="164"/>
      <c r="AA7" s="165"/>
      <c r="AB7" s="164"/>
      <c r="AC7" s="165"/>
      <c r="AD7" s="165"/>
      <c r="AE7" s="163"/>
      <c r="AF7" s="163"/>
      <c r="AG7" s="163"/>
      <c r="AH7" s="163"/>
    </row>
    <row r="8" spans="1:43" ht="20.100000000000001" customHeight="1" x14ac:dyDescent="0.25">
      <c r="A8" s="163">
        <f t="shared" si="8"/>
        <v>8</v>
      </c>
      <c r="B8" s="172">
        <v>42241</v>
      </c>
      <c r="C8" s="202">
        <v>1867.61</v>
      </c>
      <c r="D8" s="171">
        <f t="shared" si="4"/>
        <v>-1.3522007595565277E-2</v>
      </c>
      <c r="E8" s="203">
        <f t="shared" si="5"/>
        <v>-0.11169403169650509</v>
      </c>
      <c r="F8" s="218">
        <v>4506.49</v>
      </c>
      <c r="G8" s="171">
        <f t="shared" si="2"/>
        <v>-4.3656448494891397E-3</v>
      </c>
      <c r="H8" s="203">
        <f t="shared" si="6"/>
        <v>-0.11493410845100852</v>
      </c>
      <c r="I8" s="221">
        <v>276943.21000000002</v>
      </c>
      <c r="J8" s="173">
        <v>360000</v>
      </c>
      <c r="K8" s="173">
        <f t="shared" si="3"/>
        <v>-6152.0799999999581</v>
      </c>
      <c r="L8" s="171">
        <f t="shared" si="7"/>
        <v>-2.1731481297339698E-2</v>
      </c>
      <c r="M8" s="174">
        <f t="shared" si="0"/>
        <v>-83056.789999999979</v>
      </c>
      <c r="N8" s="184">
        <f t="shared" si="1"/>
        <v>-0.2307133055555555</v>
      </c>
      <c r="O8" s="183"/>
      <c r="P8" s="174" t="b">
        <f t="shared" si="9"/>
        <v>0</v>
      </c>
      <c r="Q8" s="184">
        <f>COUNTIF(P$2:P8, TRUE)/(COUNTIF(P$2:P8,FALSE) + COUNTIF(P$2:P8, TRUE))</f>
        <v>0.14285714285714285</v>
      </c>
      <c r="R8" s="336"/>
      <c r="S8" s="336"/>
      <c r="T8" s="336"/>
      <c r="U8" s="336"/>
      <c r="V8" s="184">
        <f>STDEV(D$2:D8)*SQRT(252)</f>
        <v>0.22434082778798065</v>
      </c>
      <c r="W8" s="184">
        <f>STDEV(L$2:L8)*SQRT(252)</f>
        <v>0.17533735395795544</v>
      </c>
      <c r="X8" s="174"/>
      <c r="Y8" s="163"/>
      <c r="Z8" s="164"/>
      <c r="AA8" s="165"/>
      <c r="AB8" s="164"/>
      <c r="AC8" s="165"/>
      <c r="AD8" s="165"/>
      <c r="AE8" s="163"/>
      <c r="AF8" s="163"/>
      <c r="AG8" s="163"/>
      <c r="AH8" s="163"/>
      <c r="AQ8" s="558"/>
    </row>
    <row r="9" spans="1:43" ht="20.100000000000001" customHeight="1" x14ac:dyDescent="0.25">
      <c r="A9" s="163">
        <f t="shared" si="8"/>
        <v>9</v>
      </c>
      <c r="B9" s="172">
        <v>42242</v>
      </c>
      <c r="C9" s="202">
        <v>1940.51</v>
      </c>
      <c r="D9" s="171">
        <f t="shared" si="4"/>
        <v>3.9033845395987435E-2</v>
      </c>
      <c r="E9" s="203">
        <f t="shared" si="5"/>
        <v>-7.7020033865413548E-2</v>
      </c>
      <c r="F9" s="218">
        <v>4697.54</v>
      </c>
      <c r="G9" s="171">
        <f t="shared" si="2"/>
        <v>4.239441339046579E-2</v>
      </c>
      <c r="H9" s="203">
        <f t="shared" si="6"/>
        <v>-7.741225916687941E-2</v>
      </c>
      <c r="I9" s="221">
        <v>284832.2</v>
      </c>
      <c r="J9" s="173">
        <v>360000</v>
      </c>
      <c r="K9" s="173">
        <f t="shared" si="3"/>
        <v>7888.9899999999907</v>
      </c>
      <c r="L9" s="171">
        <f t="shared" si="7"/>
        <v>2.8485948436865412E-2</v>
      </c>
      <c r="M9" s="174">
        <f t="shared" si="0"/>
        <v>-75167.799999999988</v>
      </c>
      <c r="N9" s="184">
        <f t="shared" si="1"/>
        <v>-0.2087994444444444</v>
      </c>
      <c r="O9" s="183"/>
      <c r="P9" s="174" t="b">
        <f t="shared" si="9"/>
        <v>0</v>
      </c>
      <c r="Q9" s="184">
        <f>COUNTIF(P$2:P9, TRUE)/(COUNTIF(P$2:P9,FALSE) + COUNTIF(P$2:P9, TRUE))</f>
        <v>0.125</v>
      </c>
      <c r="R9" s="336"/>
      <c r="S9" s="336"/>
      <c r="T9" s="336"/>
      <c r="U9" s="336"/>
      <c r="V9" s="184">
        <f>STDEV(D$2:D9)*SQRT(252)</f>
        <v>0.40635063731985605</v>
      </c>
      <c r="W9" s="184">
        <f>STDEV(L$2:L9)*SQRT(252)</f>
        <v>0.35891083910893234</v>
      </c>
      <c r="X9" s="174"/>
      <c r="Y9" s="163"/>
      <c r="Z9" s="164"/>
      <c r="AA9" s="165"/>
      <c r="AB9" s="164"/>
      <c r="AC9" s="165"/>
      <c r="AD9" s="165"/>
      <c r="AE9" s="163"/>
      <c r="AF9" s="163"/>
      <c r="AG9" s="163"/>
      <c r="AH9" s="163"/>
    </row>
    <row r="10" spans="1:43" ht="20.100000000000001" customHeight="1" x14ac:dyDescent="0.25">
      <c r="A10" s="163">
        <f t="shared" si="8"/>
        <v>10</v>
      </c>
      <c r="B10" s="172">
        <v>42243</v>
      </c>
      <c r="C10" s="202">
        <v>1987.66</v>
      </c>
      <c r="D10" s="171">
        <f t="shared" si="4"/>
        <v>2.429773616214299E-2</v>
      </c>
      <c r="E10" s="203">
        <f t="shared" si="5"/>
        <v>-5.4593710165331696E-2</v>
      </c>
      <c r="F10" s="218">
        <v>4812.71</v>
      </c>
      <c r="G10" s="171">
        <f t="shared" si="2"/>
        <v>2.4517087667161978E-2</v>
      </c>
      <c r="H10" s="203">
        <f t="shared" si="6"/>
        <v>-5.4793094644224875E-2</v>
      </c>
      <c r="I10" s="221">
        <v>300742.98</v>
      </c>
      <c r="J10" s="173">
        <v>360000</v>
      </c>
      <c r="K10" s="173">
        <f t="shared" si="3"/>
        <v>15910.77999999997</v>
      </c>
      <c r="L10" s="171">
        <f t="shared" si="7"/>
        <v>5.5860187155806013E-2</v>
      </c>
      <c r="M10" s="174">
        <f t="shared" si="0"/>
        <v>-59257.020000000019</v>
      </c>
      <c r="N10" s="184">
        <f t="shared" si="1"/>
        <v>-0.16460283333333339</v>
      </c>
      <c r="O10" s="183"/>
      <c r="P10" s="174" t="b">
        <f t="shared" si="9"/>
        <v>1</v>
      </c>
      <c r="Q10" s="184">
        <f>COUNTIF(P$2:P10, TRUE)/(COUNTIF(P$2:P10,FALSE) + COUNTIF(P$2:P10, TRUE))</f>
        <v>0.22222222222222221</v>
      </c>
      <c r="R10" s="336"/>
      <c r="S10" s="336"/>
      <c r="T10" s="336"/>
      <c r="U10" s="336"/>
      <c r="V10" s="184">
        <f>STDEV(D$2:D10)*SQRT(252)</f>
        <v>0.42545538355052082</v>
      </c>
      <c r="W10" s="184">
        <f>STDEV(L$2:L10)*SQRT(252)</f>
        <v>0.52868202794227925</v>
      </c>
      <c r="X10" s="174"/>
      <c r="Y10" s="163" t="s">
        <v>123</v>
      </c>
      <c r="Z10" s="164"/>
      <c r="AA10" s="165"/>
      <c r="AB10" s="164"/>
      <c r="AC10" s="165"/>
      <c r="AD10" s="165"/>
      <c r="AE10" s="163"/>
      <c r="AF10" s="163"/>
      <c r="AG10" s="163"/>
      <c r="AH10" s="163"/>
    </row>
    <row r="11" spans="1:43" ht="20.100000000000001" customHeight="1" x14ac:dyDescent="0.25">
      <c r="A11" s="163">
        <f t="shared" si="8"/>
        <v>11</v>
      </c>
      <c r="B11" s="172">
        <v>42244</v>
      </c>
      <c r="C11" s="202">
        <v>1988.87</v>
      </c>
      <c r="D11" s="171">
        <f t="shared" si="4"/>
        <v>6.0875602467213154E-4</v>
      </c>
      <c r="E11" s="203">
        <f t="shared" si="5"/>
        <v>-5.401818839063191E-2</v>
      </c>
      <c r="F11" s="218">
        <v>4828.32</v>
      </c>
      <c r="G11" s="171">
        <f t="shared" si="2"/>
        <v>3.2434948293164709E-3</v>
      </c>
      <c r="H11" s="203">
        <f t="shared" si="6"/>
        <v>-5.1727320934069197E-2</v>
      </c>
      <c r="I11" s="221">
        <v>307941.06</v>
      </c>
      <c r="J11" s="173">
        <v>360000</v>
      </c>
      <c r="K11" s="173">
        <f t="shared" si="3"/>
        <v>7198.0800000000163</v>
      </c>
      <c r="L11" s="171">
        <f t="shared" si="7"/>
        <v>2.3934324252556174E-2</v>
      </c>
      <c r="M11" s="174">
        <f t="shared" si="0"/>
        <v>-52058.94</v>
      </c>
      <c r="N11" s="184">
        <f t="shared" si="1"/>
        <v>-0.14460816666666668</v>
      </c>
      <c r="O11" s="183"/>
      <c r="P11" s="174" t="b">
        <f t="shared" si="9"/>
        <v>1</v>
      </c>
      <c r="Q11" s="184">
        <f>COUNTIF(P$2:P11, TRUE)/(COUNTIF(P$2:P11,FALSE) + COUNTIF(P$2:P11, TRUE))</f>
        <v>0.3</v>
      </c>
      <c r="R11" s="336"/>
      <c r="S11" s="336"/>
      <c r="T11" s="336"/>
      <c r="U11" s="336"/>
      <c r="V11" s="184">
        <f>STDEV(D$2:D11)*SQRT(252)</f>
        <v>0.39984128605241964</v>
      </c>
      <c r="W11" s="184">
        <f>STDEV(L$2:L11)*SQRT(252)</f>
        <v>0.52303521027280186</v>
      </c>
      <c r="X11" s="174"/>
      <c r="Y11" s="163"/>
      <c r="Z11" s="164"/>
      <c r="AA11" s="165"/>
      <c r="AB11" s="164"/>
      <c r="AC11" s="165"/>
      <c r="AD11" s="165"/>
      <c r="AE11" s="163"/>
      <c r="AF11" s="163"/>
      <c r="AG11" s="163"/>
      <c r="AH11" s="163"/>
    </row>
    <row r="12" spans="1:43" ht="20.100000000000001" customHeight="1" x14ac:dyDescent="0.25">
      <c r="A12" s="163">
        <f t="shared" si="8"/>
        <v>14</v>
      </c>
      <c r="B12" s="167">
        <v>42247</v>
      </c>
      <c r="C12" s="200">
        <v>1972.18</v>
      </c>
      <c r="D12" s="171">
        <f t="shared" si="4"/>
        <v>-8.391699809439445E-3</v>
      </c>
      <c r="E12" s="201">
        <f t="shared" si="5"/>
        <v>-6.1956583778847427E-2</v>
      </c>
      <c r="F12" s="217">
        <v>4776.51</v>
      </c>
      <c r="G12" s="171">
        <f t="shared" si="2"/>
        <v>-1.0730440401630277E-2</v>
      </c>
      <c r="H12" s="201">
        <f t="shared" si="6"/>
        <v>-6.1902704401280442E-2</v>
      </c>
      <c r="I12" s="474">
        <v>311200.71000000002</v>
      </c>
      <c r="J12" s="169">
        <v>360000</v>
      </c>
      <c r="K12" s="169">
        <f t="shared" si="3"/>
        <v>3259.6500000000233</v>
      </c>
      <c r="L12" s="171">
        <f t="shared" si="7"/>
        <v>1.0585304863209938E-2</v>
      </c>
      <c r="M12" s="168">
        <f t="shared" si="0"/>
        <v>-48799.289999999979</v>
      </c>
      <c r="N12" s="183">
        <f t="shared" si="1"/>
        <v>-0.13555358333333328</v>
      </c>
      <c r="O12" s="183"/>
      <c r="P12" s="168" t="b">
        <f t="shared" si="9"/>
        <v>1</v>
      </c>
      <c r="Q12" s="183">
        <f>COUNTIF(P$2:P12, TRUE)/(COUNTIF(P$2:P12,FALSE) + COUNTIF(P$2:P12, TRUE))</f>
        <v>0.36363636363636365</v>
      </c>
      <c r="R12" s="335"/>
      <c r="S12" s="335"/>
      <c r="T12" s="335"/>
      <c r="U12" s="335"/>
      <c r="V12" s="183">
        <f>STDEV(D$2:D12)*SQRT(252)</f>
        <v>0.37718652016375942</v>
      </c>
      <c r="W12" s="183">
        <f>STDEV(L$2:L12)*SQRT(252)</f>
        <v>0.49903486890486387</v>
      </c>
      <c r="X12" s="168"/>
      <c r="Y12" s="163"/>
      <c r="Z12" s="164"/>
      <c r="AA12" s="165"/>
      <c r="AB12" s="164"/>
      <c r="AC12" s="165"/>
      <c r="AD12" s="165"/>
      <c r="AE12" s="163"/>
      <c r="AF12" s="163"/>
      <c r="AG12" s="163"/>
      <c r="AH12" s="163"/>
    </row>
    <row r="13" spans="1:43" ht="20.100000000000001" customHeight="1" x14ac:dyDescent="0.25">
      <c r="A13" s="163">
        <f t="shared" si="8"/>
        <v>15</v>
      </c>
      <c r="B13" s="167">
        <v>42248</v>
      </c>
      <c r="C13" s="200">
        <v>1913.85</v>
      </c>
      <c r="D13" s="171">
        <f t="shared" si="4"/>
        <v>-2.9576407832956501E-2</v>
      </c>
      <c r="E13" s="201">
        <f t="shared" si="5"/>
        <v>-8.9700538422023995E-2</v>
      </c>
      <c r="F13" s="217">
        <v>4636.1000000000004</v>
      </c>
      <c r="G13" s="171">
        <f t="shared" si="2"/>
        <v>-2.9395939713305289E-2</v>
      </c>
      <c r="H13" s="201">
        <f t="shared" si="6"/>
        <v>-8.9478955947915134E-2</v>
      </c>
      <c r="I13" s="220">
        <v>307440.78999999998</v>
      </c>
      <c r="J13" s="169">
        <v>365000</v>
      </c>
      <c r="K13" s="169">
        <f t="shared" si="3"/>
        <v>-8759.9200000000419</v>
      </c>
      <c r="L13" s="171">
        <f t="shared" si="7"/>
        <v>-2.8148778966474854E-2</v>
      </c>
      <c r="M13" s="168">
        <f t="shared" si="0"/>
        <v>-57559.210000000021</v>
      </c>
      <c r="N13" s="183">
        <f t="shared" si="1"/>
        <v>-0.15769646575342472</v>
      </c>
      <c r="O13" s="183"/>
      <c r="P13" s="168" t="b">
        <f t="shared" si="9"/>
        <v>1</v>
      </c>
      <c r="Q13" s="183">
        <f>COUNTIF(P$2:P13, TRUE)/(COUNTIF(P$2:P13,FALSE) + COUNTIF(P$2:P13, TRUE))</f>
        <v>0.41666666666666669</v>
      </c>
      <c r="R13" s="335"/>
      <c r="S13" s="335"/>
      <c r="T13" s="335"/>
      <c r="U13" s="335"/>
      <c r="V13" s="183">
        <f>STDEV(D$2:D13)*SQRT(252)</f>
        <v>0.37502713989732378</v>
      </c>
      <c r="W13" s="183">
        <f>STDEV(L$2:L13)*SQRT(252)</f>
        <v>0.48831680410668976</v>
      </c>
      <c r="X13" s="168"/>
      <c r="Y13" s="163"/>
      <c r="Z13" s="164"/>
      <c r="AA13" s="165"/>
      <c r="AB13" s="164"/>
      <c r="AC13" s="165"/>
      <c r="AD13" s="165"/>
      <c r="AE13" s="163"/>
      <c r="AF13" s="163"/>
      <c r="AG13" s="163"/>
      <c r="AH13" s="163"/>
    </row>
    <row r="14" spans="1:43" ht="20.100000000000001" customHeight="1" x14ac:dyDescent="0.25">
      <c r="A14" s="163">
        <f t="shared" si="8"/>
        <v>16</v>
      </c>
      <c r="B14" s="167">
        <v>42249</v>
      </c>
      <c r="C14" s="200">
        <v>1948.86</v>
      </c>
      <c r="D14" s="171">
        <f t="shared" si="4"/>
        <v>1.829296966846931E-2</v>
      </c>
      <c r="E14" s="201">
        <f t="shared" si="5"/>
        <v>-7.3048457982154147E-2</v>
      </c>
      <c r="F14" s="217">
        <v>4749.9799999999996</v>
      </c>
      <c r="G14" s="171">
        <f t="shared" si="2"/>
        <v>2.4563749703414333E-2</v>
      </c>
      <c r="H14" s="201">
        <f t="shared" si="6"/>
        <v>-6.7113144922128221E-2</v>
      </c>
      <c r="I14" s="220">
        <v>326031.94</v>
      </c>
      <c r="J14" s="169">
        <v>380000</v>
      </c>
      <c r="K14" s="169">
        <f t="shared" si="3"/>
        <v>3591.1500000000233</v>
      </c>
      <c r="L14" s="171">
        <f t="shared" si="7"/>
        <v>1.1680785753900852E-2</v>
      </c>
      <c r="M14" s="168">
        <f t="shared" si="0"/>
        <v>-53968.06</v>
      </c>
      <c r="N14" s="183">
        <f t="shared" si="1"/>
        <v>-0.14202121052631578</v>
      </c>
      <c r="O14" s="183"/>
      <c r="P14" s="168" t="b">
        <f t="shared" si="9"/>
        <v>0</v>
      </c>
      <c r="Q14" s="183">
        <f>COUNTIF(P$2:P14, TRUE)/(COUNTIF(P$2:P14,FALSE) + COUNTIF(P$2:P14, TRUE))</f>
        <v>0.38461538461538464</v>
      </c>
      <c r="R14" s="335"/>
      <c r="S14" s="335"/>
      <c r="T14" s="335"/>
      <c r="U14" s="335"/>
      <c r="V14" s="183">
        <f>STDEV(D$2:D14)*SQRT(252)</f>
        <v>0.37770238456909672</v>
      </c>
      <c r="W14" s="183">
        <f>STDEV(L$2:L14)*SQRT(252)</f>
        <v>0.47214016149480637</v>
      </c>
      <c r="X14" s="168"/>
      <c r="Z14" s="164"/>
      <c r="AA14" s="165"/>
      <c r="AB14" s="164"/>
      <c r="AC14" s="165"/>
      <c r="AD14" s="165"/>
      <c r="AE14" s="163"/>
      <c r="AF14" s="163"/>
      <c r="AG14" s="163"/>
      <c r="AH14" s="163"/>
    </row>
    <row r="15" spans="1:43" ht="20.100000000000001" customHeight="1" x14ac:dyDescent="0.25">
      <c r="A15" s="163">
        <f t="shared" si="8"/>
        <v>17</v>
      </c>
      <c r="B15" s="167">
        <v>42250</v>
      </c>
      <c r="C15" s="200">
        <v>1951.13</v>
      </c>
      <c r="D15" s="171">
        <f t="shared" si="4"/>
        <v>1.1647835144649741E-3</v>
      </c>
      <c r="E15" s="201">
        <f t="shared" si="5"/>
        <v>-7.1968760107303867E-2</v>
      </c>
      <c r="F15" s="217">
        <v>4733.5</v>
      </c>
      <c r="G15" s="171">
        <f t="shared" si="2"/>
        <v>-3.469488292582193E-3</v>
      </c>
      <c r="H15" s="201">
        <f t="shared" si="6"/>
        <v>-7.0349784944124721E-2</v>
      </c>
      <c r="I15" s="220">
        <v>328219.34000000003</v>
      </c>
      <c r="J15" s="169">
        <v>380000</v>
      </c>
      <c r="K15" s="169">
        <f t="shared" si="3"/>
        <v>2187.4000000000233</v>
      </c>
      <c r="L15" s="171">
        <f t="shared" si="7"/>
        <v>6.7091586180176802E-3</v>
      </c>
      <c r="M15" s="168">
        <f t="shared" si="0"/>
        <v>-51780.659999999974</v>
      </c>
      <c r="N15" s="183">
        <f t="shared" si="1"/>
        <v>-0.13626489473684203</v>
      </c>
      <c r="O15" s="183"/>
      <c r="P15" s="168" t="b">
        <f t="shared" si="9"/>
        <v>1</v>
      </c>
      <c r="Q15" s="183">
        <f>COUNTIF(P$2:P15, TRUE)/(COUNTIF(P$2:P15,FALSE) + COUNTIF(P$2:P15, TRUE))</f>
        <v>0.42857142857142855</v>
      </c>
      <c r="R15" s="335"/>
      <c r="S15" s="335"/>
      <c r="T15" s="335"/>
      <c r="U15" s="335"/>
      <c r="V15" s="183">
        <f>STDEV(D$2:D15)*SQRT(252)</f>
        <v>0.3630118196770083</v>
      </c>
      <c r="W15" s="183">
        <f>STDEV(L$2:L15)*SQRT(252)</f>
        <v>0.45448950679382538</v>
      </c>
      <c r="X15" s="168"/>
      <c r="Y15" s="163"/>
      <c r="Z15" s="164"/>
      <c r="AA15" s="165"/>
      <c r="AB15" s="164"/>
      <c r="AC15" s="165"/>
      <c r="AD15" s="165"/>
      <c r="AE15" s="163"/>
      <c r="AF15" s="163"/>
      <c r="AG15" s="163"/>
      <c r="AH15" s="163"/>
    </row>
    <row r="16" spans="1:43" ht="20.100000000000001" customHeight="1" x14ac:dyDescent="0.25">
      <c r="A16" s="163">
        <f t="shared" si="8"/>
        <v>18</v>
      </c>
      <c r="B16" s="167">
        <v>42251</v>
      </c>
      <c r="C16" s="200">
        <v>1921.22</v>
      </c>
      <c r="D16" s="171">
        <f t="shared" si="4"/>
        <v>-1.5329578244402004E-2</v>
      </c>
      <c r="E16" s="201">
        <f t="shared" si="5"/>
        <v>-8.6195087612488355E-2</v>
      </c>
      <c r="F16" s="217">
        <v>4683.92</v>
      </c>
      <c r="G16" s="171">
        <f t="shared" si="2"/>
        <v>-1.0474279074680454E-2</v>
      </c>
      <c r="H16" s="201">
        <f t="shared" si="6"/>
        <v>-8.0087200738456654E-2</v>
      </c>
      <c r="I16" s="220">
        <v>324929.40000000002</v>
      </c>
      <c r="J16" s="169">
        <v>380000</v>
      </c>
      <c r="K16" s="169">
        <f t="shared" si="3"/>
        <v>-3289.9400000000023</v>
      </c>
      <c r="L16" s="171">
        <f t="shared" si="7"/>
        <v>-1.0023601899875863E-2</v>
      </c>
      <c r="M16" s="168">
        <f t="shared" si="0"/>
        <v>-55070.599999999977</v>
      </c>
      <c r="N16" s="183">
        <f t="shared" si="1"/>
        <v>-0.1449226315789473</v>
      </c>
      <c r="O16" s="183"/>
      <c r="P16" s="168" t="b">
        <f t="shared" si="9"/>
        <v>1</v>
      </c>
      <c r="Q16" s="183">
        <f>COUNTIF(P$2:P16, TRUE)/(COUNTIF(P$2:P16,FALSE) + COUNTIF(P$2:P16, TRUE))</f>
        <v>0.46666666666666667</v>
      </c>
      <c r="R16" s="335"/>
      <c r="S16" s="335"/>
      <c r="T16" s="335"/>
      <c r="U16" s="335"/>
      <c r="V16" s="183">
        <f>STDEV(D$2:D16)*SQRT(252)</f>
        <v>0.35126122417304334</v>
      </c>
      <c r="W16" s="183">
        <f>STDEV(L$2:L16)*SQRT(252)</f>
        <v>0.43762621603032426</v>
      </c>
      <c r="X16" s="168"/>
      <c r="Y16" s="163"/>
      <c r="Z16" s="164"/>
      <c r="AA16" s="165"/>
      <c r="AB16" s="164"/>
      <c r="AC16" s="165"/>
      <c r="AD16" s="165"/>
      <c r="AE16" s="163"/>
      <c r="AF16" s="163"/>
      <c r="AG16" s="163"/>
      <c r="AH16" s="163"/>
    </row>
    <row r="17" spans="1:34" ht="20.100000000000001" customHeight="1" x14ac:dyDescent="0.25">
      <c r="A17" s="163">
        <f t="shared" si="8"/>
        <v>22</v>
      </c>
      <c r="B17" s="172">
        <v>42255</v>
      </c>
      <c r="C17" s="202">
        <v>1969.41</v>
      </c>
      <c r="D17" s="171">
        <f t="shared" si="4"/>
        <v>2.5083020164270647E-2</v>
      </c>
      <c r="E17" s="203">
        <f t="shared" si="5"/>
        <v>-6.3274100568862832E-2</v>
      </c>
      <c r="F17" s="218">
        <v>4811.93</v>
      </c>
      <c r="G17" s="171">
        <f t="shared" si="2"/>
        <v>2.7329672581939961E-2</v>
      </c>
      <c r="H17" s="203">
        <f t="shared" si="6"/>
        <v>-5.4946285130702821E-2</v>
      </c>
      <c r="I17" s="221">
        <v>331613.90000000002</v>
      </c>
      <c r="J17" s="173">
        <v>380000</v>
      </c>
      <c r="K17" s="173">
        <f t="shared" si="3"/>
        <v>6684.5</v>
      </c>
      <c r="L17" s="171">
        <f t="shared" si="7"/>
        <v>2.0572161214097585E-2</v>
      </c>
      <c r="M17" s="174">
        <f t="shared" si="0"/>
        <v>-48386.099999999977</v>
      </c>
      <c r="N17" s="184">
        <f t="shared" si="1"/>
        <v>-0.1273318421052631</v>
      </c>
      <c r="O17" s="183"/>
      <c r="P17" s="174" t="b">
        <f t="shared" si="9"/>
        <v>0</v>
      </c>
      <c r="Q17" s="184">
        <f>COUNTIF(P$2:P17, TRUE)/(COUNTIF(P$2:P17,FALSE) + COUNTIF(P$2:P17, TRUE))</f>
        <v>0.4375</v>
      </c>
      <c r="R17" s="336"/>
      <c r="S17" s="336"/>
      <c r="T17" s="336"/>
      <c r="U17" s="336"/>
      <c r="V17" s="184">
        <f>STDEV(D$2:D17)*SQRT(252)</f>
        <v>0.36194228365900932</v>
      </c>
      <c r="W17" s="184">
        <f>STDEV(L$2:L17)*SQRT(252)</f>
        <v>0.43324605788841486</v>
      </c>
      <c r="X17" s="174"/>
      <c r="Y17" s="163"/>
      <c r="Z17" s="164"/>
      <c r="AA17" s="165"/>
      <c r="AB17" s="164"/>
      <c r="AC17" s="165"/>
      <c r="AD17" s="165"/>
      <c r="AE17" s="163"/>
      <c r="AF17" s="163"/>
      <c r="AG17" s="163"/>
      <c r="AH17" s="163"/>
    </row>
    <row r="18" spans="1:34" ht="20.100000000000001" customHeight="1" x14ac:dyDescent="0.25">
      <c r="A18" s="163">
        <f t="shared" si="8"/>
        <v>23</v>
      </c>
      <c r="B18" s="172">
        <v>42256</v>
      </c>
      <c r="C18" s="202">
        <v>1942.04</v>
      </c>
      <c r="D18" s="171">
        <f t="shared" si="4"/>
        <v>-1.3897563229596741E-2</v>
      </c>
      <c r="E18" s="203">
        <f t="shared" si="5"/>
        <v>-7.629230798500794E-2</v>
      </c>
      <c r="F18" s="218">
        <v>4756.53</v>
      </c>
      <c r="G18" s="171">
        <f t="shared" si="2"/>
        <v>-1.1513051935502084E-2</v>
      </c>
      <c r="H18" s="203">
        <f t="shared" si="6"/>
        <v>-6.5826737631832208E-2</v>
      </c>
      <c r="I18" s="221">
        <v>321792.48</v>
      </c>
      <c r="J18" s="173">
        <v>380000</v>
      </c>
      <c r="K18" s="173">
        <f t="shared" si="3"/>
        <v>-9821.4200000000419</v>
      </c>
      <c r="L18" s="171">
        <f t="shared" si="7"/>
        <v>-2.9617033544130814E-2</v>
      </c>
      <c r="M18" s="174">
        <f t="shared" si="0"/>
        <v>-58207.520000000019</v>
      </c>
      <c r="N18" s="184">
        <f t="shared" si="1"/>
        <v>-0.15317768421052635</v>
      </c>
      <c r="O18" s="183"/>
      <c r="P18" s="174" t="b">
        <f t="shared" si="9"/>
        <v>0</v>
      </c>
      <c r="Q18" s="184">
        <f>COUNTIF(P$2:P18, TRUE)/(COUNTIF(P$2:P18,FALSE) + COUNTIF(P$2:P18, TRUE))</f>
        <v>0.41176470588235292</v>
      </c>
      <c r="R18" s="336"/>
      <c r="S18" s="336"/>
      <c r="T18" s="336"/>
      <c r="U18" s="336"/>
      <c r="V18" s="184">
        <f>STDEV(D$2:D18)*SQRT(252)</f>
        <v>0.35182224095506454</v>
      </c>
      <c r="W18" s="184">
        <f>STDEV(L$2:L18)*SQRT(252)</f>
        <v>0.43262248943141224</v>
      </c>
      <c r="X18" s="174"/>
      <c r="Y18" s="163"/>
      <c r="Z18" s="164"/>
      <c r="AA18" s="165"/>
      <c r="AB18" s="164"/>
      <c r="AC18" s="165"/>
      <c r="AD18" s="165"/>
      <c r="AE18" s="163"/>
      <c r="AF18" s="163"/>
      <c r="AG18" s="163"/>
      <c r="AH18" s="163"/>
    </row>
    <row r="19" spans="1:34" ht="20.100000000000001" customHeight="1" x14ac:dyDescent="0.25">
      <c r="A19" s="163">
        <f t="shared" si="8"/>
        <v>24</v>
      </c>
      <c r="B19" s="172">
        <v>42257</v>
      </c>
      <c r="C19" s="202">
        <v>1952.29</v>
      </c>
      <c r="D19" s="171">
        <f t="shared" si="4"/>
        <v>5.2779551399559227E-3</v>
      </c>
      <c r="E19" s="203">
        <f t="shared" si="5"/>
        <v>-7.1417020224120581E-2</v>
      </c>
      <c r="F19" s="218">
        <v>4796.25</v>
      </c>
      <c r="G19" s="171">
        <f t="shared" si="2"/>
        <v>8.3506253508335397E-3</v>
      </c>
      <c r="H19" s="203">
        <f t="shared" si="6"/>
        <v>-5.8025806705029721E-2</v>
      </c>
      <c r="I19" s="221">
        <v>323389.99</v>
      </c>
      <c r="J19" s="173">
        <v>380000</v>
      </c>
      <c r="K19" s="173">
        <f t="shared" si="3"/>
        <v>1597.5100000000093</v>
      </c>
      <c r="L19" s="171">
        <f t="shared" si="7"/>
        <v>4.9644106040017139E-3</v>
      </c>
      <c r="M19" s="174">
        <f t="shared" si="0"/>
        <v>-56610.010000000009</v>
      </c>
      <c r="N19" s="184">
        <f t="shared" si="1"/>
        <v>-0.14897371052631581</v>
      </c>
      <c r="O19" s="183"/>
      <c r="P19" s="174" t="b">
        <f t="shared" si="9"/>
        <v>0</v>
      </c>
      <c r="Q19" s="184">
        <f>COUNTIF(P$2:P19, TRUE)/(COUNTIF(P$2:P19,FALSE) + COUNTIF(P$2:P19, TRUE))</f>
        <v>0.3888888888888889</v>
      </c>
      <c r="R19" s="336"/>
      <c r="S19" s="336"/>
      <c r="T19" s="336"/>
      <c r="U19" s="336"/>
      <c r="V19" s="184">
        <f>STDEV(D$2:D19)*SQRT(252)</f>
        <v>0.34281735693264087</v>
      </c>
      <c r="W19" s="184">
        <f>STDEV(L$2:L19)*SQRT(252)</f>
        <v>0.42023205119752755</v>
      </c>
      <c r="X19" s="174"/>
      <c r="Y19" s="163"/>
      <c r="Z19" s="164"/>
      <c r="AA19" s="165"/>
      <c r="AB19" s="164"/>
      <c r="AC19" s="165"/>
      <c r="AD19" s="165"/>
      <c r="AE19" s="163"/>
      <c r="AF19" s="163"/>
      <c r="AG19" s="163"/>
      <c r="AH19" s="163"/>
    </row>
    <row r="20" spans="1:34" ht="20.100000000000001" customHeight="1" x14ac:dyDescent="0.25">
      <c r="A20" s="163">
        <f t="shared" si="8"/>
        <v>25</v>
      </c>
      <c r="B20" s="172">
        <v>42258</v>
      </c>
      <c r="C20" s="202">
        <v>1961.05</v>
      </c>
      <c r="D20" s="171">
        <f t="shared" si="4"/>
        <v>4.4870382986134183E-3</v>
      </c>
      <c r="E20" s="203">
        <f t="shared" si="5"/>
        <v>-6.7250432830425644E-2</v>
      </c>
      <c r="F20" s="218">
        <v>4822.34</v>
      </c>
      <c r="G20" s="171">
        <f t="shared" si="2"/>
        <v>5.4396664060464206E-3</v>
      </c>
      <c r="H20" s="203">
        <f t="shared" si="6"/>
        <v>-5.2901781330400396E-2</v>
      </c>
      <c r="I20" s="221">
        <v>323039.64</v>
      </c>
      <c r="J20" s="173">
        <v>380000</v>
      </c>
      <c r="K20" s="173">
        <f t="shared" si="3"/>
        <v>-350.34999999997672</v>
      </c>
      <c r="L20" s="171">
        <f t="shared" si="7"/>
        <v>-1.0833668661172126E-3</v>
      </c>
      <c r="M20" s="174">
        <f t="shared" si="0"/>
        <v>-56960.359999999986</v>
      </c>
      <c r="N20" s="184">
        <f t="shared" si="1"/>
        <v>-0.14989568421052629</v>
      </c>
      <c r="O20" s="183"/>
      <c r="P20" s="174" t="b">
        <f t="shared" si="9"/>
        <v>0</v>
      </c>
      <c r="Q20" s="184">
        <f>COUNTIF(P$2:P20, TRUE)/(COUNTIF(P$2:P20,FALSE) + COUNTIF(P$2:P20, TRUE))</f>
        <v>0.36842105263157893</v>
      </c>
      <c r="R20" s="336"/>
      <c r="S20" s="336"/>
      <c r="T20" s="336"/>
      <c r="U20" s="336"/>
      <c r="V20" s="184">
        <f>STDEV(D$2:D20)*SQRT(252)</f>
        <v>0.33414073790213511</v>
      </c>
      <c r="W20" s="184">
        <f>STDEV(L$2:L20)*SQRT(252)</f>
        <v>0.40776589668846686</v>
      </c>
      <c r="X20" s="174"/>
      <c r="Y20" s="163"/>
      <c r="Z20" s="164"/>
      <c r="AA20" s="165"/>
      <c r="AB20" s="164"/>
      <c r="AC20" s="165"/>
      <c r="AD20" s="165"/>
      <c r="AE20" s="163"/>
      <c r="AF20" s="163"/>
      <c r="AG20" s="163"/>
      <c r="AH20" s="163"/>
    </row>
    <row r="21" spans="1:34" ht="20.100000000000001" customHeight="1" x14ac:dyDescent="0.25">
      <c r="A21" s="163">
        <f t="shared" si="8"/>
        <v>28</v>
      </c>
      <c r="B21" s="167">
        <v>42261</v>
      </c>
      <c r="C21" s="200">
        <v>1953.03</v>
      </c>
      <c r="D21" s="171">
        <f t="shared" si="4"/>
        <v>-4.0896458529869114E-3</v>
      </c>
      <c r="E21" s="201">
        <f t="shared" si="5"/>
        <v>-7.1065048229676034E-2</v>
      </c>
      <c r="F21" s="217">
        <v>4805.76</v>
      </c>
      <c r="G21" s="171">
        <f t="shared" si="2"/>
        <v>-3.4381648743141147E-3</v>
      </c>
      <c r="H21" s="201">
        <f t="shared" si="6"/>
        <v>-5.6158061158355678E-2</v>
      </c>
      <c r="I21" s="220">
        <v>326015.75</v>
      </c>
      <c r="J21" s="169">
        <v>380000</v>
      </c>
      <c r="K21" s="169">
        <f t="shared" si="3"/>
        <v>2976.109999999986</v>
      </c>
      <c r="L21" s="171">
        <f t="shared" si="7"/>
        <v>9.2128322084558591E-3</v>
      </c>
      <c r="M21" s="168">
        <f t="shared" si="0"/>
        <v>-53984.25</v>
      </c>
      <c r="N21" s="183">
        <f t="shared" si="1"/>
        <v>-0.14206381578947369</v>
      </c>
      <c r="O21" s="183"/>
      <c r="P21" s="168" t="b">
        <f t="shared" si="9"/>
        <v>1</v>
      </c>
      <c r="Q21" s="183">
        <f>COUNTIF(P$2:P21, TRUE)/(COUNTIF(P$2:P21,FALSE) + COUNTIF(P$2:P21, TRUE))</f>
        <v>0.4</v>
      </c>
      <c r="R21" s="335"/>
      <c r="S21" s="335"/>
      <c r="T21" s="335"/>
      <c r="U21" s="335"/>
      <c r="V21" s="183">
        <f>STDEV(D$2:D21)*SQRT(252)</f>
        <v>0.3247303591191491</v>
      </c>
      <c r="W21" s="183">
        <f>STDEV(L$2:L21)*SQRT(252)</f>
        <v>0.39882009643497413</v>
      </c>
      <c r="X21" s="168"/>
      <c r="Y21" s="163"/>
      <c r="Z21" s="164"/>
      <c r="AA21" s="165"/>
      <c r="AB21" s="164"/>
      <c r="AC21" s="165"/>
      <c r="AD21" s="165"/>
      <c r="AE21" s="163"/>
      <c r="AF21" s="163"/>
      <c r="AG21" s="163"/>
      <c r="AH21" s="163"/>
    </row>
    <row r="22" spans="1:34" ht="20.100000000000001" customHeight="1" x14ac:dyDescent="0.25">
      <c r="A22" s="163">
        <f t="shared" si="8"/>
        <v>29</v>
      </c>
      <c r="B22" s="167">
        <v>42262</v>
      </c>
      <c r="C22" s="200">
        <v>1978.09</v>
      </c>
      <c r="D22" s="171">
        <f t="shared" si="4"/>
        <v>1.2831344116577803E-2</v>
      </c>
      <c r="E22" s="201">
        <f t="shared" si="5"/>
        <v>-5.9145564201594399E-2</v>
      </c>
      <c r="F22" s="217">
        <v>4860.5200000000004</v>
      </c>
      <c r="G22" s="171">
        <f t="shared" si="2"/>
        <v>1.1394659741643406E-2</v>
      </c>
      <c r="H22" s="201">
        <f t="shared" si="6"/>
        <v>-4.540330341536214E-2</v>
      </c>
      <c r="I22" s="220">
        <v>328528.74</v>
      </c>
      <c r="J22" s="169">
        <v>380000</v>
      </c>
      <c r="K22" s="169">
        <f t="shared" si="3"/>
        <v>2512.9899999999907</v>
      </c>
      <c r="L22" s="171">
        <f t="shared" si="7"/>
        <v>7.7081858775227595E-3</v>
      </c>
      <c r="M22" s="168">
        <f t="shared" si="0"/>
        <v>-51471.260000000009</v>
      </c>
      <c r="N22" s="183">
        <f t="shared" si="1"/>
        <v>-0.13545068421052633</v>
      </c>
      <c r="O22" s="183"/>
      <c r="P22" s="168" t="b">
        <f t="shared" si="9"/>
        <v>0</v>
      </c>
      <c r="Q22" s="183">
        <f>COUNTIF(P$2:P22, TRUE)/(COUNTIF(P$2:P22,FALSE) + COUNTIF(P$2:P22, TRUE))</f>
        <v>0.38095238095238093</v>
      </c>
      <c r="R22" s="335"/>
      <c r="S22" s="335"/>
      <c r="T22" s="335"/>
      <c r="U22" s="335"/>
      <c r="V22" s="183">
        <f>STDEV(D$2:D22)*SQRT(252)</f>
        <v>0.32145355759875488</v>
      </c>
      <c r="W22" s="183">
        <f>STDEV(L$2:L22)*SQRT(252)</f>
        <v>0.38986525703766828</v>
      </c>
      <c r="X22" s="168"/>
      <c r="Y22" s="163"/>
      <c r="Z22" s="164"/>
      <c r="AA22" s="165"/>
      <c r="AB22" s="164"/>
      <c r="AC22" s="165"/>
      <c r="AD22" s="165"/>
      <c r="AE22" s="163"/>
      <c r="AF22" s="163"/>
      <c r="AG22" s="163"/>
      <c r="AH22" s="163"/>
    </row>
    <row r="23" spans="1:34" ht="20.100000000000001" customHeight="1" x14ac:dyDescent="0.25">
      <c r="A23" s="163">
        <f t="shared" si="8"/>
        <v>30</v>
      </c>
      <c r="B23" s="167">
        <v>42263</v>
      </c>
      <c r="C23" s="200">
        <v>1995.31</v>
      </c>
      <c r="D23" s="171">
        <f t="shared" si="4"/>
        <v>8.7053672987579076E-3</v>
      </c>
      <c r="E23" s="201">
        <f t="shared" si="5"/>
        <v>-5.0955080763303642E-2</v>
      </c>
      <c r="F23" s="217">
        <v>4889.24</v>
      </c>
      <c r="G23" s="171">
        <f t="shared" si="2"/>
        <v>5.908832799782604E-3</v>
      </c>
      <c r="H23" s="201">
        <f t="shared" si="6"/>
        <v>-3.9762751144018706E-2</v>
      </c>
      <c r="I23" s="220">
        <v>333204.93</v>
      </c>
      <c r="J23" s="169">
        <v>380000</v>
      </c>
      <c r="K23" s="169">
        <f t="shared" si="3"/>
        <v>4676.1900000000023</v>
      </c>
      <c r="L23" s="171">
        <f t="shared" si="7"/>
        <v>1.4233731879895812E-2</v>
      </c>
      <c r="M23" s="168">
        <f t="shared" si="0"/>
        <v>-46795.070000000007</v>
      </c>
      <c r="N23" s="183">
        <f t="shared" si="1"/>
        <v>-0.1231449210526316</v>
      </c>
      <c r="O23" s="183"/>
      <c r="P23" s="168" t="b">
        <f t="shared" si="9"/>
        <v>1</v>
      </c>
      <c r="Q23" s="183">
        <f>COUNTIF(P$2:P23, TRUE)/(COUNTIF(P$2:P23,FALSE) + COUNTIF(P$2:P23, TRUE))</f>
        <v>0.40909090909090912</v>
      </c>
      <c r="R23" s="335"/>
      <c r="S23" s="335"/>
      <c r="T23" s="335"/>
      <c r="U23" s="335"/>
      <c r="V23" s="183">
        <f>STDEV(D$2:D23)*SQRT(252)</f>
        <v>0.31586031332458192</v>
      </c>
      <c r="W23" s="183">
        <f>STDEV(L$2:L23)*SQRT(252)</f>
        <v>0.38411926521956707</v>
      </c>
      <c r="X23" s="168"/>
      <c r="Y23" s="163"/>
      <c r="Z23" s="164"/>
      <c r="AA23" s="165"/>
      <c r="AB23" s="164"/>
      <c r="AC23" s="165"/>
      <c r="AD23" s="165"/>
      <c r="AE23" s="163"/>
      <c r="AF23" s="163"/>
      <c r="AG23" s="163"/>
      <c r="AH23" s="163"/>
    </row>
    <row r="24" spans="1:34" ht="20.100000000000001" customHeight="1" x14ac:dyDescent="0.25">
      <c r="A24" s="163">
        <f t="shared" si="8"/>
        <v>31</v>
      </c>
      <c r="B24" s="167">
        <v>42264</v>
      </c>
      <c r="C24" s="200">
        <v>1990.2</v>
      </c>
      <c r="D24" s="171">
        <f t="shared" si="4"/>
        <v>-2.5610055580335385E-3</v>
      </c>
      <c r="E24" s="201">
        <f t="shared" si="5"/>
        <v>-5.3385590076292309E-2</v>
      </c>
      <c r="F24" s="217">
        <v>4893.95</v>
      </c>
      <c r="G24" s="171">
        <f t="shared" si="2"/>
        <v>9.6333990558860607E-4</v>
      </c>
      <c r="H24" s="201">
        <f t="shared" si="6"/>
        <v>-3.8837716283363119E-2</v>
      </c>
      <c r="I24" s="220">
        <v>333913.03999999998</v>
      </c>
      <c r="J24" s="169">
        <v>380000</v>
      </c>
      <c r="K24" s="169">
        <f t="shared" si="3"/>
        <v>708.10999999998603</v>
      </c>
      <c r="L24" s="171">
        <f t="shared" si="7"/>
        <v>2.1251486285031439E-3</v>
      </c>
      <c r="M24" s="168">
        <f t="shared" si="0"/>
        <v>-46086.960000000021</v>
      </c>
      <c r="N24" s="183">
        <f t="shared" si="1"/>
        <v>-0.12128147368421058</v>
      </c>
      <c r="O24" s="183"/>
      <c r="P24" s="168" t="b">
        <f t="shared" si="9"/>
        <v>1</v>
      </c>
      <c r="Q24" s="183">
        <f>COUNTIF(P$2:P24, TRUE)/(COUNTIF(P$2:P24,FALSE) + COUNTIF(P$2:P24, TRUE))</f>
        <v>0.43478260869565216</v>
      </c>
      <c r="R24" s="335"/>
      <c r="S24" s="335"/>
      <c r="T24" s="335"/>
      <c r="U24" s="335"/>
      <c r="V24" s="183">
        <f>STDEV(D$2:D24)*SQRT(252)</f>
        <v>0.30824938276419228</v>
      </c>
      <c r="W24" s="183">
        <f>STDEV(L$2:L24)*SQRT(252)</f>
        <v>0.37503116894241934</v>
      </c>
      <c r="X24" s="168"/>
      <c r="Y24" s="163"/>
      <c r="Z24" s="164"/>
      <c r="AA24" s="165"/>
      <c r="AB24" s="164"/>
      <c r="AC24" s="165"/>
      <c r="AD24" s="165"/>
      <c r="AE24" s="163"/>
      <c r="AF24" s="163"/>
      <c r="AG24" s="163"/>
      <c r="AH24" s="163"/>
    </row>
    <row r="25" spans="1:34" ht="20.100000000000001" customHeight="1" x14ac:dyDescent="0.25">
      <c r="A25" s="163">
        <f t="shared" si="8"/>
        <v>32</v>
      </c>
      <c r="B25" s="167">
        <v>42265</v>
      </c>
      <c r="C25" s="200">
        <v>1958.08</v>
      </c>
      <c r="D25" s="171">
        <f t="shared" si="4"/>
        <v>-1.6139081499346859E-2</v>
      </c>
      <c r="E25" s="201">
        <f t="shared" si="5"/>
        <v>-6.866307718650716E-2</v>
      </c>
      <c r="F25" s="217">
        <v>4827.2299999999996</v>
      </c>
      <c r="G25" s="171">
        <f t="shared" si="2"/>
        <v>-1.3633159308942726E-2</v>
      </c>
      <c r="H25" s="201">
        <f t="shared" si="6"/>
        <v>-5.1941394819019243E-2</v>
      </c>
      <c r="I25" s="220">
        <v>334619.5</v>
      </c>
      <c r="J25" s="169">
        <v>390000</v>
      </c>
      <c r="K25" s="169">
        <f t="shared" si="3"/>
        <v>-9293.539999999979</v>
      </c>
      <c r="L25" s="171">
        <f t="shared" si="7"/>
        <v>-2.7832216435752195E-2</v>
      </c>
      <c r="M25" s="168">
        <f t="shared" si="0"/>
        <v>-55380.5</v>
      </c>
      <c r="N25" s="183">
        <f t="shared" si="1"/>
        <v>-0.14200128205128204</v>
      </c>
      <c r="O25" s="183"/>
      <c r="P25" s="168" t="b">
        <f t="shared" si="9"/>
        <v>0</v>
      </c>
      <c r="Q25" s="183">
        <f>COUNTIF(P$2:P25, TRUE)/(COUNTIF(P$2:P25,FALSE) + COUNTIF(P$2:P25, TRUE))</f>
        <v>0.41666666666666669</v>
      </c>
      <c r="R25" s="335"/>
      <c r="S25" s="335"/>
      <c r="T25" s="335"/>
      <c r="U25" s="335"/>
      <c r="V25" s="183">
        <f>STDEV(D$2:D25)*SQRT(252)</f>
        <v>0.30462094080099172</v>
      </c>
      <c r="W25" s="183">
        <f>STDEV(L$2:L25)*SQRT(252)</f>
        <v>0.37697940519041084</v>
      </c>
      <c r="X25" s="168"/>
      <c r="Y25" s="163"/>
      <c r="Z25" s="164"/>
      <c r="AA25" s="165"/>
      <c r="AB25" s="164"/>
      <c r="AC25" s="165"/>
      <c r="AD25" s="165"/>
      <c r="AE25" s="163"/>
      <c r="AF25" s="163"/>
      <c r="AG25" s="163"/>
      <c r="AH25" s="163"/>
    </row>
    <row r="26" spans="1:34" ht="20.100000000000001" customHeight="1" x14ac:dyDescent="0.25">
      <c r="A26" s="163">
        <f t="shared" si="8"/>
        <v>35</v>
      </c>
      <c r="B26" s="172">
        <v>42268</v>
      </c>
      <c r="C26" s="202">
        <v>1966.97</v>
      </c>
      <c r="D26" s="171">
        <f t="shared" si="4"/>
        <v>4.5401617911423947E-3</v>
      </c>
      <c r="E26" s="203">
        <f t="shared" si="5"/>
        <v>-6.4434656874869212E-2</v>
      </c>
      <c r="F26" s="218">
        <v>4828.95</v>
      </c>
      <c r="G26" s="171">
        <f t="shared" si="2"/>
        <v>3.5631200502156618E-4</v>
      </c>
      <c r="H26" s="203">
        <f t="shared" si="6"/>
        <v>-5.1603590156529253E-2</v>
      </c>
      <c r="I26" s="221">
        <v>336797.05</v>
      </c>
      <c r="J26" s="173">
        <v>390000</v>
      </c>
      <c r="K26" s="173">
        <f t="shared" si="3"/>
        <v>2177.5499999999884</v>
      </c>
      <c r="L26" s="171">
        <f t="shared" si="7"/>
        <v>6.5075406543850202E-3</v>
      </c>
      <c r="M26" s="174">
        <f t="shared" si="0"/>
        <v>-53202.950000000012</v>
      </c>
      <c r="N26" s="184">
        <f t="shared" si="1"/>
        <v>-0.13641782051282053</v>
      </c>
      <c r="O26" s="183">
        <f t="shared" ref="O26:O70" si="10">N26/(A26/365.25)</f>
        <v>-1.4236173983516487</v>
      </c>
      <c r="P26" s="174" t="b">
        <f t="shared" si="9"/>
        <v>1</v>
      </c>
      <c r="Q26" s="184">
        <f>COUNTIF(P$2:P26, TRUE)/(COUNTIF(P$2:P26,FALSE) + COUNTIF(P$2:P26, TRUE))</f>
        <v>0.44</v>
      </c>
      <c r="R26" s="336"/>
      <c r="S26" s="336"/>
      <c r="T26" s="336"/>
      <c r="U26" s="336"/>
      <c r="V26" s="184">
        <f>STDEV(D$2:D26)*SQRT(252)</f>
        <v>0.29890210628506431</v>
      </c>
      <c r="W26" s="184">
        <f>STDEV(L$2:L26)*SQRT(252)</f>
        <v>0.36977509623053162</v>
      </c>
      <c r="X26" s="174">
        <f>O26/W26</f>
        <v>-3.8499547775497365</v>
      </c>
      <c r="Y26" s="163"/>
      <c r="Z26" s="164"/>
      <c r="AA26" s="165"/>
      <c r="AB26" s="164"/>
      <c r="AC26" s="165"/>
      <c r="AD26" s="165"/>
      <c r="AE26" s="163"/>
      <c r="AF26" s="163"/>
      <c r="AG26" s="163"/>
      <c r="AH26" s="163"/>
    </row>
    <row r="27" spans="1:34" ht="20.100000000000001" customHeight="1" x14ac:dyDescent="0.25">
      <c r="A27" s="163">
        <f t="shared" si="8"/>
        <v>36</v>
      </c>
      <c r="B27" s="172">
        <v>42269</v>
      </c>
      <c r="C27" s="202">
        <v>1942.74</v>
      </c>
      <c r="D27" s="171">
        <f t="shared" si="4"/>
        <v>-1.2318439020422282E-2</v>
      </c>
      <c r="E27" s="203">
        <f t="shared" si="5"/>
        <v>-7.5959361503776579E-2</v>
      </c>
      <c r="F27" s="218">
        <v>4756.72</v>
      </c>
      <c r="G27" s="171">
        <f t="shared" si="2"/>
        <v>-1.4957703020325239E-2</v>
      </c>
      <c r="H27" s="203">
        <f t="shared" si="6"/>
        <v>-6.578942200051055E-2</v>
      </c>
      <c r="I27" s="221">
        <v>328628.18</v>
      </c>
      <c r="J27" s="173">
        <v>390000</v>
      </c>
      <c r="K27" s="173">
        <f t="shared" si="3"/>
        <v>-8168.8699999999953</v>
      </c>
      <c r="L27" s="171">
        <f t="shared" si="7"/>
        <v>-2.4254577051669533E-2</v>
      </c>
      <c r="M27" s="174">
        <f t="shared" si="0"/>
        <v>-61371.820000000007</v>
      </c>
      <c r="N27" s="184">
        <f t="shared" si="1"/>
        <v>-0.15736364102564104</v>
      </c>
      <c r="O27" s="183">
        <f t="shared" si="10"/>
        <v>-1.5965852745726496</v>
      </c>
      <c r="P27" s="174" t="b">
        <f t="shared" si="9"/>
        <v>0</v>
      </c>
      <c r="Q27" s="184">
        <f>COUNTIF(P$2:P27, TRUE)/(COUNTIF(P$2:P27,FALSE) + COUNTIF(P$2:P27, TRUE))</f>
        <v>0.42307692307692307</v>
      </c>
      <c r="R27" s="336"/>
      <c r="S27" s="336"/>
      <c r="T27" s="336"/>
      <c r="U27" s="336"/>
      <c r="V27" s="184">
        <f>STDEV(D$2:D27)*SQRT(252)</f>
        <v>0.29423063039577757</v>
      </c>
      <c r="W27" s="184">
        <f>STDEV(L$2:L27)*SQRT(252)</f>
        <v>0.36891081336097858</v>
      </c>
      <c r="X27" s="174">
        <f t="shared" ref="X27:X90" si="11">O27/W27</f>
        <v>-4.3278353920474375</v>
      </c>
      <c r="Y27" s="163"/>
      <c r="Z27" s="164"/>
      <c r="AA27" s="165"/>
      <c r="AB27" s="164"/>
      <c r="AC27" s="165"/>
      <c r="AD27" s="165"/>
      <c r="AE27" s="163"/>
      <c r="AF27" s="163"/>
      <c r="AG27" s="163"/>
      <c r="AH27" s="163"/>
    </row>
    <row r="28" spans="1:34" ht="20.100000000000001" customHeight="1" x14ac:dyDescent="0.25">
      <c r="A28" s="163">
        <f t="shared" si="8"/>
        <v>37</v>
      </c>
      <c r="B28" s="172">
        <v>42270</v>
      </c>
      <c r="C28" s="202">
        <v>1938.76</v>
      </c>
      <c r="D28" s="171">
        <f t="shared" si="4"/>
        <v>-2.0486529334857047E-3</v>
      </c>
      <c r="E28" s="203">
        <f t="shared" si="5"/>
        <v>-7.7852400068491881E-2</v>
      </c>
      <c r="F28" s="218">
        <v>4752.74</v>
      </c>
      <c r="G28" s="171">
        <f t="shared" si="2"/>
        <v>-8.3671101094882037E-4</v>
      </c>
      <c r="H28" s="203">
        <f t="shared" si="6"/>
        <v>-6.6571086277667585E-2</v>
      </c>
      <c r="I28" s="221">
        <v>321819.21000000002</v>
      </c>
      <c r="J28" s="173">
        <v>390000</v>
      </c>
      <c r="K28" s="173">
        <f t="shared" si="3"/>
        <v>-6808.9699999999721</v>
      </c>
      <c r="L28" s="171">
        <f t="shared" si="7"/>
        <v>-2.0719373487690471E-2</v>
      </c>
      <c r="M28" s="174">
        <f t="shared" si="0"/>
        <v>-68180.789999999979</v>
      </c>
      <c r="N28" s="184">
        <f t="shared" si="1"/>
        <v>-0.17482253846153842</v>
      </c>
      <c r="O28" s="183">
        <f t="shared" si="10"/>
        <v>-1.7257819506237002</v>
      </c>
      <c r="P28" s="174" t="b">
        <f t="shared" si="9"/>
        <v>0</v>
      </c>
      <c r="Q28" s="184">
        <f>COUNTIF(P$2:P28, TRUE)/(COUNTIF(P$2:P28,FALSE) + COUNTIF(P$2:P28, TRUE))</f>
        <v>0.40740740740740738</v>
      </c>
      <c r="R28" s="336"/>
      <c r="S28" s="336"/>
      <c r="T28" s="336"/>
      <c r="U28" s="336"/>
      <c r="V28" s="184">
        <f>STDEV(D$2:D28)*SQRT(252)</f>
        <v>0.288300857286579</v>
      </c>
      <c r="W28" s="184">
        <f>STDEV(L$2:L28)*SQRT(252)</f>
        <v>0.36576166417456935</v>
      </c>
      <c r="X28" s="174">
        <f t="shared" si="11"/>
        <v>-4.7183237601413186</v>
      </c>
      <c r="Y28" s="164"/>
      <c r="Z28" s="165"/>
      <c r="AA28" s="165"/>
      <c r="AB28" s="163"/>
      <c r="AC28" s="163"/>
      <c r="AD28" s="163"/>
      <c r="AE28" s="163"/>
    </row>
    <row r="29" spans="1:34" ht="20.100000000000001" customHeight="1" x14ac:dyDescent="0.25">
      <c r="A29" s="163">
        <f t="shared" si="8"/>
        <v>38</v>
      </c>
      <c r="B29" s="172">
        <v>42271</v>
      </c>
      <c r="C29" s="202">
        <v>1932.24</v>
      </c>
      <c r="D29" s="171">
        <f t="shared" si="4"/>
        <v>-3.3629742722152212E-3</v>
      </c>
      <c r="E29" s="203">
        <f t="shared" si="5"/>
        <v>-8.0953558722246549E-2</v>
      </c>
      <c r="F29" s="218">
        <v>4734.4799999999996</v>
      </c>
      <c r="G29" s="171">
        <f t="shared" si="2"/>
        <v>-3.8419943022341258E-3</v>
      </c>
      <c r="H29" s="203">
        <f t="shared" si="6"/>
        <v>-7.0157314845729374E-2</v>
      </c>
      <c r="I29" s="222">
        <v>323446.15999999997</v>
      </c>
      <c r="J29" s="173">
        <v>390000</v>
      </c>
      <c r="K29" s="173">
        <f t="shared" ref="K29:K49" si="12">I29-I28-J29+J28</f>
        <v>1626.9499999999534</v>
      </c>
      <c r="L29" s="171">
        <f t="shared" si="7"/>
        <v>5.0554781984579267E-3</v>
      </c>
      <c r="M29" s="174">
        <f t="shared" si="0"/>
        <v>-66553.840000000026</v>
      </c>
      <c r="N29" s="184">
        <f t="shared" si="1"/>
        <v>-0.17065087179487187</v>
      </c>
      <c r="O29" s="183">
        <f t="shared" si="10"/>
        <v>-1.6402692348178145</v>
      </c>
      <c r="P29" s="174" t="b">
        <f t="shared" si="9"/>
        <v>1</v>
      </c>
      <c r="Q29" s="184">
        <f>COUNTIF(P$2:P29, TRUE)/(COUNTIF(P$2:P29,FALSE) + COUNTIF(P$2:P29, TRUE))</f>
        <v>0.42857142857142855</v>
      </c>
      <c r="R29" s="336"/>
      <c r="S29" s="336"/>
      <c r="T29" s="336"/>
      <c r="U29" s="336"/>
      <c r="V29" s="184">
        <f>STDEV(D$2:D29)*SQRT(252)</f>
        <v>0.28270501442194107</v>
      </c>
      <c r="W29" s="184">
        <f>STDEV(L$2:L29)*SQRT(252)</f>
        <v>0.35959656379312804</v>
      </c>
      <c r="X29" s="174">
        <f t="shared" si="11"/>
        <v>-4.5614152079646777</v>
      </c>
      <c r="Y29" s="164"/>
      <c r="Z29" s="165"/>
      <c r="AA29" s="165"/>
      <c r="AB29" s="163"/>
      <c r="AC29" s="163"/>
      <c r="AD29" s="163"/>
      <c r="AE29" s="163"/>
    </row>
    <row r="30" spans="1:34" ht="20.100000000000001" customHeight="1" x14ac:dyDescent="0.25">
      <c r="A30" s="163">
        <f t="shared" si="8"/>
        <v>39</v>
      </c>
      <c r="B30" s="172">
        <v>42272</v>
      </c>
      <c r="C30" s="202">
        <v>1931.34</v>
      </c>
      <c r="D30" s="171">
        <f t="shared" si="4"/>
        <v>-4.6578064836670961E-4</v>
      </c>
      <c r="E30" s="203">
        <f t="shared" si="5"/>
        <v>-8.1381632769544021E-2</v>
      </c>
      <c r="F30" s="218">
        <v>4686.5</v>
      </c>
      <c r="G30" s="171">
        <f t="shared" si="2"/>
        <v>-1.0134164681232061E-2</v>
      </c>
      <c r="H30" s="203">
        <f t="shared" si="6"/>
        <v>-7.9580493744721773E-2</v>
      </c>
      <c r="I30" s="221">
        <v>320711.92</v>
      </c>
      <c r="J30" s="173">
        <v>390000</v>
      </c>
      <c r="K30" s="173">
        <f t="shared" si="12"/>
        <v>-2734.2399999999907</v>
      </c>
      <c r="L30" s="171">
        <f t="shared" si="7"/>
        <v>-8.4534625484500754E-3</v>
      </c>
      <c r="M30" s="174">
        <f t="shared" ref="M30:M61" si="13">I30-J30</f>
        <v>-69288.080000000016</v>
      </c>
      <c r="N30" s="184">
        <f t="shared" ref="N30:N61" si="14">M30/J30</f>
        <v>-0.17766174358974363</v>
      </c>
      <c r="O30" s="183">
        <f t="shared" si="10"/>
        <v>-1.6638705601577912</v>
      </c>
      <c r="P30" s="174" t="b">
        <f t="shared" si="9"/>
        <v>0</v>
      </c>
      <c r="Q30" s="184">
        <f>COUNTIF(P$2:P30, TRUE)/(COUNTIF(P$2:P30,FALSE) + COUNTIF(P$2:P30, TRUE))</f>
        <v>0.41379310344827586</v>
      </c>
      <c r="R30" s="336"/>
      <c r="S30" s="336"/>
      <c r="T30" s="336"/>
      <c r="U30" s="336"/>
      <c r="V30" s="184">
        <f>STDEV(D$2:D30)*SQRT(252)</f>
        <v>0.27752195461786261</v>
      </c>
      <c r="W30" s="184">
        <f>STDEV(L$2:L30)*SQRT(252)</f>
        <v>0.35323644241397795</v>
      </c>
      <c r="X30" s="174">
        <f t="shared" si="11"/>
        <v>-4.7103592958503597</v>
      </c>
      <c r="Y30" s="164"/>
      <c r="Z30" s="165"/>
      <c r="AA30" s="165"/>
      <c r="AB30" s="163"/>
      <c r="AC30" s="163"/>
      <c r="AD30" s="163"/>
      <c r="AE30" s="163"/>
    </row>
    <row r="31" spans="1:34" ht="20.100000000000001" customHeight="1" x14ac:dyDescent="0.25">
      <c r="A31" s="163">
        <f t="shared" si="8"/>
        <v>42</v>
      </c>
      <c r="B31" s="167">
        <v>42275</v>
      </c>
      <c r="C31" s="200">
        <v>1881.77</v>
      </c>
      <c r="D31" s="171">
        <f t="shared" si="4"/>
        <v>-2.5666117824929811E-2</v>
      </c>
      <c r="E31" s="201">
        <f t="shared" si="5"/>
        <v>-0.10495900001902554</v>
      </c>
      <c r="F31" s="217">
        <v>4543.97</v>
      </c>
      <c r="G31" s="171">
        <f t="shared" si="2"/>
        <v>-3.041288808279094E-2</v>
      </c>
      <c r="H31" s="201">
        <f t="shared" si="6"/>
        <v>-0.10757310917768124</v>
      </c>
      <c r="I31" s="220">
        <v>308867.92</v>
      </c>
      <c r="J31" s="169">
        <v>390000</v>
      </c>
      <c r="K31" s="169">
        <f t="shared" si="12"/>
        <v>-11844</v>
      </c>
      <c r="L31" s="171">
        <f t="shared" si="7"/>
        <v>-3.693033922780295E-2</v>
      </c>
      <c r="M31" s="168">
        <f t="shared" si="13"/>
        <v>-81132.080000000016</v>
      </c>
      <c r="N31" s="183">
        <f t="shared" si="14"/>
        <v>-0.20803097435897441</v>
      </c>
      <c r="O31" s="183">
        <f t="shared" si="10"/>
        <v>-1.8091265091575097</v>
      </c>
      <c r="P31" s="168" t="b">
        <f t="shared" si="9"/>
        <v>0</v>
      </c>
      <c r="Q31" s="183">
        <f>COUNTIF(P$2:P31, TRUE)/(COUNTIF(P$2:P31,FALSE) + COUNTIF(P$2:P31, TRUE))</f>
        <v>0.4</v>
      </c>
      <c r="R31" s="335"/>
      <c r="S31" s="335"/>
      <c r="T31" s="335"/>
      <c r="U31" s="335"/>
      <c r="V31" s="183">
        <f>STDEV(D$2:D31)*SQRT(252)</f>
        <v>0.28067725027853285</v>
      </c>
      <c r="W31" s="183">
        <f>STDEV(L$2:L31)*SQRT(252)</f>
        <v>0.36074758156117998</v>
      </c>
      <c r="X31" s="174">
        <f t="shared" si="11"/>
        <v>-5.0149373180224526</v>
      </c>
      <c r="Y31" s="164"/>
      <c r="Z31" s="165"/>
      <c r="AA31" s="165"/>
      <c r="AB31" s="163"/>
      <c r="AC31" s="163"/>
      <c r="AD31" s="163"/>
      <c r="AE31" s="163"/>
    </row>
    <row r="32" spans="1:34" ht="20.100000000000001" customHeight="1" x14ac:dyDescent="0.25">
      <c r="A32" s="163">
        <f t="shared" si="8"/>
        <v>43</v>
      </c>
      <c r="B32" s="167">
        <v>42276</v>
      </c>
      <c r="C32" s="200">
        <v>1884.09</v>
      </c>
      <c r="D32" s="171">
        <f t="shared" si="4"/>
        <v>1.2328818080849075E-3</v>
      </c>
      <c r="E32" s="201">
        <f t="shared" si="5"/>
        <v>-0.10385552025265887</v>
      </c>
      <c r="F32" s="217">
        <v>4517.32</v>
      </c>
      <c r="G32" s="171">
        <f t="shared" si="2"/>
        <v>-5.8649154813963439E-3</v>
      </c>
      <c r="H32" s="201">
        <f t="shared" si="6"/>
        <v>-0.11280711746567947</v>
      </c>
      <c r="I32" s="220">
        <v>312033</v>
      </c>
      <c r="J32" s="169">
        <v>390000</v>
      </c>
      <c r="K32" s="169">
        <f t="shared" si="12"/>
        <v>3165.0800000000163</v>
      </c>
      <c r="L32" s="171">
        <f t="shared" si="7"/>
        <v>1.0247357511262472E-2</v>
      </c>
      <c r="M32" s="168">
        <f t="shared" si="13"/>
        <v>-77967</v>
      </c>
      <c r="N32" s="183">
        <f t="shared" si="14"/>
        <v>-0.19991538461538461</v>
      </c>
      <c r="O32" s="183">
        <f t="shared" si="10"/>
        <v>-1.6981184704830052</v>
      </c>
      <c r="P32" s="168" t="b">
        <f t="shared" si="9"/>
        <v>1</v>
      </c>
      <c r="Q32" s="183">
        <f>COUNTIF(P$2:P32, TRUE)/(COUNTIF(P$2:P32,FALSE) + COUNTIF(P$2:P32, TRUE))</f>
        <v>0.41935483870967744</v>
      </c>
      <c r="R32" s="335"/>
      <c r="S32" s="335"/>
      <c r="T32" s="335"/>
      <c r="U32" s="335"/>
      <c r="V32" s="183">
        <f>STDEV(D$2:D32)*SQRT(252)</f>
        <v>0.27616064910345123</v>
      </c>
      <c r="W32" s="183">
        <f>STDEV(L$2:L32)*SQRT(252)</f>
        <v>0.35703191736213136</v>
      </c>
      <c r="X32" s="174">
        <f t="shared" si="11"/>
        <v>-4.7562091451914448</v>
      </c>
      <c r="Y32" s="164"/>
      <c r="Z32" s="165"/>
      <c r="AA32" s="165"/>
      <c r="AB32" s="163"/>
      <c r="AC32" s="163"/>
      <c r="AD32" s="163"/>
      <c r="AE32" s="163"/>
    </row>
    <row r="33" spans="1:31" ht="20.100000000000001" customHeight="1" x14ac:dyDescent="0.25">
      <c r="A33" s="163">
        <f t="shared" si="8"/>
        <v>44</v>
      </c>
      <c r="B33" s="167">
        <v>42277</v>
      </c>
      <c r="C33" s="200">
        <v>1920.03</v>
      </c>
      <c r="D33" s="171">
        <f t="shared" si="4"/>
        <v>1.9075521869974393E-2</v>
      </c>
      <c r="E33" s="201">
        <f t="shared" si="5"/>
        <v>-8.6761096630581652E-2</v>
      </c>
      <c r="F33" s="217">
        <v>4620.16</v>
      </c>
      <c r="G33" s="171">
        <f t="shared" si="2"/>
        <v>2.2765710642593431E-2</v>
      </c>
      <c r="H33" s="201">
        <f t="shared" si="6"/>
        <v>-9.2609541017734748E-2</v>
      </c>
      <c r="I33" s="475">
        <v>320653.48</v>
      </c>
      <c r="J33" s="169">
        <v>390000</v>
      </c>
      <c r="K33" s="169">
        <f t="shared" si="12"/>
        <v>8620.4799999999814</v>
      </c>
      <c r="L33" s="171">
        <f t="shared" si="7"/>
        <v>2.762682152208254E-2</v>
      </c>
      <c r="M33" s="168">
        <f t="shared" si="13"/>
        <v>-69346.520000000019</v>
      </c>
      <c r="N33" s="183">
        <f t="shared" si="14"/>
        <v>-0.17781158974358979</v>
      </c>
      <c r="O33" s="183">
        <f t="shared" si="10"/>
        <v>-1.476038253496504</v>
      </c>
      <c r="P33" s="168" t="b">
        <f t="shared" si="9"/>
        <v>1</v>
      </c>
      <c r="Q33" s="183">
        <f>COUNTIF(P$2:P33, TRUE)/(COUNTIF(P$2:P33,FALSE) + COUNTIF(P$2:P33, TRUE))</f>
        <v>0.4375</v>
      </c>
      <c r="R33" s="335"/>
      <c r="S33" s="335"/>
      <c r="T33" s="335"/>
      <c r="U33" s="335"/>
      <c r="V33" s="183">
        <f>STDEV(D$2:D33)*SQRT(252)</f>
        <v>0.27904525871697899</v>
      </c>
      <c r="W33" s="183">
        <f>STDEV(L$2:L33)*SQRT(252)</f>
        <v>0.36241608593546876</v>
      </c>
      <c r="X33" s="174">
        <f t="shared" si="11"/>
        <v>-4.0727724589998608</v>
      </c>
      <c r="Y33" s="164"/>
      <c r="Z33" s="165"/>
      <c r="AA33" s="165"/>
      <c r="AB33" s="163"/>
      <c r="AC33" s="163"/>
      <c r="AD33" s="163"/>
      <c r="AE33" s="163"/>
    </row>
    <row r="34" spans="1:31" ht="20.100000000000001" customHeight="1" x14ac:dyDescent="0.25">
      <c r="A34" s="163">
        <f t="shared" si="8"/>
        <v>45</v>
      </c>
      <c r="B34" s="167">
        <v>42278</v>
      </c>
      <c r="C34" s="200">
        <v>1923.82</v>
      </c>
      <c r="D34" s="171">
        <f t="shared" si="4"/>
        <v>1.9739274907162718E-3</v>
      </c>
      <c r="E34" s="201">
        <f t="shared" si="5"/>
        <v>-8.4958429253629175E-2</v>
      </c>
      <c r="F34" s="217">
        <v>4627.08</v>
      </c>
      <c r="G34" s="171">
        <f t="shared" si="2"/>
        <v>1.497783626541088E-3</v>
      </c>
      <c r="H34" s="201">
        <f t="shared" si="6"/>
        <v>-9.1250466445391504E-2</v>
      </c>
      <c r="I34" s="220">
        <v>321963.56</v>
      </c>
      <c r="J34" s="169">
        <v>390000</v>
      </c>
      <c r="K34" s="169">
        <f t="shared" si="12"/>
        <v>1310.0800000000163</v>
      </c>
      <c r="L34" s="171">
        <f t="shared" si="7"/>
        <v>4.0856565785595605E-3</v>
      </c>
      <c r="M34" s="168">
        <f t="shared" si="13"/>
        <v>-68036.44</v>
      </c>
      <c r="N34" s="183">
        <f t="shared" si="14"/>
        <v>-0.17445241025641026</v>
      </c>
      <c r="O34" s="183">
        <f t="shared" si="10"/>
        <v>-1.4159720632478634</v>
      </c>
      <c r="P34" s="168" t="b">
        <f t="shared" si="9"/>
        <v>1</v>
      </c>
      <c r="Q34" s="183">
        <f>COUNTIF(P$2:P34, TRUE)/(COUNTIF(P$2:P34,FALSE) + COUNTIF(P$2:P34, TRUE))</f>
        <v>0.45454545454545453</v>
      </c>
      <c r="R34" s="335"/>
      <c r="S34" s="335"/>
      <c r="T34" s="335"/>
      <c r="U34" s="335"/>
      <c r="V34" s="183">
        <f>STDEV(D$2:D34)*SQRT(252)</f>
        <v>0.27483074679675301</v>
      </c>
      <c r="W34" s="183">
        <f>STDEV(L$2:L34)*SQRT(252)</f>
        <v>0.35707118458821713</v>
      </c>
      <c r="X34" s="174">
        <f t="shared" si="11"/>
        <v>-3.9655175896671575</v>
      </c>
    </row>
    <row r="35" spans="1:31" ht="20.100000000000001" customHeight="1" x14ac:dyDescent="0.25">
      <c r="A35" s="163">
        <f t="shared" si="8"/>
        <v>46</v>
      </c>
      <c r="B35" s="167">
        <v>42279</v>
      </c>
      <c r="C35" s="200">
        <v>1951.36</v>
      </c>
      <c r="D35" s="171">
        <f t="shared" si="4"/>
        <v>1.4315268580220584E-2</v>
      </c>
      <c r="E35" s="201">
        <f t="shared" si="5"/>
        <v>-7.1859363406327953E-2</v>
      </c>
      <c r="F35" s="217">
        <v>4707.78</v>
      </c>
      <c r="G35" s="171">
        <f t="shared" si="2"/>
        <v>1.7440805000129633E-2</v>
      </c>
      <c r="H35" s="201">
        <f t="shared" si="6"/>
        <v>-7.5401143036706808E-2</v>
      </c>
      <c r="I35" s="220">
        <v>336327.01</v>
      </c>
      <c r="J35" s="169">
        <v>390000</v>
      </c>
      <c r="K35" s="169">
        <f t="shared" si="12"/>
        <v>14363.450000000012</v>
      </c>
      <c r="L35" s="171">
        <f t="shared" si="7"/>
        <v>4.4612036219254164E-2</v>
      </c>
      <c r="M35" s="168">
        <f t="shared" si="13"/>
        <v>-53672.989999999991</v>
      </c>
      <c r="N35" s="183">
        <f t="shared" si="14"/>
        <v>-0.13762305128205127</v>
      </c>
      <c r="O35" s="183">
        <f t="shared" si="10"/>
        <v>-1.0927569452341137</v>
      </c>
      <c r="P35" s="168" t="b">
        <f t="shared" si="9"/>
        <v>1</v>
      </c>
      <c r="Q35" s="183">
        <f>COUNTIF(P$2:P35, TRUE)/(COUNTIF(P$2:P35,FALSE) + COUNTIF(P$2:P35, TRUE))</f>
        <v>0.47058823529411764</v>
      </c>
      <c r="R35" s="335"/>
      <c r="S35" s="335"/>
      <c r="T35" s="335"/>
      <c r="U35" s="335"/>
      <c r="V35" s="183">
        <f>STDEV(D$2:D35)*SQRT(252)</f>
        <v>0.27452334333609368</v>
      </c>
      <c r="W35" s="183">
        <f>STDEV(L$2:L35)*SQRT(252)</f>
        <v>0.37502060427916972</v>
      </c>
      <c r="X35" s="174">
        <f t="shared" si="11"/>
        <v>-2.9138584194180774</v>
      </c>
    </row>
    <row r="36" spans="1:31" ht="20.100000000000001" customHeight="1" x14ac:dyDescent="0.25">
      <c r="A36" s="163">
        <f t="shared" si="8"/>
        <v>49</v>
      </c>
      <c r="B36" s="172">
        <v>42282</v>
      </c>
      <c r="C36" s="202">
        <v>1987.05</v>
      </c>
      <c r="D36" s="171">
        <f t="shared" si="4"/>
        <v>1.8289808133814395E-2</v>
      </c>
      <c r="E36" s="203">
        <f t="shared" si="5"/>
        <v>-5.4883849241833343E-2</v>
      </c>
      <c r="F36" s="218">
        <v>4781.26</v>
      </c>
      <c r="G36" s="171">
        <f t="shared" si="2"/>
        <v>1.5608205990934257E-2</v>
      </c>
      <c r="H36" s="203">
        <f t="shared" si="6"/>
        <v>-6.0969813618241372E-2</v>
      </c>
      <c r="I36" s="221">
        <v>348049.53</v>
      </c>
      <c r="J36" s="173">
        <v>390000</v>
      </c>
      <c r="K36" s="173">
        <f t="shared" si="12"/>
        <v>11722.520000000019</v>
      </c>
      <c r="L36" s="171">
        <f t="shared" si="7"/>
        <v>3.4854530416691835E-2</v>
      </c>
      <c r="M36" s="174">
        <f t="shared" si="13"/>
        <v>-41950.469999999972</v>
      </c>
      <c r="N36" s="184">
        <f t="shared" si="14"/>
        <v>-0.10756530769230763</v>
      </c>
      <c r="O36" s="183">
        <f t="shared" si="10"/>
        <v>-0.80180058437990531</v>
      </c>
      <c r="P36" s="174" t="b">
        <f t="shared" si="9"/>
        <v>1</v>
      </c>
      <c r="Q36" s="184">
        <f>COUNTIF(P$2:P36, TRUE)/(COUNTIF(P$2:P36,FALSE) + COUNTIF(P$2:P36, TRUE))</f>
        <v>0.48571428571428571</v>
      </c>
      <c r="R36" s="336"/>
      <c r="S36" s="336"/>
      <c r="T36" s="336"/>
      <c r="U36" s="336"/>
      <c r="V36" s="184">
        <f>STDEV(D$2:D36)*SQRT(252)</f>
        <v>0.27597887919090974</v>
      </c>
      <c r="W36" s="184">
        <f>STDEV(L$2:L36)*SQRT(252)</f>
        <v>0.38219304301343621</v>
      </c>
      <c r="X36" s="174">
        <f t="shared" si="11"/>
        <v>-2.0978942422866593</v>
      </c>
    </row>
    <row r="37" spans="1:31" ht="20.100000000000001" customHeight="1" x14ac:dyDescent="0.25">
      <c r="A37" s="163">
        <f t="shared" si="8"/>
        <v>50</v>
      </c>
      <c r="B37" s="172">
        <v>42283</v>
      </c>
      <c r="C37" s="202">
        <v>1979.92</v>
      </c>
      <c r="D37" s="171">
        <f t="shared" si="4"/>
        <v>-3.5882338139452364E-3</v>
      </c>
      <c r="E37" s="203">
        <f t="shared" si="5"/>
        <v>-5.8275146972089562E-2</v>
      </c>
      <c r="F37" s="218">
        <v>4748.3599999999997</v>
      </c>
      <c r="G37" s="171">
        <f t="shared" si="2"/>
        <v>-6.8810313599345242E-3</v>
      </c>
      <c r="H37" s="203">
        <f t="shared" si="6"/>
        <v>-6.7431309778659423E-2</v>
      </c>
      <c r="I37" s="221">
        <v>349442.62</v>
      </c>
      <c r="J37" s="173">
        <v>390000</v>
      </c>
      <c r="K37" s="173">
        <f t="shared" si="12"/>
        <v>1393.0899999999674</v>
      </c>
      <c r="L37" s="171">
        <f t="shared" si="7"/>
        <v>4.0025625088474254E-3</v>
      </c>
      <c r="M37" s="174">
        <f t="shared" si="13"/>
        <v>-40557.380000000005</v>
      </c>
      <c r="N37" s="184">
        <f t="shared" si="14"/>
        <v>-0.10399328205128207</v>
      </c>
      <c r="O37" s="183">
        <f t="shared" si="10"/>
        <v>-0.75967092538461556</v>
      </c>
      <c r="P37" s="174" t="b">
        <f t="shared" si="9"/>
        <v>1</v>
      </c>
      <c r="Q37" s="184">
        <f>COUNTIF(P$2:P37, TRUE)/(COUNTIF(P$2:P37,FALSE) + COUNTIF(P$2:P37, TRUE))</f>
        <v>0.5</v>
      </c>
      <c r="R37" s="336"/>
      <c r="S37" s="336"/>
      <c r="T37" s="336"/>
      <c r="U37" s="336"/>
      <c r="V37" s="184">
        <f>STDEV(D$2:D37)*SQRT(252)</f>
        <v>0.27194715501453054</v>
      </c>
      <c r="W37" s="184">
        <f>STDEV(L$2:L37)*SQRT(252)</f>
        <v>0.37670306697854899</v>
      </c>
      <c r="X37" s="174">
        <f t="shared" si="11"/>
        <v>-2.0166305824844115</v>
      </c>
    </row>
    <row r="38" spans="1:31" ht="20.100000000000001" customHeight="1" x14ac:dyDescent="0.25">
      <c r="A38" s="163">
        <f t="shared" si="8"/>
        <v>51</v>
      </c>
      <c r="B38" s="172">
        <v>42284</v>
      </c>
      <c r="C38" s="202">
        <v>1995.83</v>
      </c>
      <c r="D38" s="171">
        <f t="shared" si="4"/>
        <v>8.0356782092205013E-3</v>
      </c>
      <c r="E38" s="203">
        <f t="shared" si="5"/>
        <v>-5.0707749091531806E-2</v>
      </c>
      <c r="F38" s="218">
        <v>4791.1499999999996</v>
      </c>
      <c r="G38" s="171">
        <f t="shared" si="2"/>
        <v>9.0115324027664218E-3</v>
      </c>
      <c r="H38" s="203">
        <f t="shared" si="6"/>
        <v>-5.9027436808924368E-2</v>
      </c>
      <c r="I38" s="221">
        <v>351672.29</v>
      </c>
      <c r="J38" s="173">
        <v>390000</v>
      </c>
      <c r="K38" s="173">
        <f t="shared" si="12"/>
        <v>2229.6699999999837</v>
      </c>
      <c r="L38" s="171">
        <f t="shared" si="7"/>
        <v>6.3806469857625942E-3</v>
      </c>
      <c r="M38" s="174">
        <f t="shared" si="13"/>
        <v>-38327.710000000021</v>
      </c>
      <c r="N38" s="184">
        <f t="shared" si="14"/>
        <v>-9.8276179487179538E-2</v>
      </c>
      <c r="O38" s="183">
        <f t="shared" si="10"/>
        <v>-0.70383087368024178</v>
      </c>
      <c r="P38" s="174" t="b">
        <f t="shared" si="9"/>
        <v>0</v>
      </c>
      <c r="Q38" s="184">
        <f>COUNTIF(P$2:P38, TRUE)/(COUNTIF(P$2:P38,FALSE) + COUNTIF(P$2:P38, TRUE))</f>
        <v>0.48648648648648651</v>
      </c>
      <c r="R38" s="336"/>
      <c r="S38" s="336"/>
      <c r="T38" s="336"/>
      <c r="U38" s="336"/>
      <c r="V38" s="184">
        <f>STDEV(D$2:D38)*SQRT(252)</f>
        <v>0.26923649970087526</v>
      </c>
      <c r="W38" s="184">
        <f>STDEV(L$2:L38)*SQRT(252)</f>
        <v>0.37168118749449619</v>
      </c>
      <c r="X38" s="174">
        <f t="shared" si="11"/>
        <v>-1.8936413715872129</v>
      </c>
    </row>
    <row r="39" spans="1:31" ht="20.100000000000001" customHeight="1" x14ac:dyDescent="0.25">
      <c r="A39" s="163">
        <f t="shared" si="8"/>
        <v>52</v>
      </c>
      <c r="B39" s="172">
        <v>42285</v>
      </c>
      <c r="C39" s="202">
        <v>2013.43</v>
      </c>
      <c r="D39" s="171">
        <f t="shared" si="4"/>
        <v>8.8183863355096054E-3</v>
      </c>
      <c r="E39" s="203">
        <f t="shared" si="5"/>
        <v>-4.2336523277715414E-2</v>
      </c>
      <c r="F39" s="218">
        <v>4810.79</v>
      </c>
      <c r="G39" s="171">
        <f t="shared" si="2"/>
        <v>4.0992246120451934E-3</v>
      </c>
      <c r="H39" s="203">
        <f t="shared" si="6"/>
        <v>-5.5170178918632254E-2</v>
      </c>
      <c r="I39" s="221">
        <v>354527.57</v>
      </c>
      <c r="J39" s="173">
        <v>390000</v>
      </c>
      <c r="K39" s="173">
        <f t="shared" si="12"/>
        <v>2855.2800000000279</v>
      </c>
      <c r="L39" s="171">
        <f t="shared" si="7"/>
        <v>8.119149791415264E-3</v>
      </c>
      <c r="M39" s="174">
        <f t="shared" si="13"/>
        <v>-35472.429999999993</v>
      </c>
      <c r="N39" s="184">
        <f t="shared" si="14"/>
        <v>-9.0954948717948694E-2</v>
      </c>
      <c r="O39" s="183">
        <f t="shared" si="10"/>
        <v>-0.63887105806212996</v>
      </c>
      <c r="P39" s="174" t="b">
        <f t="shared" si="9"/>
        <v>0</v>
      </c>
      <c r="Q39" s="184">
        <f>COUNTIF(P$2:P39, TRUE)/(COUNTIF(P$2:P39,FALSE) + COUNTIF(P$2:P39, TRUE))</f>
        <v>0.47368421052631576</v>
      </c>
      <c r="R39" s="336"/>
      <c r="S39" s="336"/>
      <c r="T39" s="336"/>
      <c r="U39" s="336"/>
      <c r="V39" s="184">
        <f>STDEV(D$2:D39)*SQRT(252)</f>
        <v>0.26678199068533232</v>
      </c>
      <c r="W39" s="184">
        <f>STDEV(L$2:L39)*SQRT(252)</f>
        <v>0.36708606132795213</v>
      </c>
      <c r="X39" s="174">
        <f t="shared" si="11"/>
        <v>-1.7403849542828786</v>
      </c>
    </row>
    <row r="40" spans="1:31" ht="20.100000000000001" customHeight="1" x14ac:dyDescent="0.25">
      <c r="A40" s="163">
        <f t="shared" si="8"/>
        <v>53</v>
      </c>
      <c r="B40" s="172">
        <v>42286</v>
      </c>
      <c r="C40" s="202">
        <v>2014.89</v>
      </c>
      <c r="D40" s="171">
        <f t="shared" si="4"/>
        <v>7.2513074703368691E-4</v>
      </c>
      <c r="E40" s="203">
        <f t="shared" si="5"/>
        <v>-4.1642092045432906E-2</v>
      </c>
      <c r="F40" s="218">
        <v>4830.47</v>
      </c>
      <c r="G40" s="171">
        <f t="shared" si="2"/>
        <v>4.0908042130295211E-3</v>
      </c>
      <c r="H40" s="203">
        <f t="shared" si="6"/>
        <v>-5.1305065105956671E-2</v>
      </c>
      <c r="I40" s="221">
        <v>351691.92</v>
      </c>
      <c r="J40" s="173">
        <v>390000</v>
      </c>
      <c r="K40" s="173">
        <f t="shared" si="12"/>
        <v>-2835.6500000000233</v>
      </c>
      <c r="L40" s="171">
        <f t="shared" si="7"/>
        <v>-7.9983906470236527E-3</v>
      </c>
      <c r="M40" s="241">
        <f t="shared" si="13"/>
        <v>-38308.080000000016</v>
      </c>
      <c r="N40" s="184">
        <f t="shared" si="14"/>
        <v>-9.8225846153846191E-2</v>
      </c>
      <c r="O40" s="183">
        <f t="shared" si="10"/>
        <v>-0.67692434542815694</v>
      </c>
      <c r="P40" s="241" t="b">
        <f t="shared" si="9"/>
        <v>0</v>
      </c>
      <c r="Q40" s="184">
        <f>COUNTIF(P$2:P40, TRUE)/(COUNTIF(P$2:P40,FALSE) + COUNTIF(P$2:P40, TRUE))</f>
        <v>0.46153846153846156</v>
      </c>
      <c r="R40" s="336"/>
      <c r="S40" s="336"/>
      <c r="T40" s="336"/>
      <c r="U40" s="336"/>
      <c r="V40" s="184">
        <f>STDEV(D$2:D40)*SQRT(252)</f>
        <v>0.26319098013674441</v>
      </c>
      <c r="W40" s="184">
        <f>STDEV(L$2:L40)*SQRT(252)</f>
        <v>0.36271772022566956</v>
      </c>
      <c r="X40" s="174">
        <f t="shared" si="11"/>
        <v>-1.8662566168727561</v>
      </c>
    </row>
    <row r="41" spans="1:31" ht="20.100000000000001" customHeight="1" x14ac:dyDescent="0.25">
      <c r="A41" s="163">
        <f t="shared" si="8"/>
        <v>56</v>
      </c>
      <c r="B41" s="167">
        <v>42289</v>
      </c>
      <c r="C41" s="198">
        <v>2017.46</v>
      </c>
      <c r="D41" s="171">
        <f t="shared" si="4"/>
        <v>1.2755038736605652E-3</v>
      </c>
      <c r="E41" s="199">
        <f t="shared" si="5"/>
        <v>-4.0419702821483619E-2</v>
      </c>
      <c r="F41" s="216">
        <v>4838.6400000000003</v>
      </c>
      <c r="G41" s="171">
        <f t="shared" si="2"/>
        <v>1.6913468047622844E-3</v>
      </c>
      <c r="H41" s="201">
        <f t="shared" si="6"/>
        <v>-4.9700492959129462E-2</v>
      </c>
      <c r="I41" s="220">
        <v>348866.78</v>
      </c>
      <c r="J41" s="169">
        <v>390000</v>
      </c>
      <c r="K41" s="169">
        <f t="shared" si="12"/>
        <v>-2825.1399999999558</v>
      </c>
      <c r="L41" s="171">
        <f t="shared" si="7"/>
        <v>-8.0329966068027839E-3</v>
      </c>
      <c r="M41" s="175">
        <f t="shared" si="13"/>
        <v>-41133.219999999972</v>
      </c>
      <c r="N41" s="183">
        <f t="shared" si="14"/>
        <v>-0.10546979487179479</v>
      </c>
      <c r="O41" s="183">
        <f t="shared" si="10"/>
        <v>-0.68790790315934025</v>
      </c>
      <c r="P41" s="175" t="b">
        <f t="shared" si="9"/>
        <v>0</v>
      </c>
      <c r="Q41" s="183">
        <f>COUNTIF(P$2:P41, TRUE)/(COUNTIF(P$2:P41,FALSE) + COUNTIF(P$2:P41, TRUE))</f>
        <v>0.45</v>
      </c>
      <c r="R41" s="335"/>
      <c r="S41" s="335"/>
      <c r="T41" s="335"/>
      <c r="U41" s="335"/>
      <c r="V41" s="183">
        <f>STDEV(D$2:D41)*SQRT(252)</f>
        <v>0.25976838750277326</v>
      </c>
      <c r="W41" s="183">
        <f>STDEV(L$2:L41)*SQRT(252)</f>
        <v>0.35850362464103236</v>
      </c>
      <c r="X41" s="174">
        <f t="shared" si="11"/>
        <v>-1.918831096472563</v>
      </c>
    </row>
    <row r="42" spans="1:31" ht="20.100000000000001" customHeight="1" x14ac:dyDescent="0.25">
      <c r="A42" s="163">
        <f t="shared" si="8"/>
        <v>57</v>
      </c>
      <c r="B42" s="167">
        <v>42290</v>
      </c>
      <c r="C42" s="198">
        <v>2003.69</v>
      </c>
      <c r="D42" s="171">
        <f t="shared" si="4"/>
        <v>-6.8254141346048899E-3</v>
      </c>
      <c r="E42" s="199">
        <f t="shared" si="5"/>
        <v>-4.6969235745134223E-2</v>
      </c>
      <c r="F42" s="216">
        <v>4796.6099999999997</v>
      </c>
      <c r="G42" s="171">
        <f t="shared" si="2"/>
        <v>-8.6863250830813317E-3</v>
      </c>
      <c r="H42" s="201">
        <f t="shared" si="6"/>
        <v>-5.7955103403578401E-2</v>
      </c>
      <c r="I42" s="220">
        <v>347508.59</v>
      </c>
      <c r="J42" s="169">
        <v>390000</v>
      </c>
      <c r="K42" s="169">
        <f t="shared" si="12"/>
        <v>-1358.1900000000023</v>
      </c>
      <c r="L42" s="171">
        <f t="shared" si="7"/>
        <v>-3.8931479804411363E-3</v>
      </c>
      <c r="M42" s="175">
        <f t="shared" si="13"/>
        <v>-42491.409999999974</v>
      </c>
      <c r="N42" s="183">
        <f t="shared" si="14"/>
        <v>-0.10895233333333326</v>
      </c>
      <c r="O42" s="183">
        <f t="shared" si="10"/>
        <v>-0.69815508333333287</v>
      </c>
      <c r="P42" s="175" t="b">
        <f t="shared" si="9"/>
        <v>1</v>
      </c>
      <c r="Q42" s="183">
        <f>COUNTIF(P$2:P42, TRUE)/(COUNTIF(P$2:P42,FALSE) + COUNTIF(P$2:P42, TRUE))</f>
        <v>0.46341463414634149</v>
      </c>
      <c r="R42" s="335"/>
      <c r="S42" s="335"/>
      <c r="T42" s="335"/>
      <c r="U42" s="335"/>
      <c r="V42" s="183">
        <f>STDEV(D$2:D42)*SQRT(252)</f>
        <v>0.2568435001245859</v>
      </c>
      <c r="W42" s="183">
        <f>STDEV(L$2:L42)*SQRT(252)</f>
        <v>0.35400225993009587</v>
      </c>
      <c r="X42" s="174">
        <f t="shared" si="11"/>
        <v>-1.9721769105971136</v>
      </c>
    </row>
    <row r="43" spans="1:31" ht="20.100000000000001" customHeight="1" x14ac:dyDescent="0.25">
      <c r="A43" s="163">
        <f t="shared" si="8"/>
        <v>58</v>
      </c>
      <c r="B43" s="167">
        <v>42291</v>
      </c>
      <c r="C43" s="204">
        <v>1994.24</v>
      </c>
      <c r="D43" s="171">
        <f t="shared" si="4"/>
        <v>-4.7162984293977837E-3</v>
      </c>
      <c r="E43" s="199">
        <f t="shared" si="5"/>
        <v>-5.1464013241757214E-2</v>
      </c>
      <c r="F43" s="216">
        <v>4782.8500000000004</v>
      </c>
      <c r="G43" s="171">
        <f t="shared" si="2"/>
        <v>-2.8686926808723888E-3</v>
      </c>
      <c r="H43" s="201">
        <f t="shared" si="6"/>
        <v>-6.0657540703497742E-2</v>
      </c>
      <c r="I43" s="220">
        <v>350349.65</v>
      </c>
      <c r="J43" s="169">
        <v>390000</v>
      </c>
      <c r="K43" s="169">
        <f t="shared" si="12"/>
        <v>2841.0599999999977</v>
      </c>
      <c r="L43" s="171">
        <f t="shared" si="7"/>
        <v>8.1755101363105796E-3</v>
      </c>
      <c r="M43" s="175">
        <f t="shared" si="13"/>
        <v>-39650.349999999977</v>
      </c>
      <c r="N43" s="183">
        <f t="shared" si="14"/>
        <v>-0.10166756410256404</v>
      </c>
      <c r="O43" s="183">
        <f t="shared" si="10"/>
        <v>-0.64024272049071573</v>
      </c>
      <c r="P43" s="175" t="b">
        <f t="shared" si="9"/>
        <v>1</v>
      </c>
      <c r="Q43" s="183">
        <f>COUNTIF(P$2:P43, TRUE)/(COUNTIF(P$2:P43,FALSE) + COUNTIF(P$2:P43, TRUE))</f>
        <v>0.47619047619047616</v>
      </c>
      <c r="R43" s="335"/>
      <c r="S43" s="335"/>
      <c r="T43" s="335"/>
      <c r="U43" s="335"/>
      <c r="V43" s="183">
        <f>STDEV(D$2:D43)*SQRT(252)</f>
        <v>0.25377333453127793</v>
      </c>
      <c r="W43" s="183">
        <f>STDEV(L$2:L43)*SQRT(252)</f>
        <v>0.35017187352757795</v>
      </c>
      <c r="X43" s="174">
        <f t="shared" si="11"/>
        <v>-1.8283670645532104</v>
      </c>
    </row>
    <row r="44" spans="1:31" ht="20.100000000000001" customHeight="1" x14ac:dyDescent="0.25">
      <c r="A44" s="163">
        <f t="shared" si="8"/>
        <v>59</v>
      </c>
      <c r="B44" s="167">
        <v>42292</v>
      </c>
      <c r="C44" s="204">
        <v>2023.86</v>
      </c>
      <c r="D44" s="171">
        <f t="shared" si="4"/>
        <v>1.4852775994865158E-2</v>
      </c>
      <c r="E44" s="199">
        <f>(C44-$C$2)/$C$2</f>
        <v>-3.7375620707368655E-2</v>
      </c>
      <c r="F44" s="216">
        <v>4870.1000000000004</v>
      </c>
      <c r="G44" s="171">
        <f t="shared" si="2"/>
        <v>1.8242261413174154E-2</v>
      </c>
      <c r="H44" s="201">
        <f t="shared" si="6"/>
        <v>-4.3521810004517048E-2</v>
      </c>
      <c r="I44" s="220">
        <v>353686.58</v>
      </c>
      <c r="J44" s="169">
        <v>390000</v>
      </c>
      <c r="K44" s="169">
        <f t="shared" si="12"/>
        <v>3336.929999999993</v>
      </c>
      <c r="L44" s="171">
        <f t="shared" si="7"/>
        <v>9.5245706681881745E-3</v>
      </c>
      <c r="M44" s="175">
        <f t="shared" si="13"/>
        <v>-36313.419999999984</v>
      </c>
      <c r="N44" s="183">
        <f t="shared" si="14"/>
        <v>-9.3111333333333296E-2</v>
      </c>
      <c r="O44" s="183">
        <f t="shared" si="10"/>
        <v>-0.57642227966101678</v>
      </c>
      <c r="P44" s="175" t="b">
        <f t="shared" si="9"/>
        <v>0</v>
      </c>
      <c r="Q44" s="183">
        <f>COUNTIF(P$2:P44, TRUE)/(COUNTIF(P$2:P44,FALSE) + COUNTIF(P$2:P44, TRUE))</f>
        <v>0.46511627906976744</v>
      </c>
      <c r="R44" s="335"/>
      <c r="S44" s="335"/>
      <c r="T44" s="335"/>
      <c r="U44" s="335"/>
      <c r="V44" s="183">
        <f>STDEV(D$2:D44)*SQRT(252)</f>
        <v>0.25371078720500778</v>
      </c>
      <c r="W44" s="183">
        <f>STDEV(L$2:L44)*SQRT(252)</f>
        <v>0.34666743153233776</v>
      </c>
      <c r="X44" s="174">
        <f t="shared" si="11"/>
        <v>-1.6627529073415339</v>
      </c>
    </row>
    <row r="45" spans="1:31" ht="20.100000000000001" customHeight="1" x14ac:dyDescent="0.25">
      <c r="A45" s="163">
        <f t="shared" si="8"/>
        <v>60</v>
      </c>
      <c r="B45" s="167">
        <v>42293</v>
      </c>
      <c r="C45" s="204">
        <v>2033.11</v>
      </c>
      <c r="D45" s="171">
        <f t="shared" si="4"/>
        <v>4.5704742422894868E-3</v>
      </c>
      <c r="E45" s="199">
        <f t="shared" ref="E45:E53" si="15">(C45-$C$2)/$C$2</f>
        <v>-3.2975970776811775E-2</v>
      </c>
      <c r="F45" s="216">
        <v>4886.6899999999996</v>
      </c>
      <c r="G45" s="171">
        <f t="shared" si="2"/>
        <v>3.4065008932053211E-3</v>
      </c>
      <c r="H45" s="201">
        <f t="shared" si="6"/>
        <v>-4.0263566195966029E-2</v>
      </c>
      <c r="I45" s="220">
        <v>351968.34</v>
      </c>
      <c r="J45" s="169">
        <v>390000</v>
      </c>
      <c r="K45" s="169">
        <f t="shared" si="12"/>
        <v>-1718.2399999999907</v>
      </c>
      <c r="L45" s="171">
        <f t="shared" si="7"/>
        <v>-4.8580865013311799E-3</v>
      </c>
      <c r="M45" s="175">
        <f t="shared" si="13"/>
        <v>-38031.659999999974</v>
      </c>
      <c r="N45" s="183">
        <f t="shared" si="14"/>
        <v>-9.7517076923076859E-2</v>
      </c>
      <c r="O45" s="183">
        <f t="shared" si="10"/>
        <v>-0.59363520576923046</v>
      </c>
      <c r="P45" s="175" t="b">
        <f t="shared" si="9"/>
        <v>0</v>
      </c>
      <c r="Q45" s="183">
        <f>COUNTIF(P$2:P45, TRUE)/(COUNTIF(P$2:P45,FALSE) + COUNTIF(P$2:P45, TRUE))</f>
        <v>0.45454545454545453</v>
      </c>
      <c r="R45" s="335"/>
      <c r="S45" s="335"/>
      <c r="T45" s="335"/>
      <c r="U45" s="335"/>
      <c r="V45" s="183">
        <f>STDEV(D$2:D45)*SQRT(252)</f>
        <v>0.25100684114352073</v>
      </c>
      <c r="W45" s="183">
        <f>STDEV(L$2:L45)*SQRT(252)</f>
        <v>0.34273345139982825</v>
      </c>
      <c r="X45" s="174">
        <f t="shared" si="11"/>
        <v>-1.7320608868047245</v>
      </c>
    </row>
    <row r="46" spans="1:31" ht="20.100000000000001" customHeight="1" x14ac:dyDescent="0.25">
      <c r="A46" s="163">
        <f t="shared" si="8"/>
        <v>63</v>
      </c>
      <c r="B46" s="181">
        <v>42296</v>
      </c>
      <c r="C46" s="205">
        <v>2033.66</v>
      </c>
      <c r="D46" s="171">
        <f t="shared" si="4"/>
        <v>2.7052151629778119E-4</v>
      </c>
      <c r="E46" s="206">
        <f t="shared" si="15"/>
        <v>-3.2714369970129928E-2</v>
      </c>
      <c r="F46" s="219">
        <v>4905.47</v>
      </c>
      <c r="G46" s="171">
        <f t="shared" si="2"/>
        <v>3.843092154403217E-3</v>
      </c>
      <c r="H46" s="203">
        <f t="shared" si="6"/>
        <v>-3.657521063691882E-2</v>
      </c>
      <c r="I46" s="221">
        <v>353616.79</v>
      </c>
      <c r="J46" s="173">
        <v>390000</v>
      </c>
      <c r="K46" s="173">
        <f t="shared" si="12"/>
        <v>1648.4499999999534</v>
      </c>
      <c r="L46" s="171">
        <f t="shared" si="7"/>
        <v>4.6835178414057167E-3</v>
      </c>
      <c r="M46" s="182">
        <f t="shared" si="13"/>
        <v>-36383.210000000021</v>
      </c>
      <c r="N46" s="184">
        <f t="shared" si="14"/>
        <v>-9.3290282051282106E-2</v>
      </c>
      <c r="O46" s="183">
        <f t="shared" si="10"/>
        <v>-0.5408615161782665</v>
      </c>
      <c r="P46" s="182" t="b">
        <f t="shared" si="9"/>
        <v>1</v>
      </c>
      <c r="Q46" s="184">
        <f>COUNTIF(P$2:P46, TRUE)/(COUNTIF(P$2:P46,FALSE) + COUNTIF(P$2:P46, TRUE))</f>
        <v>0.46666666666666667</v>
      </c>
      <c r="R46" s="336"/>
      <c r="S46" s="336"/>
      <c r="T46" s="336"/>
      <c r="U46" s="336"/>
      <c r="V46" s="184">
        <f>STDEV(D$2:D46)*SQRT(252)</f>
        <v>0.24808092074482793</v>
      </c>
      <c r="W46" s="184">
        <f>STDEV(L$2:L46)*SQRT(252)</f>
        <v>0.33890448472804552</v>
      </c>
      <c r="X46" s="174">
        <f t="shared" si="11"/>
        <v>-1.5959113571845522</v>
      </c>
    </row>
    <row r="47" spans="1:31" ht="20.100000000000001" customHeight="1" x14ac:dyDescent="0.25">
      <c r="A47" s="163">
        <f t="shared" si="8"/>
        <v>64</v>
      </c>
      <c r="B47" s="181">
        <v>42297</v>
      </c>
      <c r="C47" s="205">
        <v>2030.77</v>
      </c>
      <c r="D47" s="171">
        <f t="shared" si="4"/>
        <v>-1.4210831702448296E-3</v>
      </c>
      <c r="E47" s="206">
        <f t="shared" si="15"/>
        <v>-3.4088963299785044E-2</v>
      </c>
      <c r="F47" s="219">
        <v>4880.97</v>
      </c>
      <c r="G47" s="171">
        <f t="shared" si="2"/>
        <v>-4.9944245913235629E-3</v>
      </c>
      <c r="H47" s="203">
        <f t="shared" si="6"/>
        <v>-4.1386963096804522E-2</v>
      </c>
      <c r="I47" s="221">
        <v>352193</v>
      </c>
      <c r="J47" s="173">
        <v>395000</v>
      </c>
      <c r="K47" s="173">
        <f t="shared" si="12"/>
        <v>-6423.789999999979</v>
      </c>
      <c r="L47" s="171">
        <f t="shared" si="7"/>
        <v>-1.8165964348016334E-2</v>
      </c>
      <c r="M47" s="182">
        <f t="shared" si="13"/>
        <v>-42807</v>
      </c>
      <c r="N47" s="184">
        <f t="shared" si="14"/>
        <v>-0.10837215189873417</v>
      </c>
      <c r="O47" s="183">
        <f t="shared" si="10"/>
        <v>-0.61848325751582278</v>
      </c>
      <c r="P47" s="182" t="b">
        <f t="shared" si="9"/>
        <v>0</v>
      </c>
      <c r="Q47" s="184">
        <f>COUNTIF(P$2:P47, TRUE)/(COUNTIF(P$2:P47,FALSE) + COUNTIF(P$2:P47, TRUE))</f>
        <v>0.45652173913043476</v>
      </c>
      <c r="R47" s="336"/>
      <c r="S47" s="336"/>
      <c r="T47" s="336"/>
      <c r="U47" s="336"/>
      <c r="V47" s="184">
        <f>STDEV(D$2:D47)*SQRT(252)</f>
        <v>0.24525265348900513</v>
      </c>
      <c r="W47" s="184">
        <f>STDEV(L$2:L47)*SQRT(252)</f>
        <v>0.33783134123152347</v>
      </c>
      <c r="X47" s="174">
        <f t="shared" si="11"/>
        <v>-1.8307456474026849</v>
      </c>
    </row>
    <row r="48" spans="1:31" ht="20.100000000000001" customHeight="1" x14ac:dyDescent="0.25">
      <c r="A48" s="163">
        <f t="shared" si="8"/>
        <v>65</v>
      </c>
      <c r="B48" s="181">
        <v>42298</v>
      </c>
      <c r="C48" s="205">
        <v>2018.94</v>
      </c>
      <c r="D48" s="171">
        <f t="shared" si="4"/>
        <v>-5.8253765812967141E-3</v>
      </c>
      <c r="E48" s="206">
        <f t="shared" si="15"/>
        <v>-3.9715758832594511E-2</v>
      </c>
      <c r="F48" s="219">
        <v>4840.12</v>
      </c>
      <c r="G48" s="171">
        <f t="shared" si="2"/>
        <v>-8.3692380817748033E-3</v>
      </c>
      <c r="H48" s="203">
        <f t="shared" si="6"/>
        <v>-4.9409823830940537E-2</v>
      </c>
      <c r="I48" s="221">
        <v>350311.35</v>
      </c>
      <c r="J48" s="173">
        <v>400000</v>
      </c>
      <c r="K48" s="173">
        <f t="shared" si="12"/>
        <v>-6881.6500000000233</v>
      </c>
      <c r="L48" s="171">
        <f t="shared" si="7"/>
        <v>-1.9539428665532883E-2</v>
      </c>
      <c r="M48" s="182">
        <f t="shared" si="13"/>
        <v>-49688.650000000023</v>
      </c>
      <c r="N48" s="184">
        <f t="shared" si="14"/>
        <v>-0.12422162500000006</v>
      </c>
      <c r="O48" s="183">
        <f t="shared" si="10"/>
        <v>-0.69802997740384654</v>
      </c>
      <c r="P48" s="182" t="b">
        <f t="shared" si="9"/>
        <v>0</v>
      </c>
      <c r="Q48" s="184">
        <f>COUNTIF(P$2:P48, TRUE)/(COUNTIF(P$2:P48,FALSE) + COUNTIF(P$2:P48, TRUE))</f>
        <v>0.44680851063829785</v>
      </c>
      <c r="R48" s="336"/>
      <c r="S48" s="336"/>
      <c r="T48" s="336"/>
      <c r="U48" s="336"/>
      <c r="V48" s="184">
        <f>STDEV(D$2:D48)*SQRT(252)</f>
        <v>0.24281424638505256</v>
      </c>
      <c r="W48" s="184">
        <f>STDEV(L$2:L48)*SQRT(252)</f>
        <v>0.33709966873657005</v>
      </c>
      <c r="X48" s="174">
        <f t="shared" si="11"/>
        <v>-2.0706931573680341</v>
      </c>
    </row>
    <row r="49" spans="1:25" ht="20.100000000000001" customHeight="1" x14ac:dyDescent="0.25">
      <c r="A49" s="163">
        <f t="shared" si="8"/>
        <v>66</v>
      </c>
      <c r="B49" s="181">
        <v>42299</v>
      </c>
      <c r="C49" s="205">
        <v>2052.5100000000002</v>
      </c>
      <c r="D49" s="171">
        <f t="shared" si="4"/>
        <v>1.6627537222502979E-2</v>
      </c>
      <c r="E49" s="206">
        <f t="shared" si="15"/>
        <v>-2.3748596868400446E-2</v>
      </c>
      <c r="F49" s="219">
        <v>4920.05</v>
      </c>
      <c r="G49" s="171">
        <f t="shared" si="2"/>
        <v>1.6514053370577649E-2</v>
      </c>
      <c r="H49" s="203">
        <f t="shared" si="6"/>
        <v>-3.3711726928137876E-2</v>
      </c>
      <c r="I49" s="221">
        <v>353557.89</v>
      </c>
      <c r="J49" s="173">
        <v>400000</v>
      </c>
      <c r="K49" s="173">
        <f t="shared" si="12"/>
        <v>3246.5400000000373</v>
      </c>
      <c r="L49" s="171">
        <f t="shared" si="7"/>
        <v>9.2675843931406664E-3</v>
      </c>
      <c r="M49" s="182">
        <f t="shared" si="13"/>
        <v>-46442.109999999986</v>
      </c>
      <c r="N49" s="184">
        <f t="shared" si="14"/>
        <v>-0.11610527499999997</v>
      </c>
      <c r="O49" s="183">
        <f t="shared" si="10"/>
        <v>-0.64253714687499974</v>
      </c>
      <c r="P49" s="182" t="b">
        <f t="shared" si="9"/>
        <v>0</v>
      </c>
      <c r="Q49" s="184">
        <f>COUNTIF(P$2:P49, TRUE)/(COUNTIF(P$2:P49,FALSE) + COUNTIF(P$2:P49, TRUE))</f>
        <v>0.4375</v>
      </c>
      <c r="R49" s="336"/>
      <c r="S49" s="336"/>
      <c r="T49" s="336"/>
      <c r="U49" s="336"/>
      <c r="V49" s="184">
        <f>STDEV(D$2:D49)*SQRT(252)</f>
        <v>0.24351413133026822</v>
      </c>
      <c r="W49" s="184">
        <f>STDEV(L$2:L49)*SQRT(252)</f>
        <v>0.33420544036824928</v>
      </c>
      <c r="X49" s="174">
        <f t="shared" si="11"/>
        <v>-1.9225813504621905</v>
      </c>
    </row>
    <row r="50" spans="1:25" ht="20.100000000000001" customHeight="1" x14ac:dyDescent="0.25">
      <c r="A50" s="163">
        <f t="shared" si="8"/>
        <v>67</v>
      </c>
      <c r="B50" s="181">
        <v>42300</v>
      </c>
      <c r="C50" s="205">
        <v>2075.15</v>
      </c>
      <c r="D50" s="171">
        <f t="shared" si="4"/>
        <v>1.103039692863853E-2</v>
      </c>
      <c r="E50" s="206">
        <f t="shared" si="15"/>
        <v>-1.2980156389718596E-2</v>
      </c>
      <c r="F50" s="219">
        <v>5031.8599999999997</v>
      </c>
      <c r="G50" s="171">
        <f t="shared" si="2"/>
        <v>2.2725378807125839E-2</v>
      </c>
      <c r="H50" s="203">
        <f t="shared" si="6"/>
        <v>-1.1752459885696358E-2</v>
      </c>
      <c r="I50" s="221">
        <v>354948.58</v>
      </c>
      <c r="J50" s="173">
        <v>400000</v>
      </c>
      <c r="K50" s="173">
        <f t="shared" ref="K50:K55" si="16">I50-I49-J50+J49</f>
        <v>1390.6900000000023</v>
      </c>
      <c r="L50" s="171">
        <f t="shared" si="7"/>
        <v>3.93341526051081E-3</v>
      </c>
      <c r="M50" s="182">
        <f t="shared" si="13"/>
        <v>-45051.419999999984</v>
      </c>
      <c r="N50" s="184">
        <f t="shared" si="14"/>
        <v>-0.11262854999999997</v>
      </c>
      <c r="O50" s="183">
        <f t="shared" si="10"/>
        <v>-0.61399369981343266</v>
      </c>
      <c r="P50" s="182" t="b">
        <f t="shared" si="9"/>
        <v>0</v>
      </c>
      <c r="Q50" s="184">
        <f>COUNTIF(P$2:P50, TRUE)/(COUNTIF(P$2:P50,FALSE) + COUNTIF(P$2:P50, TRUE))</f>
        <v>0.42857142857142855</v>
      </c>
      <c r="R50" s="336"/>
      <c r="S50" s="336"/>
      <c r="T50" s="336"/>
      <c r="U50" s="336"/>
      <c r="V50" s="184">
        <f>STDEV(D$2:D50)*SQRT(252)</f>
        <v>0.2423280462112376</v>
      </c>
      <c r="W50" s="184">
        <f>STDEV(L$2:L50)*SQRT(252)</f>
        <v>0.33078274353135961</v>
      </c>
      <c r="X50" s="174">
        <f t="shared" si="11"/>
        <v>-1.8561841928589706</v>
      </c>
    </row>
    <row r="51" spans="1:25" ht="20.100000000000001" customHeight="1" x14ac:dyDescent="0.25">
      <c r="A51" s="163">
        <f t="shared" si="8"/>
        <v>70</v>
      </c>
      <c r="B51" s="167">
        <v>42303</v>
      </c>
      <c r="C51" s="198">
        <v>2071.1799999999998</v>
      </c>
      <c r="D51" s="171">
        <f t="shared" si="4"/>
        <v>-1.9131147145990672E-3</v>
      </c>
      <c r="E51" s="199">
        <f t="shared" si="15"/>
        <v>-1.4868438576130695E-2</v>
      </c>
      <c r="F51" s="216">
        <v>5034.7</v>
      </c>
      <c r="G51" s="171">
        <f t="shared" si="2"/>
        <v>5.644036201325446E-4</v>
      </c>
      <c r="H51" s="201">
        <f t="shared" si="6"/>
        <v>-1.1194689396468763E-2</v>
      </c>
      <c r="I51" s="220">
        <v>346950.72</v>
      </c>
      <c r="J51" s="169">
        <v>400000</v>
      </c>
      <c r="K51" s="169">
        <f t="shared" si="16"/>
        <v>-7997.8600000000442</v>
      </c>
      <c r="L51" s="171">
        <f t="shared" si="7"/>
        <v>-2.2532446812437011E-2</v>
      </c>
      <c r="M51" s="175">
        <f t="shared" si="13"/>
        <v>-53049.280000000028</v>
      </c>
      <c r="N51" s="183">
        <f t="shared" si="14"/>
        <v>-0.13262320000000008</v>
      </c>
      <c r="O51" s="183">
        <f t="shared" si="10"/>
        <v>-0.6920089114285719</v>
      </c>
      <c r="P51" s="175" t="b">
        <f t="shared" si="9"/>
        <v>0</v>
      </c>
      <c r="Q51" s="183">
        <f>COUNTIF(P$2:P51, TRUE)/(COUNTIF(P$2:P51,FALSE) + COUNTIF(P$2:P51, TRUE))</f>
        <v>0.42</v>
      </c>
      <c r="R51" s="335"/>
      <c r="S51" s="335"/>
      <c r="T51" s="335"/>
      <c r="U51" s="335"/>
      <c r="V51" s="183">
        <f>STDEV(D$2:D51)*SQRT(252)</f>
        <v>0.23982354896201158</v>
      </c>
      <c r="W51" s="183">
        <f>STDEV(L$2:L51)*SQRT(252)</f>
        <v>0.33116253966336157</v>
      </c>
      <c r="X51" s="174">
        <f t="shared" si="11"/>
        <v>-2.0896352351084859</v>
      </c>
    </row>
    <row r="52" spans="1:25" ht="20.100000000000001" customHeight="1" x14ac:dyDescent="0.25">
      <c r="A52" s="163">
        <f t="shared" si="8"/>
        <v>71</v>
      </c>
      <c r="B52" s="167">
        <v>42304</v>
      </c>
      <c r="C52" s="198">
        <v>2065.89</v>
      </c>
      <c r="D52" s="171">
        <f t="shared" si="4"/>
        <v>-2.5540995953997063E-3</v>
      </c>
      <c r="E52" s="199">
        <f t="shared" si="15"/>
        <v>-1.7384562698578881E-2</v>
      </c>
      <c r="F52" s="216">
        <v>5030.1499999999996</v>
      </c>
      <c r="G52" s="171">
        <f t="shared" si="2"/>
        <v>-9.0372812680004412E-4</v>
      </c>
      <c r="H52" s="201">
        <f t="shared" si="6"/>
        <v>-1.2088300567590428E-2</v>
      </c>
      <c r="I52" s="220">
        <v>345588.46</v>
      </c>
      <c r="J52" s="169">
        <v>400000</v>
      </c>
      <c r="K52" s="169">
        <f t="shared" si="16"/>
        <v>-1362.2599999999511</v>
      </c>
      <c r="L52" s="171">
        <f t="shared" si="7"/>
        <v>-3.9263789393489401E-3</v>
      </c>
      <c r="M52" s="175">
        <f t="shared" si="13"/>
        <v>-54411.539999999979</v>
      </c>
      <c r="N52" s="183">
        <f t="shared" si="14"/>
        <v>-0.13602884999999995</v>
      </c>
      <c r="O52" s="183">
        <f t="shared" si="10"/>
        <v>-0.69978221778168981</v>
      </c>
      <c r="P52" s="175" t="b">
        <f t="shared" si="9"/>
        <v>0</v>
      </c>
      <c r="Q52" s="183">
        <f>COUNTIF(P$2:P52, TRUE)/(COUNTIF(P$2:P52,FALSE) + COUNTIF(P$2:P52, TRUE))</f>
        <v>0.41176470588235292</v>
      </c>
      <c r="R52" s="335"/>
      <c r="S52" s="335"/>
      <c r="T52" s="335"/>
      <c r="U52" s="335"/>
      <c r="V52" s="183">
        <f>STDEV(D$2:D52)*SQRT(252)</f>
        <v>0.2374229026669446</v>
      </c>
      <c r="W52" s="183">
        <f>STDEV(L$2:L52)*SQRT(252)</f>
        <v>0.32784098915228843</v>
      </c>
      <c r="X52" s="174">
        <f t="shared" si="11"/>
        <v>-2.134517162088684</v>
      </c>
    </row>
    <row r="53" spans="1:25" ht="20.100000000000001" customHeight="1" x14ac:dyDescent="0.25">
      <c r="A53" s="163">
        <f t="shared" si="8"/>
        <v>72</v>
      </c>
      <c r="B53" s="167">
        <v>42305</v>
      </c>
      <c r="C53" s="204">
        <v>2090.31</v>
      </c>
      <c r="D53" s="171">
        <f t="shared" si="4"/>
        <v>1.1820571279206576E-2</v>
      </c>
      <c r="E53" s="199">
        <f t="shared" si="15"/>
        <v>-5.7694868819086909E-3</v>
      </c>
      <c r="F53" s="216">
        <v>5095.6899999999996</v>
      </c>
      <c r="G53" s="171">
        <f t="shared" si="2"/>
        <v>1.3029432521892979E-2</v>
      </c>
      <c r="H53" s="201">
        <f t="shared" si="6"/>
        <v>7.836282577527706E-4</v>
      </c>
      <c r="I53" s="220">
        <v>353348</v>
      </c>
      <c r="J53" s="169">
        <v>400000</v>
      </c>
      <c r="K53" s="169">
        <f t="shared" si="16"/>
        <v>7759.539999999979</v>
      </c>
      <c r="L53" s="171">
        <f t="shared" si="7"/>
        <v>2.2453122421969698E-2</v>
      </c>
      <c r="M53" s="175">
        <f t="shared" si="13"/>
        <v>-46652</v>
      </c>
      <c r="N53" s="183">
        <f t="shared" si="14"/>
        <v>-0.11663</v>
      </c>
      <c r="O53" s="183">
        <f t="shared" si="10"/>
        <v>-0.59165427083333333</v>
      </c>
      <c r="P53" s="175" t="b">
        <f t="shared" si="9"/>
        <v>1</v>
      </c>
      <c r="Q53" s="183">
        <f>COUNTIF(P$2:P53, TRUE)/(COUNTIF(P$2:P53,FALSE) + COUNTIF(P$2:P53, TRUE))</f>
        <v>0.42307692307692307</v>
      </c>
      <c r="R53" s="335"/>
      <c r="S53" s="335"/>
      <c r="T53" s="335"/>
      <c r="U53" s="335"/>
      <c r="V53" s="183">
        <f>STDEV(D$2:D53)*SQRT(252)</f>
        <v>0.23656092323249167</v>
      </c>
      <c r="W53" s="183">
        <f>STDEV(L$2:L53)*SQRT(252)</f>
        <v>0.32865868284465172</v>
      </c>
      <c r="X53" s="174">
        <f t="shared" si="11"/>
        <v>-1.8002088540986232</v>
      </c>
    </row>
    <row r="54" spans="1:25" ht="20.100000000000001" customHeight="1" x14ac:dyDescent="0.25">
      <c r="A54" s="163">
        <f t="shared" si="8"/>
        <v>73</v>
      </c>
      <c r="B54" s="167">
        <v>42306</v>
      </c>
      <c r="C54" s="204">
        <v>2089.41</v>
      </c>
      <c r="D54" s="171">
        <f t="shared" si="4"/>
        <v>-4.3055814687777935E-4</v>
      </c>
      <c r="E54" s="199">
        <f>(C54-$C$2)/$C$2</f>
        <v>-6.1975609292061603E-3</v>
      </c>
      <c r="F54" s="216">
        <v>5074.2700000000004</v>
      </c>
      <c r="G54" s="171">
        <f t="shared" si="2"/>
        <v>-4.203552413902566E-3</v>
      </c>
      <c r="H54" s="201">
        <f t="shared" si="6"/>
        <v>-3.4232181786042742E-3</v>
      </c>
      <c r="I54" s="220">
        <v>349127.55</v>
      </c>
      <c r="J54" s="169">
        <v>400000</v>
      </c>
      <c r="K54" s="169">
        <f t="shared" si="16"/>
        <v>-4220.4500000000116</v>
      </c>
      <c r="L54" s="171">
        <f t="shared" si="7"/>
        <v>-1.1944174015418261E-2</v>
      </c>
      <c r="M54" s="175">
        <f t="shared" si="13"/>
        <v>-50872.450000000012</v>
      </c>
      <c r="N54" s="183">
        <f t="shared" si="14"/>
        <v>-0.12718112500000003</v>
      </c>
      <c r="O54" s="183">
        <f t="shared" si="10"/>
        <v>-0.63634117679794533</v>
      </c>
      <c r="P54" s="175" t="b">
        <f t="shared" si="9"/>
        <v>0</v>
      </c>
      <c r="Q54" s="183">
        <f>COUNTIF(P$2:P54, TRUE)/(COUNTIF(P$2:P54,FALSE) + COUNTIF(P$2:P54, TRUE))</f>
        <v>0.41509433962264153</v>
      </c>
      <c r="R54" s="335"/>
      <c r="S54" s="335"/>
      <c r="T54" s="335"/>
      <c r="U54" s="335"/>
      <c r="V54" s="183">
        <f>STDEV(D$2:D54)*SQRT(252)</f>
        <v>0.23423209631374151</v>
      </c>
      <c r="W54" s="183">
        <f>STDEV(L$2:L54)*SQRT(252)</f>
        <v>0.32641026079746971</v>
      </c>
      <c r="X54" s="174">
        <f t="shared" si="11"/>
        <v>-1.949513398393995</v>
      </c>
    </row>
    <row r="55" spans="1:25" ht="20.100000000000001" customHeight="1" x14ac:dyDescent="0.25">
      <c r="A55" s="163">
        <f t="shared" si="8"/>
        <v>74</v>
      </c>
      <c r="B55" s="167">
        <v>42307</v>
      </c>
      <c r="C55" s="204">
        <v>2079.36</v>
      </c>
      <c r="D55" s="171">
        <f t="shared" si="4"/>
        <v>-4.8099702786909837E-3</v>
      </c>
      <c r="E55" s="199">
        <f>(C55-$C$2)/$C$2</f>
        <v>-1.0977721124027286E-2</v>
      </c>
      <c r="F55" s="216">
        <v>5053.75</v>
      </c>
      <c r="G55" s="171">
        <f t="shared" si="2"/>
        <v>-4.0439314423553405E-3</v>
      </c>
      <c r="H55" s="201">
        <f t="shared" si="6"/>
        <v>-7.4533063613331143E-3</v>
      </c>
      <c r="I55" s="475">
        <v>351138.5</v>
      </c>
      <c r="J55" s="169">
        <v>400000</v>
      </c>
      <c r="K55" s="169">
        <f t="shared" si="16"/>
        <v>2010.9500000000116</v>
      </c>
      <c r="L55" s="171">
        <f t="shared" si="7"/>
        <v>5.759929286588846E-3</v>
      </c>
      <c r="M55" s="175">
        <f t="shared" si="13"/>
        <v>-48861.5</v>
      </c>
      <c r="N55" s="183">
        <f t="shared" si="14"/>
        <v>-0.12215375000000001</v>
      </c>
      <c r="O55" s="183">
        <f t="shared" si="10"/>
        <v>-0.60292779983108113</v>
      </c>
      <c r="P55" s="175" t="b">
        <f t="shared" si="9"/>
        <v>1</v>
      </c>
      <c r="Q55" s="183">
        <f>COUNTIF(P$2:P55, TRUE)/(COUNTIF(P$2:P55,FALSE) + COUNTIF(P$2:P55, TRUE))</f>
        <v>0.42592592592592593</v>
      </c>
      <c r="R55" s="335"/>
      <c r="S55" s="335"/>
      <c r="T55" s="335"/>
      <c r="U55" s="335"/>
      <c r="V55" s="183">
        <f>STDEV(D$2:D55)*SQRT(252)</f>
        <v>0.23220468856265722</v>
      </c>
      <c r="W55" s="183">
        <f>STDEV(L$2:L55)*SQRT(252)</f>
        <v>0.32355647040832186</v>
      </c>
      <c r="X55" s="174">
        <f t="shared" si="11"/>
        <v>-1.8634391674201358</v>
      </c>
    </row>
    <row r="56" spans="1:25" ht="20.100000000000001" customHeight="1" x14ac:dyDescent="0.25">
      <c r="A56" s="163">
        <f t="shared" si="8"/>
        <v>77</v>
      </c>
      <c r="B56" s="172">
        <v>42310</v>
      </c>
      <c r="C56" s="208">
        <v>2104.0500000000002</v>
      </c>
      <c r="D56" s="171">
        <f t="shared" si="4"/>
        <v>1.187384579870732E-2</v>
      </c>
      <c r="E56" s="209">
        <f t="shared" ref="E56:E62" si="17">(C56-$C$2)/$C$2</f>
        <v>7.6577690683212233E-4</v>
      </c>
      <c r="F56" s="219">
        <v>5053.75</v>
      </c>
      <c r="G56" s="171">
        <f t="shared" si="2"/>
        <v>0</v>
      </c>
      <c r="H56" s="203">
        <f t="shared" si="6"/>
        <v>-7.4533063613331143E-3</v>
      </c>
      <c r="I56" s="221">
        <v>356948.81</v>
      </c>
      <c r="J56" s="173">
        <v>400000</v>
      </c>
      <c r="K56" s="173">
        <f t="shared" ref="K56:K87" si="18">I56-I55-J56+J55</f>
        <v>5810.3099999999977</v>
      </c>
      <c r="L56" s="171">
        <f t="shared" si="7"/>
        <v>1.6547060490376297E-2</v>
      </c>
      <c r="M56" s="182">
        <f t="shared" si="13"/>
        <v>-43051.19</v>
      </c>
      <c r="N56" s="184">
        <f t="shared" si="14"/>
        <v>-0.107627975</v>
      </c>
      <c r="O56" s="183">
        <f t="shared" si="10"/>
        <v>-0.51053399829545454</v>
      </c>
      <c r="P56" s="182" t="b">
        <f t="shared" si="9"/>
        <v>1</v>
      </c>
      <c r="Q56" s="184">
        <f>COUNTIF(P$2:P56, TRUE)/(COUNTIF(P$2:P56,FALSE) + COUNTIF(P$2:P56, TRUE))</f>
        <v>0.43636363636363634</v>
      </c>
      <c r="R56" s="336"/>
      <c r="S56" s="336"/>
      <c r="T56" s="336"/>
      <c r="U56" s="336"/>
      <c r="V56" s="184">
        <f>STDEV(D$2:D56)*SQRT(252)</f>
        <v>0.23145429539624826</v>
      </c>
      <c r="W56" s="184">
        <f>STDEV(L$2:L56)*SQRT(252)</f>
        <v>0.32260027221647702</v>
      </c>
      <c r="X56" s="174">
        <f t="shared" si="11"/>
        <v>-1.5825591056937076</v>
      </c>
    </row>
    <row r="57" spans="1:25" ht="20.100000000000001" customHeight="1" x14ac:dyDescent="0.25">
      <c r="A57" s="163">
        <f t="shared" si="8"/>
        <v>78</v>
      </c>
      <c r="B57" s="172">
        <v>42311</v>
      </c>
      <c r="C57" s="208">
        <v>2109.79</v>
      </c>
      <c r="D57" s="171">
        <f t="shared" si="4"/>
        <v>2.7280720515195844E-3</v>
      </c>
      <c r="E57" s="209">
        <f t="shared" si="17"/>
        <v>3.4959380529289343E-3</v>
      </c>
      <c r="F57" s="219">
        <v>5145.13</v>
      </c>
      <c r="G57" s="171">
        <f t="shared" si="2"/>
        <v>1.8081622557506824E-2</v>
      </c>
      <c r="H57" s="203">
        <f t="shared" si="6"/>
        <v>1.049354832374262E-2</v>
      </c>
      <c r="I57" s="221">
        <v>362269.44</v>
      </c>
      <c r="J57" s="173">
        <v>400000</v>
      </c>
      <c r="K57" s="173">
        <f t="shared" si="18"/>
        <v>5320.6300000000047</v>
      </c>
      <c r="L57" s="171">
        <f t="shared" si="7"/>
        <v>1.4905862832264393E-2</v>
      </c>
      <c r="M57" s="182">
        <f t="shared" si="13"/>
        <v>-37730.559999999998</v>
      </c>
      <c r="N57" s="184">
        <f t="shared" si="14"/>
        <v>-9.4326399999999991E-2</v>
      </c>
      <c r="O57" s="183">
        <f t="shared" si="10"/>
        <v>-0.44170150769230765</v>
      </c>
      <c r="P57" s="182" t="b">
        <f t="shared" si="9"/>
        <v>1</v>
      </c>
      <c r="Q57" s="184">
        <f>COUNTIF(P$2:P57, TRUE)/(COUNTIF(P$2:P57,FALSE) + COUNTIF(P$2:P57, TRUE))</f>
        <v>0.44642857142857145</v>
      </c>
      <c r="R57" s="336"/>
      <c r="S57" s="336"/>
      <c r="T57" s="336"/>
      <c r="U57" s="336"/>
      <c r="V57" s="184">
        <f>STDEV(D$2:D57)*SQRT(252)</f>
        <v>0.22936919812964679</v>
      </c>
      <c r="W57" s="184">
        <f>STDEV(L$2:L57)*SQRT(252)</f>
        <v>0.32122906847311467</v>
      </c>
      <c r="X57" s="174">
        <f t="shared" si="11"/>
        <v>-1.3750359199801869</v>
      </c>
    </row>
    <row r="58" spans="1:25" ht="20.100000000000001" customHeight="1" x14ac:dyDescent="0.25">
      <c r="A58" s="163">
        <f t="shared" si="8"/>
        <v>79</v>
      </c>
      <c r="B58" s="172">
        <v>42312</v>
      </c>
      <c r="C58" s="208">
        <v>2102.31</v>
      </c>
      <c r="D58" s="171">
        <f t="shared" si="4"/>
        <v>-3.5453765540646312E-3</v>
      </c>
      <c r="E58" s="209">
        <f t="shared" si="17"/>
        <v>-6.1832917943013417E-5</v>
      </c>
      <c r="F58" s="219">
        <v>5142.4799999999996</v>
      </c>
      <c r="G58" s="171">
        <f t="shared" si="2"/>
        <v>-5.1505015422361453E-4</v>
      </c>
      <c r="H58" s="203">
        <f t="shared" si="6"/>
        <v>9.9730934658365071E-3</v>
      </c>
      <c r="I58" s="221">
        <v>361654.42</v>
      </c>
      <c r="J58" s="173">
        <v>400000</v>
      </c>
      <c r="K58" s="173">
        <f t="shared" si="18"/>
        <v>-615.02000000001863</v>
      </c>
      <c r="L58" s="171">
        <f t="shared" si="7"/>
        <v>-1.697686672107972E-3</v>
      </c>
      <c r="M58" s="182">
        <f t="shared" si="13"/>
        <v>-38345.580000000016</v>
      </c>
      <c r="N58" s="184">
        <f t="shared" si="14"/>
        <v>-9.5863950000000045E-2</v>
      </c>
      <c r="O58" s="183">
        <f t="shared" si="10"/>
        <v>-0.44321908528481035</v>
      </c>
      <c r="P58" s="182" t="b">
        <f t="shared" si="9"/>
        <v>1</v>
      </c>
      <c r="Q58" s="184">
        <f>COUNTIF(P$2:P58, TRUE)/(COUNTIF(P$2:P58,FALSE) + COUNTIF(P$2:P58, TRUE))</f>
        <v>0.45614035087719296</v>
      </c>
      <c r="R58" s="336"/>
      <c r="S58" s="336"/>
      <c r="T58" s="336"/>
      <c r="U58" s="336"/>
      <c r="V58" s="184">
        <f>STDEV(D$2:D58)*SQRT(252)</f>
        <v>0.22741079678230972</v>
      </c>
      <c r="W58" s="184">
        <f>STDEV(L$2:L58)*SQRT(252)</f>
        <v>0.31831780697519846</v>
      </c>
      <c r="X58" s="174">
        <f t="shared" si="11"/>
        <v>-1.392379174437274</v>
      </c>
    </row>
    <row r="59" spans="1:25" ht="20.100000000000001" customHeight="1" x14ac:dyDescent="0.25">
      <c r="A59" s="163">
        <f t="shared" si="8"/>
        <v>80</v>
      </c>
      <c r="B59" s="172">
        <v>42313</v>
      </c>
      <c r="C59" s="208">
        <v>2099.9299999999998</v>
      </c>
      <c r="D59" s="171">
        <f t="shared" si="4"/>
        <v>-1.1320880364932427E-3</v>
      </c>
      <c r="E59" s="209">
        <f t="shared" si="17"/>
        <v>-1.1938509541295915E-3</v>
      </c>
      <c r="F59" s="219">
        <v>5127.74</v>
      </c>
      <c r="G59" s="171">
        <f t="shared" si="2"/>
        <v>-2.8663213080069895E-3</v>
      </c>
      <c r="H59" s="203">
        <f t="shared" si="6"/>
        <v>7.0781860675216456E-3</v>
      </c>
      <c r="I59" s="221">
        <v>351667.44</v>
      </c>
      <c r="J59" s="173">
        <v>400000</v>
      </c>
      <c r="K59" s="173">
        <f t="shared" si="18"/>
        <v>-9986.9799999999814</v>
      </c>
      <c r="L59" s="171">
        <f t="shared" si="7"/>
        <v>-2.7614704667510995E-2</v>
      </c>
      <c r="M59" s="182">
        <f t="shared" si="13"/>
        <v>-48332.56</v>
      </c>
      <c r="N59" s="184">
        <f t="shared" si="14"/>
        <v>-0.12083139999999999</v>
      </c>
      <c r="O59" s="183">
        <f t="shared" si="10"/>
        <v>-0.55167086062500004</v>
      </c>
      <c r="P59" s="182" t="b">
        <f t="shared" ref="P59:P90" si="19">L59&gt;D59</f>
        <v>0</v>
      </c>
      <c r="Q59" s="184">
        <f>COUNTIF(P$2:P59, TRUE)/(COUNTIF(P$2:P59,FALSE) + COUNTIF(P$2:P59, TRUE))</f>
        <v>0.44827586206896552</v>
      </c>
      <c r="R59" s="336"/>
      <c r="S59" s="336"/>
      <c r="T59" s="336"/>
      <c r="U59" s="336"/>
      <c r="V59" s="184">
        <f>STDEV(D$2:D59)*SQRT(252)</f>
        <v>0.2253860839795564</v>
      </c>
      <c r="W59" s="184">
        <f>STDEV(L$2:L59)*SQRT(252)</f>
        <v>0.32078118980306136</v>
      </c>
      <c r="X59" s="174">
        <f t="shared" si="11"/>
        <v>-1.7197730981785118</v>
      </c>
    </row>
    <row r="60" spans="1:25" ht="20.100000000000001" customHeight="1" x14ac:dyDescent="0.25">
      <c r="A60" s="163">
        <f t="shared" si="8"/>
        <v>81</v>
      </c>
      <c r="B60" s="172">
        <v>42314</v>
      </c>
      <c r="C60" s="215">
        <v>2099.1999999999998</v>
      </c>
      <c r="D60" s="171">
        <f t="shared" si="4"/>
        <v>-3.4763063530689989E-4</v>
      </c>
      <c r="E60" s="209">
        <f t="shared" si="17"/>
        <v>-1.5410665702708455E-3</v>
      </c>
      <c r="F60" s="219">
        <v>5147.12</v>
      </c>
      <c r="G60" s="171">
        <f t="shared" si="2"/>
        <v>3.7794427954615699E-3</v>
      </c>
      <c r="H60" s="203">
        <f t="shared" si="6"/>
        <v>1.0884380462321047E-2</v>
      </c>
      <c r="I60" s="221">
        <v>351454.25</v>
      </c>
      <c r="J60" s="173">
        <v>400000</v>
      </c>
      <c r="K60" s="173">
        <f t="shared" si="18"/>
        <v>-213.19000000000233</v>
      </c>
      <c r="L60" s="171">
        <f t="shared" si="7"/>
        <v>-6.0622615502874632E-4</v>
      </c>
      <c r="M60" s="182">
        <f t="shared" si="13"/>
        <v>-48545.75</v>
      </c>
      <c r="N60" s="184">
        <f t="shared" si="14"/>
        <v>-0.121364375</v>
      </c>
      <c r="O60" s="183">
        <f t="shared" si="10"/>
        <v>-0.54726343171296288</v>
      </c>
      <c r="P60" s="182" t="b">
        <f t="shared" si="19"/>
        <v>0</v>
      </c>
      <c r="Q60" s="184">
        <f>COUNTIF(P$2:P60, TRUE)/(COUNTIF(P$2:P60,FALSE) + COUNTIF(P$2:P60, TRUE))</f>
        <v>0.44067796610169491</v>
      </c>
      <c r="R60" s="336"/>
      <c r="S60" s="336"/>
      <c r="T60" s="336"/>
      <c r="U60" s="336"/>
      <c r="V60" s="184">
        <f>STDEV(D$2:D60)*SQRT(252)</f>
        <v>0.22340202899589548</v>
      </c>
      <c r="W60" s="184">
        <f>STDEV(L$2:L60)*SQRT(252)</f>
        <v>0.31795506965896425</v>
      </c>
      <c r="X60" s="174">
        <f t="shared" si="11"/>
        <v>-1.7211973764090402</v>
      </c>
      <c r="Y60" s="213"/>
    </row>
    <row r="61" spans="1:25" ht="20.100000000000001" customHeight="1" x14ac:dyDescent="0.25">
      <c r="A61" s="163">
        <f t="shared" si="8"/>
        <v>84</v>
      </c>
      <c r="B61" s="167">
        <v>42317</v>
      </c>
      <c r="C61" s="198">
        <v>2078.58</v>
      </c>
      <c r="D61" s="171">
        <f t="shared" si="4"/>
        <v>-9.8227896341462895E-3</v>
      </c>
      <c r="E61" s="199">
        <f t="shared" si="17"/>
        <v>-1.1348718631685149E-2</v>
      </c>
      <c r="F61" s="216">
        <v>5095.3</v>
      </c>
      <c r="G61" s="171">
        <f t="shared" si="2"/>
        <v>-1.0067766051694873E-2</v>
      </c>
      <c r="H61" s="201">
        <f t="shared" si="6"/>
        <v>7.0703301451388806E-4</v>
      </c>
      <c r="I61" s="220">
        <v>347015.14</v>
      </c>
      <c r="J61" s="169">
        <v>400000</v>
      </c>
      <c r="K61" s="169">
        <f t="shared" si="18"/>
        <v>-4439.109999999986</v>
      </c>
      <c r="L61" s="171">
        <f t="shared" si="7"/>
        <v>-1.2630690907849275E-2</v>
      </c>
      <c r="M61" s="175">
        <f t="shared" si="13"/>
        <v>-52984.859999999986</v>
      </c>
      <c r="N61" s="183">
        <f t="shared" si="14"/>
        <v>-0.13246214999999997</v>
      </c>
      <c r="O61" s="183">
        <f t="shared" si="10"/>
        <v>-0.57597381294642847</v>
      </c>
      <c r="P61" s="175" t="b">
        <f t="shared" si="19"/>
        <v>0</v>
      </c>
      <c r="Q61" s="183">
        <f>COUNTIF(P$2:P61, TRUE)/(COUNTIF(P$2:P61,FALSE) + COUNTIF(P$2:P61, TRUE))</f>
        <v>0.43333333333333335</v>
      </c>
      <c r="R61" s="335"/>
      <c r="S61" s="335"/>
      <c r="T61" s="335"/>
      <c r="U61" s="335"/>
      <c r="V61" s="183">
        <f>STDEV(D$2:D61)*SQRT(252)</f>
        <v>0.2224096817728117</v>
      </c>
      <c r="W61" s="183">
        <f>STDEV(L$2:L61)*SQRT(252)</f>
        <v>0.31620783635013966</v>
      </c>
      <c r="X61" s="174">
        <f t="shared" si="11"/>
        <v>-1.821503918418542</v>
      </c>
    </row>
    <row r="62" spans="1:25" ht="20.100000000000001" customHeight="1" x14ac:dyDescent="0.25">
      <c r="A62" s="163">
        <f t="shared" si="8"/>
        <v>85</v>
      </c>
      <c r="B62" s="167">
        <v>42318</v>
      </c>
      <c r="C62" s="198">
        <v>2081.7199999999998</v>
      </c>
      <c r="D62" s="171">
        <f t="shared" si="4"/>
        <v>1.5106466914912454E-3</v>
      </c>
      <c r="E62" s="199">
        <f t="shared" si="17"/>
        <v>-9.8552158444475246E-3</v>
      </c>
      <c r="F62" s="216">
        <v>5083.24</v>
      </c>
      <c r="G62" s="171">
        <f t="shared" si="2"/>
        <v>-2.3668871312779228E-3</v>
      </c>
      <c r="H62" s="201">
        <f t="shared" si="6"/>
        <v>-1.6615275841074762E-3</v>
      </c>
      <c r="I62" s="220">
        <v>346488.34</v>
      </c>
      <c r="J62" s="169">
        <v>400000</v>
      </c>
      <c r="K62" s="169">
        <f t="shared" si="18"/>
        <v>-526.79999999998836</v>
      </c>
      <c r="L62" s="171">
        <f t="shared" si="7"/>
        <v>-1.5180893836504894E-3</v>
      </c>
      <c r="M62" s="175">
        <f t="shared" ref="M62:M93" si="20">I62-J62</f>
        <v>-53511.659999999974</v>
      </c>
      <c r="N62" s="183">
        <f t="shared" ref="N62:N93" si="21">M62/J62</f>
        <v>-0.13377914999999993</v>
      </c>
      <c r="O62" s="183">
        <f t="shared" si="10"/>
        <v>-0.57485687691176446</v>
      </c>
      <c r="P62" s="175" t="b">
        <f t="shared" si="19"/>
        <v>0</v>
      </c>
      <c r="Q62" s="183">
        <f>COUNTIF(P$2:P62, TRUE)/(COUNTIF(P$2:P62,FALSE) + COUNTIF(P$2:P62, TRUE))</f>
        <v>0.42622950819672129</v>
      </c>
      <c r="R62" s="335"/>
      <c r="S62" s="335"/>
      <c r="T62" s="335"/>
      <c r="U62" s="335"/>
      <c r="V62" s="183">
        <f>STDEV(D$2:D62)*SQRT(252)</f>
        <v>0.22054140197015909</v>
      </c>
      <c r="W62" s="183">
        <f>STDEV(L$2:L62)*SQRT(252)</f>
        <v>0.31352177036879675</v>
      </c>
      <c r="X62" s="174">
        <f t="shared" si="11"/>
        <v>-1.8335469215919467</v>
      </c>
    </row>
    <row r="63" spans="1:25" ht="20.100000000000001" customHeight="1" x14ac:dyDescent="0.25">
      <c r="A63" s="163">
        <f t="shared" si="8"/>
        <v>86</v>
      </c>
      <c r="B63" s="167">
        <v>42319</v>
      </c>
      <c r="C63" s="198">
        <v>2075</v>
      </c>
      <c r="D63" s="171">
        <f t="shared" si="4"/>
        <v>-3.2280998405164003E-3</v>
      </c>
      <c r="E63" s="199">
        <f t="shared" ref="E63:E84" si="22">(C63-$C$2)/$C$2</f>
        <v>-1.305150206426821E-2</v>
      </c>
      <c r="F63" s="216">
        <v>5067.0200000000004</v>
      </c>
      <c r="G63" s="171">
        <f t="shared" si="2"/>
        <v>-3.1908782587482289E-3</v>
      </c>
      <c r="H63" s="201">
        <f t="shared" si="6"/>
        <v>-4.8471041106112655E-3</v>
      </c>
      <c r="I63" s="220">
        <v>341384.62</v>
      </c>
      <c r="J63" s="169">
        <v>400000</v>
      </c>
      <c r="K63" s="169">
        <f t="shared" si="18"/>
        <v>-5103.7200000000303</v>
      </c>
      <c r="L63" s="171">
        <f t="shared" si="7"/>
        <v>-1.472984632036977E-2</v>
      </c>
      <c r="M63" s="175">
        <f t="shared" si="20"/>
        <v>-58615.380000000005</v>
      </c>
      <c r="N63" s="183">
        <f t="shared" si="21"/>
        <v>-0.14653845000000001</v>
      </c>
      <c r="O63" s="183">
        <f t="shared" si="10"/>
        <v>-0.62236242863372093</v>
      </c>
      <c r="P63" s="175" t="b">
        <f t="shared" si="19"/>
        <v>0</v>
      </c>
      <c r="Q63" s="183">
        <f>COUNTIF(P$2:P63, TRUE)/(COUNTIF(P$2:P63,FALSE) + COUNTIF(P$2:P63, TRUE))</f>
        <v>0.41935483870967744</v>
      </c>
      <c r="R63" s="335"/>
      <c r="S63" s="335"/>
      <c r="T63" s="335"/>
      <c r="U63" s="335"/>
      <c r="V63" s="183">
        <f>STDEV(D$2:D63)*SQRT(252)</f>
        <v>0.21879001839109452</v>
      </c>
      <c r="W63" s="183">
        <f>STDEV(L$2:L63)*SQRT(252)</f>
        <v>0.31221077177668255</v>
      </c>
      <c r="X63" s="174">
        <f t="shared" si="11"/>
        <v>-1.9934047281330927</v>
      </c>
    </row>
    <row r="64" spans="1:25" ht="20.100000000000001" customHeight="1" x14ac:dyDescent="0.25">
      <c r="A64" s="163">
        <f t="shared" si="8"/>
        <v>87</v>
      </c>
      <c r="B64" s="167">
        <v>42320</v>
      </c>
      <c r="C64" s="204">
        <v>2045.97</v>
      </c>
      <c r="D64" s="171">
        <f t="shared" si="4"/>
        <v>-1.3990361445783119E-2</v>
      </c>
      <c r="E64" s="199">
        <f t="shared" si="22"/>
        <v>-2.6859268278761832E-2</v>
      </c>
      <c r="F64" s="216">
        <v>5005.08</v>
      </c>
      <c r="G64" s="171">
        <f t="shared" si="2"/>
        <v>-1.222414752655417E-2</v>
      </c>
      <c r="H64" s="201">
        <f t="shared" si="6"/>
        <v>-1.7011999921440757E-2</v>
      </c>
      <c r="I64" s="220">
        <v>335500.62</v>
      </c>
      <c r="J64" s="169">
        <v>400000</v>
      </c>
      <c r="K64" s="169">
        <f t="shared" si="18"/>
        <v>-5884</v>
      </c>
      <c r="L64" s="171">
        <f t="shared" si="7"/>
        <v>-1.7235691520022196E-2</v>
      </c>
      <c r="M64" s="175">
        <f t="shared" si="20"/>
        <v>-64499.380000000005</v>
      </c>
      <c r="N64" s="183">
        <f t="shared" si="21"/>
        <v>-0.16124845000000002</v>
      </c>
      <c r="O64" s="183">
        <f t="shared" si="10"/>
        <v>-0.67696547543103458</v>
      </c>
      <c r="P64" s="175" t="b">
        <f t="shared" si="19"/>
        <v>0</v>
      </c>
      <c r="Q64" s="183">
        <f>COUNTIF(P$2:P64, TRUE)/(COUNTIF(P$2:P64,FALSE) + COUNTIF(P$2:P64, TRUE))</f>
        <v>0.41269841269841268</v>
      </c>
      <c r="R64" s="335"/>
      <c r="S64" s="335"/>
      <c r="T64" s="335"/>
      <c r="U64" s="335"/>
      <c r="V64" s="183">
        <f>STDEV(D$2:D64)*SQRT(252)</f>
        <v>0.21878322617502383</v>
      </c>
      <c r="W64" s="183">
        <f>STDEV(L$2:L64)*SQRT(252)</f>
        <v>0.311389828072407</v>
      </c>
      <c r="X64" s="174">
        <f t="shared" si="11"/>
        <v>-2.1740128109567562</v>
      </c>
    </row>
    <row r="65" spans="1:24" ht="20.100000000000001" customHeight="1" x14ac:dyDescent="0.25">
      <c r="A65" s="163">
        <f t="shared" si="8"/>
        <v>88</v>
      </c>
      <c r="B65" s="167">
        <v>42321</v>
      </c>
      <c r="C65" s="204">
        <v>2023.04</v>
      </c>
      <c r="D65" s="171">
        <f t="shared" si="4"/>
        <v>-1.1207397957936852E-2</v>
      </c>
      <c r="E65" s="199">
        <f t="shared" si="22"/>
        <v>-3.7765643728239609E-2</v>
      </c>
      <c r="F65" s="216">
        <v>4927.88</v>
      </c>
      <c r="G65" s="171">
        <f t="shared" si="2"/>
        <v>-1.5424328881855999E-2</v>
      </c>
      <c r="H65" s="201">
        <f t="shared" si="6"/>
        <v>-3.217393012157034E-2</v>
      </c>
      <c r="I65" s="220">
        <v>335955</v>
      </c>
      <c r="J65" s="169">
        <v>400000</v>
      </c>
      <c r="K65" s="169">
        <f t="shared" si="18"/>
        <v>454.38000000000466</v>
      </c>
      <c r="L65" s="171">
        <f t="shared" si="7"/>
        <v>1.3543343079366133E-3</v>
      </c>
      <c r="M65" s="175">
        <f t="shared" si="20"/>
        <v>-64045</v>
      </c>
      <c r="N65" s="183">
        <f t="shared" si="21"/>
        <v>-0.16011249999999999</v>
      </c>
      <c r="O65" s="183">
        <f t="shared" si="10"/>
        <v>-0.66455784801136364</v>
      </c>
      <c r="P65" s="175" t="b">
        <f t="shared" si="19"/>
        <v>1</v>
      </c>
      <c r="Q65" s="183">
        <f>COUNTIF(P$2:P65, TRUE)/(COUNTIF(P$2:P65,FALSE) + COUNTIF(P$2:P65, TRUE))</f>
        <v>0.421875</v>
      </c>
      <c r="R65" s="335"/>
      <c r="S65" s="335"/>
      <c r="T65" s="335"/>
      <c r="U65" s="335"/>
      <c r="V65" s="183">
        <f>STDEV(D$2:D65)*SQRT(252)</f>
        <v>0.21809630494176296</v>
      </c>
      <c r="W65" s="183">
        <f>STDEV(L$2:L65)*SQRT(252)</f>
        <v>0.30890912442956392</v>
      </c>
      <c r="X65" s="174">
        <f t="shared" si="11"/>
        <v>-2.1513053369289294</v>
      </c>
    </row>
    <row r="66" spans="1:24" ht="20.100000000000001" customHeight="1" x14ac:dyDescent="0.25">
      <c r="A66" s="163">
        <f t="shared" si="8"/>
        <v>91</v>
      </c>
      <c r="B66" s="172">
        <v>42324</v>
      </c>
      <c r="C66" s="208">
        <v>2053.19</v>
      </c>
      <c r="D66" s="171">
        <f t="shared" si="4"/>
        <v>1.4903313824739053E-2</v>
      </c>
      <c r="E66" s="209">
        <f t="shared" si="22"/>
        <v>-2.3425163143775803E-2</v>
      </c>
      <c r="F66" s="219">
        <v>4984.62</v>
      </c>
      <c r="G66" s="171">
        <f t="shared" si="2"/>
        <v>1.1514079076600847E-2</v>
      </c>
      <c r="H66" s="203">
        <f t="shared" si="6"/>
        <v>-2.1030304220594286E-2</v>
      </c>
      <c r="I66" s="221">
        <v>342834.39</v>
      </c>
      <c r="J66" s="173">
        <v>400000</v>
      </c>
      <c r="K66" s="173">
        <f t="shared" si="18"/>
        <v>6879.390000000014</v>
      </c>
      <c r="L66" s="171">
        <f t="shared" si="7"/>
        <v>2.047711747108992E-2</v>
      </c>
      <c r="M66" s="182">
        <f t="shared" si="20"/>
        <v>-57165.609999999986</v>
      </c>
      <c r="N66" s="184">
        <f t="shared" si="21"/>
        <v>-0.14291402499999997</v>
      </c>
      <c r="O66" s="183">
        <f t="shared" si="10"/>
        <v>-0.57361920473901085</v>
      </c>
      <c r="P66" s="182" t="b">
        <f t="shared" si="19"/>
        <v>1</v>
      </c>
      <c r="Q66" s="184">
        <f>COUNTIF(P$2:P66, TRUE)/(COUNTIF(P$2:P66,FALSE) + COUNTIF(P$2:P66, TRUE))</f>
        <v>0.43076923076923079</v>
      </c>
      <c r="R66" s="336"/>
      <c r="S66" s="336"/>
      <c r="T66" s="336"/>
      <c r="U66" s="336"/>
      <c r="V66" s="184">
        <f>STDEV(D$2:D66)*SQRT(252)</f>
        <v>0.2185117014996438</v>
      </c>
      <c r="W66" s="184">
        <f>STDEV(L$2:L66)*SQRT(252)</f>
        <v>0.30942792293284299</v>
      </c>
      <c r="X66" s="174">
        <f t="shared" si="11"/>
        <v>-1.8538055625429346</v>
      </c>
    </row>
    <row r="67" spans="1:24" ht="20.100000000000001" customHeight="1" x14ac:dyDescent="0.25">
      <c r="A67" s="163">
        <f t="shared" si="8"/>
        <v>92</v>
      </c>
      <c r="B67" s="172">
        <v>42325</v>
      </c>
      <c r="C67" s="208">
        <v>2050.44</v>
      </c>
      <c r="D67" s="171">
        <f t="shared" si="4"/>
        <v>-1.3393792099123801E-3</v>
      </c>
      <c r="E67" s="209">
        <f t="shared" si="22"/>
        <v>-2.4733167177184604E-2</v>
      </c>
      <c r="F67" s="219">
        <v>4986.01</v>
      </c>
      <c r="G67" s="171">
        <f t="shared" ref="G67:G131" si="23">(F67-F66)/F66</f>
        <v>2.7885776648978807E-4</v>
      </c>
      <c r="H67" s="203">
        <f t="shared" ref="H67:H84" si="24">(F67-F$2)/F$2</f>
        <v>-2.0757310917768054E-2</v>
      </c>
      <c r="I67" s="221">
        <v>341363.07</v>
      </c>
      <c r="J67" s="173">
        <v>400000</v>
      </c>
      <c r="K67" s="173">
        <f t="shared" si="18"/>
        <v>-1471.320000000007</v>
      </c>
      <c r="L67" s="171">
        <f t="shared" si="7"/>
        <v>-4.2916348036146747E-3</v>
      </c>
      <c r="M67" s="182">
        <f t="shared" si="20"/>
        <v>-58636.929999999993</v>
      </c>
      <c r="N67" s="184">
        <f t="shared" si="21"/>
        <v>-0.146592325</v>
      </c>
      <c r="O67" s="183">
        <f t="shared" si="10"/>
        <v>-0.58198746419836955</v>
      </c>
      <c r="P67" s="182" t="b">
        <f t="shared" si="19"/>
        <v>0</v>
      </c>
      <c r="Q67" s="184">
        <f>COUNTIF(P$2:P67, TRUE)/(COUNTIF(P$2:P67,FALSE) + COUNTIF(P$2:P67, TRUE))</f>
        <v>0.42424242424242425</v>
      </c>
      <c r="R67" s="336"/>
      <c r="S67" s="336"/>
      <c r="T67" s="336"/>
      <c r="U67" s="336"/>
      <c r="V67" s="184">
        <f>STDEV(D$2:D67)*SQRT(252)</f>
        <v>0.21680795188349017</v>
      </c>
      <c r="W67" s="184">
        <f>STDEV(L$2:L67)*SQRT(252)</f>
        <v>0.30707902780871166</v>
      </c>
      <c r="X67" s="174">
        <f t="shared" si="11"/>
        <v>-1.8952367680443036</v>
      </c>
    </row>
    <row r="68" spans="1:24" ht="20.100000000000001" customHeight="1" x14ac:dyDescent="0.25">
      <c r="A68" s="163">
        <f t="shared" si="8"/>
        <v>93</v>
      </c>
      <c r="B68" s="172">
        <v>42326</v>
      </c>
      <c r="C68" s="208">
        <v>2083.58</v>
      </c>
      <c r="D68" s="171">
        <f t="shared" ref="D68:D132" si="25">(C68-C67)/C67</f>
        <v>1.6162384658902417E-2</v>
      </c>
      <c r="E68" s="209">
        <f t="shared" si="22"/>
        <v>-8.970529480032784E-3</v>
      </c>
      <c r="F68" s="219">
        <v>5075.2</v>
      </c>
      <c r="G68" s="171">
        <f t="shared" si="23"/>
        <v>1.7888050766043308E-2</v>
      </c>
      <c r="H68" s="203">
        <f t="shared" si="24"/>
        <v>-3.2405679831883261E-3</v>
      </c>
      <c r="I68" s="221">
        <v>349578.29</v>
      </c>
      <c r="J68" s="173">
        <v>400000</v>
      </c>
      <c r="K68" s="173">
        <f t="shared" si="18"/>
        <v>8215.2199999999721</v>
      </c>
      <c r="L68" s="171">
        <f t="shared" ref="L68:L131" si="26">K68/I67</f>
        <v>2.4065930740545461E-2</v>
      </c>
      <c r="M68" s="182">
        <f t="shared" si="20"/>
        <v>-50421.710000000021</v>
      </c>
      <c r="N68" s="184">
        <f t="shared" si="21"/>
        <v>-0.12605427500000005</v>
      </c>
      <c r="O68" s="183">
        <f t="shared" si="10"/>
        <v>-0.4950679993951615</v>
      </c>
      <c r="P68" s="182" t="b">
        <f t="shared" si="19"/>
        <v>1</v>
      </c>
      <c r="Q68" s="184">
        <f>COUNTIF(P$2:P68, TRUE)/(COUNTIF(P$2:P68,FALSE) + COUNTIF(P$2:P68, TRUE))</f>
        <v>0.43283582089552236</v>
      </c>
      <c r="R68" s="336"/>
      <c r="S68" s="336"/>
      <c r="T68" s="336"/>
      <c r="U68" s="336"/>
      <c r="V68" s="184">
        <f>STDEV(D$2:D68)*SQRT(252)</f>
        <v>0.21752341302178005</v>
      </c>
      <c r="W68" s="184">
        <f>STDEV(L$2:L68)*SQRT(252)</f>
        <v>0.30856663188820815</v>
      </c>
      <c r="X68" s="174">
        <f t="shared" si="11"/>
        <v>-1.6044119753509889</v>
      </c>
    </row>
    <row r="69" spans="1:24" ht="20.100000000000001" customHeight="1" x14ac:dyDescent="0.25">
      <c r="A69" s="163">
        <f t="shared" si="8"/>
        <v>94</v>
      </c>
      <c r="B69" s="172">
        <v>42327</v>
      </c>
      <c r="C69" s="208">
        <v>2081.2399999999998</v>
      </c>
      <c r="D69" s="171">
        <f t="shared" si="25"/>
        <v>-1.1230670288638524E-3</v>
      </c>
      <c r="E69" s="209">
        <f t="shared" si="22"/>
        <v>-1.0083522003006161E-2</v>
      </c>
      <c r="F69" s="219">
        <v>5073.63</v>
      </c>
      <c r="G69" s="171">
        <f t="shared" si="23"/>
        <v>-3.0934741488014442E-4</v>
      </c>
      <c r="H69" s="203">
        <f t="shared" si="24"/>
        <v>-3.5489129367401282E-3</v>
      </c>
      <c r="I69" s="221">
        <v>351509.95</v>
      </c>
      <c r="J69" s="173">
        <v>400000</v>
      </c>
      <c r="K69" s="173">
        <f t="shared" si="18"/>
        <v>1931.6600000000326</v>
      </c>
      <c r="L69" s="171">
        <f t="shared" si="26"/>
        <v>5.5256863920240375E-3</v>
      </c>
      <c r="M69" s="182">
        <f t="shared" si="20"/>
        <v>-48490.049999999988</v>
      </c>
      <c r="N69" s="184">
        <f t="shared" si="21"/>
        <v>-0.12122512499999998</v>
      </c>
      <c r="O69" s="183">
        <f t="shared" si="10"/>
        <v>-0.47103698836436159</v>
      </c>
      <c r="P69" s="182" t="b">
        <f t="shared" si="19"/>
        <v>1</v>
      </c>
      <c r="Q69" s="184">
        <f>COUNTIF(P$2:P69, TRUE)/(COUNTIF(P$2:P69,FALSE) + COUNTIF(P$2:P69, TRUE))</f>
        <v>0.44117647058823528</v>
      </c>
      <c r="R69" s="336"/>
      <c r="S69" s="336"/>
      <c r="T69" s="336"/>
      <c r="U69" s="336"/>
      <c r="V69" s="184">
        <f>STDEV(D$2:D69)*SQRT(252)</f>
        <v>0.21587936448621181</v>
      </c>
      <c r="W69" s="184">
        <f>STDEV(L$2:L69)*SQRT(252)</f>
        <v>0.30643952094821814</v>
      </c>
      <c r="X69" s="174">
        <f t="shared" si="11"/>
        <v>-1.5371287192553631</v>
      </c>
    </row>
    <row r="70" spans="1:24" ht="20.100000000000001" customHeight="1" x14ac:dyDescent="0.25">
      <c r="A70" s="163">
        <f t="shared" si="8"/>
        <v>95</v>
      </c>
      <c r="B70" s="172">
        <v>42328</v>
      </c>
      <c r="C70" s="215">
        <v>2089.17</v>
      </c>
      <c r="D70" s="171">
        <f t="shared" si="25"/>
        <v>3.8102285176146392E-3</v>
      </c>
      <c r="E70" s="209">
        <f t="shared" si="22"/>
        <v>-6.3117140084853699E-3</v>
      </c>
      <c r="F70" s="219">
        <v>5104.92</v>
      </c>
      <c r="G70" s="171">
        <f t="shared" si="23"/>
        <v>6.1671820767379495E-3</v>
      </c>
      <c r="H70" s="203">
        <f t="shared" si="24"/>
        <v>2.5963823477424546E-3</v>
      </c>
      <c r="I70" s="221">
        <v>349809.33</v>
      </c>
      <c r="J70" s="173">
        <v>400000</v>
      </c>
      <c r="K70" s="173">
        <f t="shared" si="18"/>
        <v>-1700.6199999999953</v>
      </c>
      <c r="L70" s="171">
        <f t="shared" si="26"/>
        <v>-4.8380422801687275E-3</v>
      </c>
      <c r="M70" s="182">
        <f t="shared" si="20"/>
        <v>-50190.669999999984</v>
      </c>
      <c r="N70" s="184">
        <f t="shared" si="21"/>
        <v>-0.12547667499999995</v>
      </c>
      <c r="O70" s="183">
        <f t="shared" si="10"/>
        <v>-0.48242479519736825</v>
      </c>
      <c r="P70" s="182" t="b">
        <f t="shared" si="19"/>
        <v>0</v>
      </c>
      <c r="Q70" s="184">
        <f>COUNTIF(P$2:P70, TRUE)/(COUNTIF(P$2:P70,FALSE) + COUNTIF(P$2:P70, TRUE))</f>
        <v>0.43478260869565216</v>
      </c>
      <c r="R70" s="336"/>
      <c r="S70" s="336"/>
      <c r="T70" s="336"/>
      <c r="U70" s="336"/>
      <c r="V70" s="184">
        <f>STDEV(D$2:D70)*SQRT(252)</f>
        <v>0.21439176321013317</v>
      </c>
      <c r="W70" s="184">
        <f>STDEV(L$2:L70)*SQRT(252)</f>
        <v>0.30426600271918647</v>
      </c>
      <c r="X70" s="174">
        <f t="shared" si="11"/>
        <v>-1.5855363099590469</v>
      </c>
    </row>
    <row r="71" spans="1:24" ht="20.100000000000001" customHeight="1" x14ac:dyDescent="0.25">
      <c r="A71" s="163">
        <f t="shared" ref="A71:A134" si="27">B71-$B$2</f>
        <v>98</v>
      </c>
      <c r="B71" s="167">
        <v>42331</v>
      </c>
      <c r="C71" s="198">
        <v>2086.59</v>
      </c>
      <c r="D71" s="171">
        <f t="shared" si="25"/>
        <v>-1.2349401915592924E-3</v>
      </c>
      <c r="E71" s="199">
        <f t="shared" si="22"/>
        <v>-7.5388596107379561E-3</v>
      </c>
      <c r="F71" s="216">
        <v>5102.47</v>
      </c>
      <c r="G71" s="171">
        <f t="shared" si="23"/>
        <v>-4.7992916637279687E-4</v>
      </c>
      <c r="H71" s="201">
        <f t="shared" si="24"/>
        <v>2.1152071017539204E-3</v>
      </c>
      <c r="I71" s="220">
        <v>352380.62</v>
      </c>
      <c r="J71" s="169">
        <v>400000</v>
      </c>
      <c r="K71" s="169">
        <f t="shared" si="18"/>
        <v>2571.289999999979</v>
      </c>
      <c r="L71" s="171">
        <f t="shared" si="26"/>
        <v>7.3505472252554807E-3</v>
      </c>
      <c r="M71" s="175">
        <f t="shared" si="20"/>
        <v>-47619.380000000005</v>
      </c>
      <c r="N71" s="183">
        <f t="shared" si="21"/>
        <v>-0.11904845000000001</v>
      </c>
      <c r="O71" s="183">
        <f t="shared" ref="O71:O134" si="28">N71/(A71/365.25)</f>
        <v>-0.44369843227040823</v>
      </c>
      <c r="P71" s="175" t="b">
        <f t="shared" si="19"/>
        <v>1</v>
      </c>
      <c r="Q71" s="183">
        <f>COUNTIF(P$2:P71, TRUE)/(COUNTIF(P$2:P71,FALSE) + COUNTIF(P$2:P71, TRUE))</f>
        <v>0.44285714285714284</v>
      </c>
      <c r="R71" s="335"/>
      <c r="S71" s="335"/>
      <c r="T71" s="335"/>
      <c r="U71" s="335"/>
      <c r="V71" s="183">
        <f>STDEV(D$2:D71)*SQRT(252)</f>
        <v>0.21282253565490999</v>
      </c>
      <c r="W71" s="183">
        <f>STDEV(L$2:L71)*SQRT(252)</f>
        <v>0.30238621984250691</v>
      </c>
      <c r="X71" s="174">
        <f t="shared" si="11"/>
        <v>-1.4673235853852784</v>
      </c>
    </row>
    <row r="72" spans="1:24" ht="20.100000000000001" customHeight="1" x14ac:dyDescent="0.25">
      <c r="A72" s="163">
        <f t="shared" si="27"/>
        <v>99</v>
      </c>
      <c r="B72" s="167">
        <v>42332</v>
      </c>
      <c r="C72" s="198">
        <v>2089.14</v>
      </c>
      <c r="D72" s="171">
        <f t="shared" si="25"/>
        <v>1.2220896294910485E-3</v>
      </c>
      <c r="E72" s="199">
        <f t="shared" si="22"/>
        <v>-6.3259831433953792E-3</v>
      </c>
      <c r="F72" s="216">
        <v>5102.8</v>
      </c>
      <c r="G72" s="171">
        <f t="shared" si="23"/>
        <v>6.4674559576034202E-5</v>
      </c>
      <c r="H72" s="201">
        <f t="shared" si="24"/>
        <v>2.1800184614176729E-3</v>
      </c>
      <c r="I72" s="220">
        <v>356994.69</v>
      </c>
      <c r="J72" s="169">
        <v>400000</v>
      </c>
      <c r="K72" s="169">
        <f t="shared" si="18"/>
        <v>4614.070000000007</v>
      </c>
      <c r="L72" s="171">
        <f t="shared" si="26"/>
        <v>1.309399478325456E-2</v>
      </c>
      <c r="M72" s="175">
        <f t="shared" si="20"/>
        <v>-43005.31</v>
      </c>
      <c r="N72" s="183">
        <f t="shared" si="21"/>
        <v>-0.10751327499999999</v>
      </c>
      <c r="O72" s="183">
        <f t="shared" si="28"/>
        <v>-0.39665882518939388</v>
      </c>
      <c r="P72" s="175" t="b">
        <f t="shared" si="19"/>
        <v>1</v>
      </c>
      <c r="Q72" s="183">
        <f>COUNTIF(P$2:P72, TRUE)/(COUNTIF(P$2:P72,FALSE) + COUNTIF(P$2:P72, TRUE))</f>
        <v>0.45070422535211269</v>
      </c>
      <c r="R72" s="335"/>
      <c r="S72" s="335"/>
      <c r="T72" s="335"/>
      <c r="U72" s="335"/>
      <c r="V72" s="183">
        <f>STDEV(D$2:D72)*SQRT(252)</f>
        <v>0.21128787806615651</v>
      </c>
      <c r="W72" s="183">
        <f>STDEV(L$2:L72)*SQRT(252)</f>
        <v>0.30126350583982381</v>
      </c>
      <c r="X72" s="174">
        <f t="shared" si="11"/>
        <v>-1.3166507641993983</v>
      </c>
    </row>
    <row r="73" spans="1:24" ht="20.100000000000001" customHeight="1" x14ac:dyDescent="0.25">
      <c r="A73" s="163">
        <f t="shared" si="27"/>
        <v>100</v>
      </c>
      <c r="B73" s="167">
        <v>42333</v>
      </c>
      <c r="C73" s="198">
        <v>2088.87</v>
      </c>
      <c r="D73" s="171">
        <f t="shared" si="25"/>
        <v>-1.2923978287715607E-4</v>
      </c>
      <c r="E73" s="199">
        <f t="shared" si="22"/>
        <v>-6.4544053575845989E-3</v>
      </c>
      <c r="F73" s="216">
        <v>5116.1400000000003</v>
      </c>
      <c r="G73" s="171">
        <f t="shared" si="23"/>
        <v>2.6142509994513102E-3</v>
      </c>
      <c r="H73" s="201">
        <f t="shared" si="24"/>
        <v>4.7999685763105661E-3</v>
      </c>
      <c r="I73" s="220">
        <v>357953.42</v>
      </c>
      <c r="J73" s="169">
        <v>400000</v>
      </c>
      <c r="K73" s="169">
        <f t="shared" si="18"/>
        <v>958.72999999998137</v>
      </c>
      <c r="L73" s="171">
        <f t="shared" si="26"/>
        <v>2.6855581521394098E-3</v>
      </c>
      <c r="M73" s="175">
        <f t="shared" si="20"/>
        <v>-42046.580000000016</v>
      </c>
      <c r="N73" s="183">
        <f t="shared" si="21"/>
        <v>-0.10511645000000004</v>
      </c>
      <c r="O73" s="183">
        <f t="shared" si="28"/>
        <v>-0.38393783362500017</v>
      </c>
      <c r="P73" s="175" t="b">
        <f t="shared" si="19"/>
        <v>1</v>
      </c>
      <c r="Q73" s="183">
        <f>COUNTIF(P$2:P73, TRUE)/(COUNTIF(P$2:P73,FALSE) + COUNTIF(P$2:P73, TRUE))</f>
        <v>0.45833333333333331</v>
      </c>
      <c r="R73" s="335"/>
      <c r="S73" s="335"/>
      <c r="T73" s="335"/>
      <c r="U73" s="335"/>
      <c r="V73" s="183">
        <f>STDEV(D$2:D73)*SQRT(252)</f>
        <v>0.20977338456133537</v>
      </c>
      <c r="W73" s="183">
        <f>STDEV(L$2:L73)*SQRT(252)</f>
        <v>0.29915075312421052</v>
      </c>
      <c r="X73" s="174">
        <f t="shared" si="11"/>
        <v>-1.2834259302886835</v>
      </c>
    </row>
    <row r="74" spans="1:24" ht="20.100000000000001" customHeight="1" x14ac:dyDescent="0.25">
      <c r="A74" s="163">
        <f t="shared" si="27"/>
        <v>102</v>
      </c>
      <c r="B74" s="167">
        <v>42335</v>
      </c>
      <c r="C74" s="204">
        <v>2090.11</v>
      </c>
      <c r="D74" s="171">
        <f t="shared" si="25"/>
        <v>5.9362238913873841E-4</v>
      </c>
      <c r="E74" s="199">
        <f t="shared" si="22"/>
        <v>-5.8646144479746996E-3</v>
      </c>
      <c r="F74" s="216">
        <v>5127.5200000000004</v>
      </c>
      <c r="G74" s="171">
        <f t="shared" si="23"/>
        <v>2.2243331886930592E-3</v>
      </c>
      <c r="H74" s="201">
        <f t="shared" si="24"/>
        <v>7.0349784944125967E-3</v>
      </c>
      <c r="I74" s="220">
        <v>355463.47</v>
      </c>
      <c r="J74" s="169">
        <v>400000</v>
      </c>
      <c r="K74" s="169">
        <f t="shared" si="18"/>
        <v>-2489.9500000000116</v>
      </c>
      <c r="L74" s="171">
        <f t="shared" si="26"/>
        <v>-6.9560726644265942E-3</v>
      </c>
      <c r="M74" s="175">
        <f t="shared" si="20"/>
        <v>-44536.530000000028</v>
      </c>
      <c r="N74" s="183">
        <f t="shared" si="21"/>
        <v>-0.11134132500000007</v>
      </c>
      <c r="O74" s="183">
        <f t="shared" si="28"/>
        <v>-0.39870018584558853</v>
      </c>
      <c r="P74" s="175" t="b">
        <f t="shared" si="19"/>
        <v>0</v>
      </c>
      <c r="Q74" s="183">
        <f>COUNTIF(P$2:P74, TRUE)/(COUNTIF(P$2:P74,FALSE) + COUNTIF(P$2:P74, TRUE))</f>
        <v>0.45205479452054792</v>
      </c>
      <c r="R74" s="335"/>
      <c r="S74" s="335"/>
      <c r="T74" s="335"/>
      <c r="U74" s="335"/>
      <c r="V74" s="183">
        <f>STDEV(D$2:D74)*SQRT(252)</f>
        <v>0.20829387869007757</v>
      </c>
      <c r="W74" s="183">
        <f>STDEV(L$2:L74)*SQRT(252)</f>
        <v>0.29731455796464418</v>
      </c>
      <c r="X74" s="174">
        <f t="shared" si="11"/>
        <v>-1.3410045864387201</v>
      </c>
    </row>
    <row r="75" spans="1:24" ht="20.100000000000001" customHeight="1" x14ac:dyDescent="0.25">
      <c r="A75" s="163">
        <f t="shared" si="27"/>
        <v>105</v>
      </c>
      <c r="B75" s="172">
        <v>42338</v>
      </c>
      <c r="C75" s="208">
        <v>2080.41</v>
      </c>
      <c r="D75" s="171">
        <f t="shared" si="25"/>
        <v>-4.6409040672501789E-3</v>
      </c>
      <c r="E75" s="209">
        <f t="shared" si="22"/>
        <v>-1.0478301402180418E-2</v>
      </c>
      <c r="F75" s="219">
        <v>5108.66</v>
      </c>
      <c r="G75" s="171">
        <f t="shared" si="23"/>
        <v>-3.6781914063720045E-3</v>
      </c>
      <c r="H75" s="203">
        <f t="shared" si="24"/>
        <v>3.3309110905984322E-3</v>
      </c>
      <c r="I75" s="473">
        <v>358262.29</v>
      </c>
      <c r="J75" s="173">
        <v>400000</v>
      </c>
      <c r="K75" s="173">
        <f t="shared" si="18"/>
        <v>2798.820000000007</v>
      </c>
      <c r="L75" s="171">
        <f t="shared" si="26"/>
        <v>7.8737204697855653E-3</v>
      </c>
      <c r="M75" s="182">
        <f t="shared" si="20"/>
        <v>-41737.710000000021</v>
      </c>
      <c r="N75" s="184">
        <f t="shared" si="21"/>
        <v>-0.10434427500000006</v>
      </c>
      <c r="O75" s="183">
        <f t="shared" si="28"/>
        <v>-0.36296901375000024</v>
      </c>
      <c r="P75" s="182" t="b">
        <f t="shared" si="19"/>
        <v>1</v>
      </c>
      <c r="Q75" s="184">
        <f>COUNTIF(P$2:P75, TRUE)/(COUNTIF(P$2:P75,FALSE) + COUNTIF(P$2:P75, TRUE))</f>
        <v>0.45945945945945948</v>
      </c>
      <c r="R75" s="336"/>
      <c r="S75" s="336"/>
      <c r="T75" s="336"/>
      <c r="U75" s="336"/>
      <c r="V75" s="184">
        <f>STDEV(D$2:D75)*SQRT(252)</f>
        <v>0.20702224585874895</v>
      </c>
      <c r="W75" s="184">
        <f>STDEV(L$2:L75)*SQRT(252)</f>
        <v>0.29562170062555598</v>
      </c>
      <c r="X75" s="174">
        <f t="shared" si="11"/>
        <v>-1.2278158639299235</v>
      </c>
    </row>
    <row r="76" spans="1:24" ht="20.100000000000001" customHeight="1" x14ac:dyDescent="0.25">
      <c r="A76" s="163">
        <f t="shared" si="27"/>
        <v>106</v>
      </c>
      <c r="B76" s="172">
        <v>42339</v>
      </c>
      <c r="C76" s="208">
        <v>2102.63</v>
      </c>
      <c r="D76" s="171">
        <f t="shared" si="25"/>
        <v>1.0680586999678072E-2</v>
      </c>
      <c r="E76" s="209">
        <f t="shared" si="22"/>
        <v>9.0371187762815854E-5</v>
      </c>
      <c r="F76" s="219">
        <v>5156.3</v>
      </c>
      <c r="G76" s="171">
        <f t="shared" si="23"/>
        <v>9.3253416747249435E-3</v>
      </c>
      <c r="H76" s="203">
        <f t="shared" si="24"/>
        <v>1.2687314649331337E-2</v>
      </c>
      <c r="I76" s="221">
        <v>361281.91</v>
      </c>
      <c r="J76" s="173">
        <v>400000</v>
      </c>
      <c r="K76" s="173">
        <f t="shared" si="18"/>
        <v>3019.6199999999953</v>
      </c>
      <c r="L76" s="171">
        <f t="shared" si="26"/>
        <v>8.4285175534382795E-3</v>
      </c>
      <c r="M76" s="182">
        <f t="shared" si="20"/>
        <v>-38718.090000000026</v>
      </c>
      <c r="N76" s="184">
        <f t="shared" si="21"/>
        <v>-9.6795225000000068E-2</v>
      </c>
      <c r="O76" s="183">
        <f t="shared" si="28"/>
        <v>-0.33353260312500022</v>
      </c>
      <c r="P76" s="182" t="b">
        <f t="shared" si="19"/>
        <v>0</v>
      </c>
      <c r="Q76" s="184">
        <f>COUNTIF(P$2:P76, TRUE)/(COUNTIF(P$2:P76,FALSE) + COUNTIF(P$2:P76, TRUE))</f>
        <v>0.45333333333333331</v>
      </c>
      <c r="R76" s="336"/>
      <c r="S76" s="336"/>
      <c r="T76" s="336"/>
      <c r="U76" s="336"/>
      <c r="V76" s="184">
        <f>STDEV(D$2:D76)*SQRT(252)</f>
        <v>0.20655260318517649</v>
      </c>
      <c r="W76" s="184">
        <f>STDEV(L$2:L76)*SQRT(252)</f>
        <v>0.29400855496408335</v>
      </c>
      <c r="X76" s="174">
        <f t="shared" si="11"/>
        <v>-1.134431626201303</v>
      </c>
    </row>
    <row r="77" spans="1:24" ht="20.100000000000001" customHeight="1" x14ac:dyDescent="0.25">
      <c r="A77" s="163">
        <f t="shared" si="27"/>
        <v>107</v>
      </c>
      <c r="B77" s="172">
        <v>42340</v>
      </c>
      <c r="C77" s="208">
        <v>2079.5100000000002</v>
      </c>
      <c r="D77" s="171">
        <f t="shared" si="25"/>
        <v>-1.0995752937987135E-2</v>
      </c>
      <c r="E77" s="209">
        <f t="shared" si="22"/>
        <v>-1.0906375449477671E-2</v>
      </c>
      <c r="F77" s="219">
        <v>5123.22</v>
      </c>
      <c r="G77" s="171">
        <f t="shared" si="23"/>
        <v>-6.415452941062375E-3</v>
      </c>
      <c r="H77" s="203">
        <f t="shared" si="24"/>
        <v>6.1904668381877245E-3</v>
      </c>
      <c r="I77" s="221">
        <v>349641.2</v>
      </c>
      <c r="J77" s="173">
        <v>400000</v>
      </c>
      <c r="K77" s="173">
        <f t="shared" si="18"/>
        <v>-11640.709999999963</v>
      </c>
      <c r="L77" s="171">
        <f t="shared" si="26"/>
        <v>-3.2220572571707129E-2</v>
      </c>
      <c r="M77" s="182">
        <f t="shared" si="20"/>
        <v>-50358.799999999988</v>
      </c>
      <c r="N77" s="184">
        <f t="shared" si="21"/>
        <v>-0.12589699999999998</v>
      </c>
      <c r="O77" s="183">
        <f t="shared" si="28"/>
        <v>-0.42975588084112148</v>
      </c>
      <c r="P77" s="182" t="b">
        <f t="shared" si="19"/>
        <v>0</v>
      </c>
      <c r="Q77" s="184">
        <f>COUNTIF(P$2:P77, TRUE)/(COUNTIF(P$2:P77,FALSE) + COUNTIF(P$2:P77, TRUE))</f>
        <v>0.44736842105263158</v>
      </c>
      <c r="R77" s="336"/>
      <c r="S77" s="336"/>
      <c r="T77" s="336"/>
      <c r="U77" s="336"/>
      <c r="V77" s="184">
        <f>STDEV(D$2:D77)*SQRT(252)</f>
        <v>0.20615523591080137</v>
      </c>
      <c r="W77" s="184">
        <f>STDEV(L$2:L77)*SQRT(252)</f>
        <v>0.29794414920309426</v>
      </c>
      <c r="X77" s="174">
        <f t="shared" si="11"/>
        <v>-1.4424041619564663</v>
      </c>
    </row>
    <row r="78" spans="1:24" ht="20.100000000000001" customHeight="1" x14ac:dyDescent="0.25">
      <c r="A78" s="163">
        <f t="shared" si="27"/>
        <v>108</v>
      </c>
      <c r="B78" s="172">
        <v>42341</v>
      </c>
      <c r="C78" s="208">
        <v>2049.62</v>
      </c>
      <c r="D78" s="171">
        <f t="shared" si="25"/>
        <v>-1.4373578391063435E-2</v>
      </c>
      <c r="E78" s="209">
        <f t="shared" si="22"/>
        <v>-2.5123190198055669E-2</v>
      </c>
      <c r="F78" s="219">
        <v>5037.5200000000004</v>
      </c>
      <c r="G78" s="171">
        <f t="shared" si="23"/>
        <v>-1.6727761056523009E-2</v>
      </c>
      <c r="H78" s="203">
        <f t="shared" si="24"/>
        <v>-1.0640846868432819E-2</v>
      </c>
      <c r="I78" s="221">
        <v>344430.58</v>
      </c>
      <c r="J78" s="173">
        <v>400000</v>
      </c>
      <c r="K78" s="173">
        <f t="shared" si="18"/>
        <v>-5210.6199999999953</v>
      </c>
      <c r="L78" s="171">
        <f t="shared" si="26"/>
        <v>-1.4902763175506763E-2</v>
      </c>
      <c r="M78" s="182">
        <f t="shared" si="20"/>
        <v>-55569.419999999984</v>
      </c>
      <c r="N78" s="184">
        <f t="shared" si="21"/>
        <v>-0.13892354999999995</v>
      </c>
      <c r="O78" s="183">
        <f t="shared" si="28"/>
        <v>-0.46983172812499985</v>
      </c>
      <c r="P78" s="182" t="b">
        <f t="shared" si="19"/>
        <v>0</v>
      </c>
      <c r="Q78" s="184">
        <f>COUNTIF(P$2:P78, TRUE)/(COUNTIF(P$2:P78,FALSE) + COUNTIF(P$2:P78, TRUE))</f>
        <v>0.44155844155844154</v>
      </c>
      <c r="R78" s="336"/>
      <c r="S78" s="336"/>
      <c r="T78" s="336"/>
      <c r="U78" s="336"/>
      <c r="V78" s="184">
        <f>STDEV(D$2:D78)*SQRT(252)</f>
        <v>0.20642766070992974</v>
      </c>
      <c r="W78" s="184">
        <f>STDEV(L$2:L78)*SQRT(252)</f>
        <v>0.29712936975574017</v>
      </c>
      <c r="X78" s="174">
        <f t="shared" si="11"/>
        <v>-1.5812362423520514</v>
      </c>
    </row>
    <row r="79" spans="1:24" ht="20.100000000000001" customHeight="1" x14ac:dyDescent="0.25">
      <c r="A79" s="163">
        <f t="shared" si="27"/>
        <v>109</v>
      </c>
      <c r="B79" s="172">
        <v>42342</v>
      </c>
      <c r="C79" s="208">
        <v>2091.69</v>
      </c>
      <c r="D79" s="171">
        <f t="shared" si="25"/>
        <v>2.0525755993794054E-2</v>
      </c>
      <c r="E79" s="209">
        <f t="shared" si="22"/>
        <v>-5.1131066760525864E-3</v>
      </c>
      <c r="F79" s="219">
        <v>5142.2700000000004</v>
      </c>
      <c r="G79" s="171">
        <f t="shared" si="23"/>
        <v>2.0793962108339021E-2</v>
      </c>
      <c r="H79" s="203">
        <f t="shared" si="24"/>
        <v>9.9318498733233732E-3</v>
      </c>
      <c r="I79" s="221">
        <v>341064.65</v>
      </c>
      <c r="J79" s="173">
        <v>400000</v>
      </c>
      <c r="K79" s="173">
        <f t="shared" si="18"/>
        <v>-3365.929999999993</v>
      </c>
      <c r="L79" s="171">
        <f t="shared" si="26"/>
        <v>-9.7724481955115388E-3</v>
      </c>
      <c r="M79" s="182">
        <f t="shared" si="20"/>
        <v>-58935.349999999977</v>
      </c>
      <c r="N79" s="184">
        <f t="shared" si="21"/>
        <v>-0.14733837499999994</v>
      </c>
      <c r="O79" s="183">
        <f t="shared" si="28"/>
        <v>-0.4937187290711007</v>
      </c>
      <c r="P79" s="182" t="b">
        <f t="shared" si="19"/>
        <v>0</v>
      </c>
      <c r="Q79" s="184">
        <f>COUNTIF(P$2:P79, TRUE)/(COUNTIF(P$2:P79,FALSE) + COUNTIF(P$2:P79, TRUE))</f>
        <v>0.4358974358974359</v>
      </c>
      <c r="R79" s="336"/>
      <c r="S79" s="336"/>
      <c r="T79" s="336"/>
      <c r="U79" s="336"/>
      <c r="V79" s="184">
        <f>STDEV(D$2:D79)*SQRT(252)</f>
        <v>0.2084813160993948</v>
      </c>
      <c r="W79" s="184">
        <f>STDEV(L$2:L79)*SQRT(252)</f>
        <v>0.29563649002359699</v>
      </c>
      <c r="X79" s="174">
        <f t="shared" si="11"/>
        <v>-1.6700195873374537</v>
      </c>
    </row>
    <row r="80" spans="1:24" ht="20.100000000000001" customHeight="1" x14ac:dyDescent="0.25">
      <c r="A80" s="163">
        <f t="shared" si="27"/>
        <v>112</v>
      </c>
      <c r="B80" s="167">
        <v>42345</v>
      </c>
      <c r="C80" s="198">
        <v>2077.0700000000002</v>
      </c>
      <c r="D80" s="171">
        <f t="shared" si="25"/>
        <v>-6.9895634630370131E-3</v>
      </c>
      <c r="E80" s="199">
        <f t="shared" si="22"/>
        <v>-1.2066931755484052E-2</v>
      </c>
      <c r="F80" s="216">
        <v>5101.8100000000004</v>
      </c>
      <c r="G80" s="171">
        <f t="shared" si="23"/>
        <v>-7.8681204993125663E-3</v>
      </c>
      <c r="H80" s="201">
        <f t="shared" si="24"/>
        <v>1.9855843824264159E-3</v>
      </c>
      <c r="I80" s="220">
        <v>323555.34000000003</v>
      </c>
      <c r="J80" s="169">
        <v>400000</v>
      </c>
      <c r="K80" s="169">
        <f t="shared" si="18"/>
        <v>-17509.309999999998</v>
      </c>
      <c r="L80" s="171">
        <f t="shared" si="26"/>
        <v>-5.1337217152231981E-2</v>
      </c>
      <c r="M80" s="175">
        <f t="shared" si="20"/>
        <v>-76444.659999999974</v>
      </c>
      <c r="N80" s="183">
        <f t="shared" si="21"/>
        <v>-0.19111164999999994</v>
      </c>
      <c r="O80" s="183">
        <f t="shared" si="28"/>
        <v>-0.6232458050223213</v>
      </c>
      <c r="P80" s="175" t="b">
        <f t="shared" si="19"/>
        <v>0</v>
      </c>
      <c r="Q80" s="183">
        <f>COUNTIF(P$2:P80, TRUE)/(COUNTIF(P$2:P80,FALSE) + COUNTIF(P$2:P80, TRUE))</f>
        <v>0.43037974683544306</v>
      </c>
      <c r="R80" s="335"/>
      <c r="S80" s="335"/>
      <c r="T80" s="335"/>
      <c r="U80" s="335"/>
      <c r="V80" s="183">
        <f>STDEV(D$2:D80)*SQRT(252)</f>
        <v>0.20750582350249624</v>
      </c>
      <c r="W80" s="183">
        <f>STDEV(L$2:L80)*SQRT(252)</f>
        <v>0.3074916653921197</v>
      </c>
      <c r="X80" s="174">
        <f t="shared" si="11"/>
        <v>-2.0268705632315123</v>
      </c>
    </row>
    <row r="81" spans="1:24" ht="20.100000000000001" customHeight="1" x14ac:dyDescent="0.25">
      <c r="A81" s="163">
        <f t="shared" si="27"/>
        <v>113</v>
      </c>
      <c r="B81" s="167">
        <v>42346</v>
      </c>
      <c r="C81" s="198">
        <v>2063.59</v>
      </c>
      <c r="D81" s="171">
        <f t="shared" si="25"/>
        <v>-6.489911269239851E-3</v>
      </c>
      <c r="E81" s="199">
        <f t="shared" si="22"/>
        <v>-1.8478529708338839E-2</v>
      </c>
      <c r="F81" s="216">
        <v>5098.24</v>
      </c>
      <c r="G81" s="171">
        <f t="shared" si="23"/>
        <v>-6.9975165676507318E-4</v>
      </c>
      <c r="H81" s="201">
        <f t="shared" si="24"/>
        <v>1.284443309700093E-3</v>
      </c>
      <c r="I81" s="220">
        <v>320909.52</v>
      </c>
      <c r="J81" s="169">
        <v>400000</v>
      </c>
      <c r="K81" s="169">
        <f t="shared" si="18"/>
        <v>-2645.820000000007</v>
      </c>
      <c r="L81" s="171">
        <f t="shared" si="26"/>
        <v>-8.1773337445149464E-3</v>
      </c>
      <c r="M81" s="175">
        <f t="shared" si="20"/>
        <v>-79090.479999999981</v>
      </c>
      <c r="N81" s="183">
        <f t="shared" si="21"/>
        <v>-0.19772619999999996</v>
      </c>
      <c r="O81" s="183">
        <f t="shared" si="28"/>
        <v>-0.63911057123893789</v>
      </c>
      <c r="P81" s="175" t="b">
        <f t="shared" si="19"/>
        <v>0</v>
      </c>
      <c r="Q81" s="183">
        <f>COUNTIF(P$2:P81, TRUE)/(COUNTIF(P$2:P81,FALSE) + COUNTIF(P$2:P81, TRUE))</f>
        <v>0.42499999999999999</v>
      </c>
      <c r="R81" s="335"/>
      <c r="S81" s="335"/>
      <c r="T81" s="335"/>
      <c r="U81" s="335"/>
      <c r="V81" s="183">
        <f>STDEV(D$2:D81)*SQRT(252)</f>
        <v>0.20648984597109604</v>
      </c>
      <c r="W81" s="183">
        <f>STDEV(L$2:L81)*SQRT(252)</f>
        <v>0.3057577572819663</v>
      </c>
      <c r="X81" s="174">
        <f t="shared" si="11"/>
        <v>-2.0902513706285379</v>
      </c>
    </row>
    <row r="82" spans="1:24" ht="20.100000000000001" customHeight="1" x14ac:dyDescent="0.25">
      <c r="A82" s="163">
        <f t="shared" si="27"/>
        <v>114</v>
      </c>
      <c r="B82" s="167">
        <v>42347</v>
      </c>
      <c r="C82" s="198">
        <v>2047.62</v>
      </c>
      <c r="D82" s="171">
        <f t="shared" si="25"/>
        <v>-7.7389403902908297E-3</v>
      </c>
      <c r="E82" s="199">
        <f t="shared" si="22"/>
        <v>-2.6074465858716617E-2</v>
      </c>
      <c r="F82" s="216">
        <v>5022.8599999999997</v>
      </c>
      <c r="G82" s="171">
        <f t="shared" si="23"/>
        <v>-1.4785494602058772E-2</v>
      </c>
      <c r="H82" s="201">
        <f t="shared" si="24"/>
        <v>-1.3520042421980899E-2</v>
      </c>
      <c r="I82" s="220">
        <v>319453.12</v>
      </c>
      <c r="J82" s="169">
        <v>400000</v>
      </c>
      <c r="K82" s="169">
        <f t="shared" si="18"/>
        <v>-1456.4000000000233</v>
      </c>
      <c r="L82" s="171">
        <f t="shared" si="26"/>
        <v>-4.5383508722334669E-3</v>
      </c>
      <c r="M82" s="175">
        <f t="shared" si="20"/>
        <v>-80546.880000000005</v>
      </c>
      <c r="N82" s="183">
        <f t="shared" si="21"/>
        <v>-0.20136720000000002</v>
      </c>
      <c r="O82" s="183">
        <f t="shared" si="28"/>
        <v>-0.64516991052631578</v>
      </c>
      <c r="P82" s="175" t="b">
        <f t="shared" si="19"/>
        <v>1</v>
      </c>
      <c r="Q82" s="183">
        <f>COUNTIF(P$2:P82, TRUE)/(COUNTIF(P$2:P82,FALSE) + COUNTIF(P$2:P82, TRUE))</f>
        <v>0.43209876543209874</v>
      </c>
      <c r="R82" s="335"/>
      <c r="S82" s="335"/>
      <c r="T82" s="335"/>
      <c r="U82" s="335"/>
      <c r="V82" s="183">
        <f>STDEV(D$2:D82)*SQRT(252)</f>
        <v>0.20562012018240991</v>
      </c>
      <c r="W82" s="183">
        <f>STDEV(L$2:L82)*SQRT(252)</f>
        <v>0.30386643217647319</v>
      </c>
      <c r="X82" s="174">
        <f t="shared" si="11"/>
        <v>-2.1232023093344758</v>
      </c>
    </row>
    <row r="83" spans="1:24" ht="20.100000000000001" customHeight="1" x14ac:dyDescent="0.25">
      <c r="A83" s="163">
        <f t="shared" si="27"/>
        <v>115</v>
      </c>
      <c r="B83" s="167">
        <v>42348</v>
      </c>
      <c r="C83" s="204">
        <v>2052.23</v>
      </c>
      <c r="D83" s="171">
        <f t="shared" si="25"/>
        <v>2.2513943016771315E-3</v>
      </c>
      <c r="E83" s="199">
        <f t="shared" si="22"/>
        <v>-2.3881775460893075E-2</v>
      </c>
      <c r="F83" s="216">
        <v>5045.17</v>
      </c>
      <c r="G83" s="171">
        <f t="shared" si="23"/>
        <v>4.4416925815173825E-3</v>
      </c>
      <c r="H83" s="201">
        <f t="shared" si="24"/>
        <v>-9.1384017125910304E-3</v>
      </c>
      <c r="I83" s="220">
        <v>324246.53999999998</v>
      </c>
      <c r="J83" s="169">
        <v>400000</v>
      </c>
      <c r="K83" s="169">
        <f t="shared" si="18"/>
        <v>4793.4199999999837</v>
      </c>
      <c r="L83" s="171">
        <f t="shared" si="26"/>
        <v>1.5005081183742965E-2</v>
      </c>
      <c r="M83" s="175">
        <f t="shared" si="20"/>
        <v>-75753.460000000021</v>
      </c>
      <c r="N83" s="183">
        <f t="shared" si="21"/>
        <v>-0.18938365000000004</v>
      </c>
      <c r="O83" s="183">
        <f t="shared" si="28"/>
        <v>-0.60149894054347841</v>
      </c>
      <c r="P83" s="175" t="b">
        <f t="shared" si="19"/>
        <v>1</v>
      </c>
      <c r="Q83" s="183">
        <f>COUNTIF(P$2:P83, TRUE)/(COUNTIF(P$2:P83,FALSE) + COUNTIF(P$2:P83, TRUE))</f>
        <v>0.43902439024390244</v>
      </c>
      <c r="R83" s="335"/>
      <c r="S83" s="335"/>
      <c r="T83" s="335"/>
      <c r="U83" s="335"/>
      <c r="V83" s="183">
        <f>STDEV(D$2:D83)*SQRT(252)</f>
        <v>0.20437847650239915</v>
      </c>
      <c r="W83" s="183">
        <f>STDEV(L$2:L83)*SQRT(252)</f>
        <v>0.30335650462124281</v>
      </c>
      <c r="X83" s="174">
        <f t="shared" si="11"/>
        <v>-1.9828120754967253</v>
      </c>
    </row>
    <row r="84" spans="1:24" ht="20.100000000000001" customHeight="1" x14ac:dyDescent="0.25">
      <c r="A84" s="163">
        <f t="shared" si="27"/>
        <v>116</v>
      </c>
      <c r="B84" s="167">
        <v>42349</v>
      </c>
      <c r="C84" s="204">
        <v>2012.37</v>
      </c>
      <c r="D84" s="171">
        <f t="shared" si="25"/>
        <v>-1.9422774250449575E-2</v>
      </c>
      <c r="E84" s="199">
        <f t="shared" si="22"/>
        <v>-4.2840699377865797E-2</v>
      </c>
      <c r="F84" s="216">
        <v>4933.47</v>
      </c>
      <c r="G84" s="171">
        <f t="shared" si="23"/>
        <v>-2.2139987354241743E-2</v>
      </c>
      <c r="H84" s="201">
        <f t="shared" si="24"/>
        <v>-3.1076064968478027E-2</v>
      </c>
      <c r="I84" s="220">
        <v>314974.52</v>
      </c>
      <c r="J84" s="169">
        <v>400000</v>
      </c>
      <c r="K84" s="169">
        <f t="shared" si="18"/>
        <v>-9272.0199999999604</v>
      </c>
      <c r="L84" s="171">
        <f t="shared" si="26"/>
        <v>-2.8595586555834832E-2</v>
      </c>
      <c r="M84" s="175">
        <f t="shared" si="20"/>
        <v>-85025.479999999981</v>
      </c>
      <c r="N84" s="183">
        <f t="shared" si="21"/>
        <v>-0.21256369999999997</v>
      </c>
      <c r="O84" s="183">
        <f t="shared" si="28"/>
        <v>-0.66930078814655158</v>
      </c>
      <c r="P84" s="175" t="b">
        <f t="shared" si="19"/>
        <v>0</v>
      </c>
      <c r="Q84" s="183">
        <f>COUNTIF(P$2:P84, TRUE)/(COUNTIF(P$2:P84,FALSE) + COUNTIF(P$2:P84, TRUE))</f>
        <v>0.43373493975903615</v>
      </c>
      <c r="R84" s="335"/>
      <c r="S84" s="335"/>
      <c r="T84" s="335"/>
      <c r="U84" s="335"/>
      <c r="V84" s="183">
        <f>STDEV(D$2:D84)*SQRT(252)</f>
        <v>0.20588473038733746</v>
      </c>
      <c r="W84" s="183">
        <f>STDEV(L$2:L84)*SQRT(252)</f>
        <v>0.3052608066855817</v>
      </c>
      <c r="X84" s="174">
        <f t="shared" si="11"/>
        <v>-2.1925539521879425</v>
      </c>
    </row>
    <row r="85" spans="1:24" ht="20.100000000000001" customHeight="1" x14ac:dyDescent="0.25">
      <c r="A85" s="163">
        <f t="shared" si="27"/>
        <v>119</v>
      </c>
      <c r="B85" s="172">
        <v>42352</v>
      </c>
      <c r="C85" s="208">
        <v>2021.94</v>
      </c>
      <c r="D85" s="171">
        <f t="shared" si="25"/>
        <v>4.7555866962835681E-3</v>
      </c>
      <c r="E85" s="209">
        <f t="shared" ref="E85:E95" si="29">(C85-$C$2)/$C$2</f>
        <v>-3.8288845341603088E-2</v>
      </c>
      <c r="F85" s="219">
        <v>4871.59</v>
      </c>
      <c r="G85" s="171">
        <f t="shared" si="23"/>
        <v>-1.2542895771130685E-2</v>
      </c>
      <c r="H85" s="203">
        <f t="shared" ref="H85:H106" si="30">(F85-F$2)/F$2</f>
        <v>-4.3229176895732205E-2</v>
      </c>
      <c r="I85" s="221">
        <f>400000-82872.25</f>
        <v>317127.75</v>
      </c>
      <c r="J85" s="173">
        <v>400000</v>
      </c>
      <c r="K85" s="173">
        <f t="shared" si="18"/>
        <v>2153.2299999999814</v>
      </c>
      <c r="L85" s="171">
        <f t="shared" si="26"/>
        <v>6.8362037665776303E-3</v>
      </c>
      <c r="M85" s="182">
        <f t="shared" si="20"/>
        <v>-82872.25</v>
      </c>
      <c r="N85" s="184">
        <f t="shared" si="21"/>
        <v>-0.20718062500000001</v>
      </c>
      <c r="O85" s="183">
        <f t="shared" si="28"/>
        <v>-0.63590523765756302</v>
      </c>
      <c r="P85" s="182" t="b">
        <f t="shared" si="19"/>
        <v>1</v>
      </c>
      <c r="Q85" s="184">
        <f>COUNTIF(P$2:P85, TRUE)/(COUNTIF(P$2:P85,FALSE) + COUNTIF(P$2:P85, TRUE))</f>
        <v>0.44047619047619047</v>
      </c>
      <c r="R85" s="336"/>
      <c r="S85" s="336"/>
      <c r="T85" s="336"/>
      <c r="U85" s="336"/>
      <c r="V85" s="184">
        <f>STDEV(D$2:D85)*SQRT(252)</f>
        <v>0.20482646913198044</v>
      </c>
      <c r="W85" s="184">
        <f>STDEV(L$2:L85)*SQRT(252)</f>
        <v>0.30374972032355096</v>
      </c>
      <c r="X85" s="174">
        <f t="shared" si="11"/>
        <v>-2.093517113300396</v>
      </c>
    </row>
    <row r="86" spans="1:24" ht="20.100000000000001" customHeight="1" x14ac:dyDescent="0.25">
      <c r="A86" s="163">
        <f t="shared" si="27"/>
        <v>120</v>
      </c>
      <c r="B86" s="172">
        <v>42353</v>
      </c>
      <c r="C86" s="208">
        <v>2043.41</v>
      </c>
      <c r="D86" s="171">
        <f t="shared" si="25"/>
        <v>1.0618514891638736E-2</v>
      </c>
      <c r="E86" s="209">
        <f t="shared" si="29"/>
        <v>-2.8076901124407819E-2</v>
      </c>
      <c r="F86" s="219">
        <v>4986.99</v>
      </c>
      <c r="G86" s="171">
        <f t="shared" si="23"/>
        <v>2.3688364579120911E-2</v>
      </c>
      <c r="H86" s="203">
        <f t="shared" si="30"/>
        <v>-2.0564840819372713E-2</v>
      </c>
      <c r="I86" s="221">
        <v>315111.13</v>
      </c>
      <c r="J86" s="173">
        <v>400000</v>
      </c>
      <c r="K86" s="173">
        <f t="shared" si="18"/>
        <v>-2016.6199999999953</v>
      </c>
      <c r="L86" s="171">
        <f t="shared" si="26"/>
        <v>-6.3590146242326487E-3</v>
      </c>
      <c r="M86" s="182">
        <f t="shared" si="20"/>
        <v>-84888.87</v>
      </c>
      <c r="N86" s="184">
        <f t="shared" si="21"/>
        <v>-0.21222217499999999</v>
      </c>
      <c r="O86" s="183">
        <f t="shared" si="28"/>
        <v>-0.64595124515625002</v>
      </c>
      <c r="P86" s="182" t="b">
        <f t="shared" si="19"/>
        <v>0</v>
      </c>
      <c r="Q86" s="184">
        <f>COUNTIF(P$2:P86, TRUE)/(COUNTIF(P$2:P86,FALSE) + COUNTIF(P$2:P86, TRUE))</f>
        <v>0.43529411764705883</v>
      </c>
      <c r="R86" s="336"/>
      <c r="S86" s="336"/>
      <c r="T86" s="336"/>
      <c r="U86" s="336"/>
      <c r="V86" s="184">
        <f>STDEV(D$2:D86)*SQRT(252)</f>
        <v>0.20447942963510182</v>
      </c>
      <c r="W86" s="184">
        <f>STDEV(L$2:L86)*SQRT(252)</f>
        <v>0.30203167512176549</v>
      </c>
      <c r="X86" s="174">
        <f t="shared" si="11"/>
        <v>-2.1386870926561983</v>
      </c>
    </row>
    <row r="87" spans="1:24" ht="20.100000000000001" customHeight="1" x14ac:dyDescent="0.25">
      <c r="A87" s="163">
        <f t="shared" si="27"/>
        <v>121</v>
      </c>
      <c r="B87" s="172">
        <v>42354</v>
      </c>
      <c r="C87" s="208">
        <v>2073.0700000000002</v>
      </c>
      <c r="D87" s="171">
        <f t="shared" si="25"/>
        <v>1.4514952946300586E-2</v>
      </c>
      <c r="E87" s="209">
        <f t="shared" si="29"/>
        <v>-1.3969483076805945E-2</v>
      </c>
      <c r="F87" s="219">
        <v>4992.63</v>
      </c>
      <c r="G87" s="171">
        <f t="shared" si="23"/>
        <v>1.1309427129391331E-3</v>
      </c>
      <c r="H87" s="203">
        <f t="shared" si="30"/>
        <v>-1.9457155763301003E-2</v>
      </c>
      <c r="I87" s="221">
        <v>320067.34000000003</v>
      </c>
      <c r="J87" s="173">
        <v>400000</v>
      </c>
      <c r="K87" s="173">
        <f t="shared" si="18"/>
        <v>4956.210000000021</v>
      </c>
      <c r="L87" s="171">
        <f t="shared" si="26"/>
        <v>1.5728451102314352E-2</v>
      </c>
      <c r="M87" s="182">
        <f t="shared" si="20"/>
        <v>-79932.659999999974</v>
      </c>
      <c r="N87" s="184">
        <f t="shared" si="21"/>
        <v>-0.19983164999999994</v>
      </c>
      <c r="O87" s="183">
        <f t="shared" si="28"/>
        <v>-0.60321082778925605</v>
      </c>
      <c r="P87" s="182" t="b">
        <f t="shared" si="19"/>
        <v>1</v>
      </c>
      <c r="Q87" s="184">
        <f>COUNTIF(P$2:P87, TRUE)/(COUNTIF(P$2:P87,FALSE) + COUNTIF(P$2:P87, TRUE))</f>
        <v>0.44186046511627908</v>
      </c>
      <c r="R87" s="336"/>
      <c r="S87" s="336"/>
      <c r="T87" s="336"/>
      <c r="U87" s="336"/>
      <c r="V87" s="184">
        <f>STDEV(D$2:D87)*SQRT(252)</f>
        <v>0.20484383238315154</v>
      </c>
      <c r="W87" s="184">
        <f>STDEV(L$2:L87)*SQRT(252)</f>
        <v>0.30170012255410639</v>
      </c>
      <c r="X87" s="174">
        <f t="shared" si="11"/>
        <v>-1.9993721669141093</v>
      </c>
    </row>
    <row r="88" spans="1:24" ht="20.100000000000001" customHeight="1" x14ac:dyDescent="0.25">
      <c r="A88" s="163">
        <f t="shared" si="27"/>
        <v>122</v>
      </c>
      <c r="B88" s="172">
        <v>42355</v>
      </c>
      <c r="C88" s="208">
        <v>2041.89</v>
      </c>
      <c r="D88" s="171">
        <f t="shared" si="25"/>
        <v>-1.5040495497016531E-2</v>
      </c>
      <c r="E88" s="209">
        <f t="shared" si="29"/>
        <v>-2.8799870626510127E-2</v>
      </c>
      <c r="F88" s="219">
        <v>5002.55</v>
      </c>
      <c r="G88" s="171">
        <f t="shared" si="23"/>
        <v>1.9869287329523865E-3</v>
      </c>
      <c r="H88" s="203">
        <f t="shared" si="30"/>
        <v>-1.7508887012196248E-2</v>
      </c>
      <c r="I88" s="221">
        <v>314862.69</v>
      </c>
      <c r="J88" s="173">
        <v>400000</v>
      </c>
      <c r="K88" s="173">
        <f t="shared" ref="K88:K119" si="31">I88-I87-J88+J87</f>
        <v>-5204.6500000000233</v>
      </c>
      <c r="L88" s="171">
        <f t="shared" si="26"/>
        <v>-1.6261109302811161E-2</v>
      </c>
      <c r="M88" s="182">
        <f t="shared" si="20"/>
        <v>-85137.31</v>
      </c>
      <c r="N88" s="184">
        <f t="shared" si="21"/>
        <v>-0.212843275</v>
      </c>
      <c r="O88" s="183">
        <f t="shared" si="28"/>
        <v>-0.63722136224385251</v>
      </c>
      <c r="P88" s="182" t="b">
        <f t="shared" si="19"/>
        <v>0</v>
      </c>
      <c r="Q88" s="184">
        <f>COUNTIF(P$2:P88, TRUE)/(COUNTIF(P$2:P88,FALSE) + COUNTIF(P$2:P88, TRUE))</f>
        <v>0.43678160919540232</v>
      </c>
      <c r="R88" s="336"/>
      <c r="S88" s="336"/>
      <c r="T88" s="336"/>
      <c r="U88" s="336"/>
      <c r="V88" s="184">
        <f>STDEV(D$2:D88)*SQRT(252)</f>
        <v>0.20523864420055984</v>
      </c>
      <c r="W88" s="184">
        <f>STDEV(L$2:L88)*SQRT(252)</f>
        <v>0.30100381031831397</v>
      </c>
      <c r="X88" s="174">
        <f t="shared" si="11"/>
        <v>-2.1169876938434293</v>
      </c>
    </row>
    <row r="89" spans="1:24" ht="20.100000000000001" customHeight="1" x14ac:dyDescent="0.25">
      <c r="A89" s="163">
        <f t="shared" si="27"/>
        <v>123</v>
      </c>
      <c r="B89" s="172">
        <v>42356</v>
      </c>
      <c r="C89" s="208">
        <v>2005.52</v>
      </c>
      <c r="D89" s="171">
        <f t="shared" si="25"/>
        <v>-1.7811929144077358E-2</v>
      </c>
      <c r="E89" s="209">
        <f t="shared" si="29"/>
        <v>-4.609881851562949E-2</v>
      </c>
      <c r="F89" s="219">
        <v>4923.08</v>
      </c>
      <c r="G89" s="171">
        <f t="shared" si="23"/>
        <v>-1.5885898191922172E-2</v>
      </c>
      <c r="H89" s="203">
        <f t="shared" si="30"/>
        <v>-3.3116640807588804E-2</v>
      </c>
      <c r="I89" s="221">
        <v>315502.05</v>
      </c>
      <c r="J89" s="173">
        <v>400000</v>
      </c>
      <c r="K89" s="173">
        <f t="shared" si="31"/>
        <v>639.35999999998603</v>
      </c>
      <c r="L89" s="171">
        <f t="shared" si="26"/>
        <v>2.0305994336769022E-3</v>
      </c>
      <c r="M89" s="182">
        <f t="shared" si="20"/>
        <v>-84497.950000000012</v>
      </c>
      <c r="N89" s="184">
        <f t="shared" si="21"/>
        <v>-0.21124487500000003</v>
      </c>
      <c r="O89" s="183">
        <f t="shared" si="28"/>
        <v>-0.62729423246951233</v>
      </c>
      <c r="P89" s="182" t="b">
        <f t="shared" si="19"/>
        <v>1</v>
      </c>
      <c r="Q89" s="184">
        <f>COUNTIF(P$2:P89, TRUE)/(COUNTIF(P$2:P89,FALSE) + COUNTIF(P$2:P89, TRUE))</f>
        <v>0.44318181818181818</v>
      </c>
      <c r="R89" s="336"/>
      <c r="S89" s="336"/>
      <c r="T89" s="336"/>
      <c r="U89" s="336"/>
      <c r="V89" s="184">
        <f>STDEV(D$2:D89)*SQRT(252)</f>
        <v>0.20621771492919441</v>
      </c>
      <c r="W89" s="184">
        <f>STDEV(L$2:L89)*SQRT(252)</f>
        <v>0.29930992001467371</v>
      </c>
      <c r="X89" s="174">
        <f t="shared" si="11"/>
        <v>-2.0958016775346406</v>
      </c>
    </row>
    <row r="90" spans="1:24" ht="20.100000000000001" customHeight="1" x14ac:dyDescent="0.25">
      <c r="A90" s="163">
        <f t="shared" si="27"/>
        <v>126</v>
      </c>
      <c r="B90" s="167">
        <v>42359</v>
      </c>
      <c r="C90" s="198">
        <v>2021.15</v>
      </c>
      <c r="D90" s="171">
        <f t="shared" si="25"/>
        <v>7.7934899676892324E-3</v>
      </c>
      <c r="E90" s="199">
        <f t="shared" si="29"/>
        <v>-3.8664599227564142E-2</v>
      </c>
      <c r="F90" s="216">
        <v>4968.92</v>
      </c>
      <c r="G90" s="171">
        <f t="shared" si="23"/>
        <v>9.3112441804724163E-3</v>
      </c>
      <c r="H90" s="201">
        <f t="shared" si="30"/>
        <v>-2.4113753756112841E-2</v>
      </c>
      <c r="I90" s="220">
        <v>320825.06</v>
      </c>
      <c r="J90" s="169">
        <v>400000</v>
      </c>
      <c r="K90" s="169">
        <f t="shared" si="31"/>
        <v>5323.0100000000093</v>
      </c>
      <c r="L90" s="171">
        <f t="shared" si="26"/>
        <v>1.6871554400359711E-2</v>
      </c>
      <c r="M90" s="175">
        <f t="shared" si="20"/>
        <v>-79174.94</v>
      </c>
      <c r="N90" s="183">
        <f t="shared" si="21"/>
        <v>-0.19793735000000001</v>
      </c>
      <c r="O90" s="183">
        <f t="shared" si="28"/>
        <v>-0.57378267529761906</v>
      </c>
      <c r="P90" s="175" t="b">
        <f t="shared" si="19"/>
        <v>1</v>
      </c>
      <c r="Q90" s="183">
        <f>COUNTIF(P$2:P90, TRUE)/(COUNTIF(P$2:P90,FALSE) + COUNTIF(P$2:P90, TRUE))</f>
        <v>0.449438202247191</v>
      </c>
      <c r="R90" s="335"/>
      <c r="S90" s="335"/>
      <c r="T90" s="335"/>
      <c r="U90" s="335"/>
      <c r="V90" s="183">
        <f>STDEV(D$2:D90)*SQRT(252)</f>
        <v>0.20550415563548391</v>
      </c>
      <c r="W90" s="183">
        <f>STDEV(L$2:L90)*SQRT(252)</f>
        <v>0.29920187088435746</v>
      </c>
      <c r="X90" s="174">
        <f t="shared" si="11"/>
        <v>-1.9177108538849612</v>
      </c>
    </row>
    <row r="91" spans="1:24" ht="20.100000000000001" customHeight="1" x14ac:dyDescent="0.25">
      <c r="A91" s="163">
        <f t="shared" si="27"/>
        <v>127</v>
      </c>
      <c r="B91" s="167">
        <v>42360</v>
      </c>
      <c r="C91" s="198">
        <v>2038.97</v>
      </c>
      <c r="D91" s="171">
        <f t="shared" si="25"/>
        <v>8.8167627340869983E-3</v>
      </c>
      <c r="E91" s="199">
        <f t="shared" si="29"/>
        <v>-3.0188733091075143E-2</v>
      </c>
      <c r="F91" s="216">
        <v>5001.1099999999997</v>
      </c>
      <c r="G91" s="171">
        <f t="shared" si="23"/>
        <v>6.4782689196041798E-3</v>
      </c>
      <c r="H91" s="201">
        <f t="shared" si="30"/>
        <v>-1.7791700218001874E-2</v>
      </c>
      <c r="I91" s="220">
        <v>321902.78000000003</v>
      </c>
      <c r="J91" s="169">
        <v>400000</v>
      </c>
      <c r="K91" s="169">
        <f t="shared" si="31"/>
        <v>1077.7200000000303</v>
      </c>
      <c r="L91" s="171">
        <f t="shared" si="26"/>
        <v>3.3592138968197506E-3</v>
      </c>
      <c r="M91" s="175">
        <f t="shared" si="20"/>
        <v>-78097.219999999972</v>
      </c>
      <c r="N91" s="183">
        <f t="shared" si="21"/>
        <v>-0.19524304999999992</v>
      </c>
      <c r="O91" s="183">
        <f t="shared" si="28"/>
        <v>-0.56151593710629899</v>
      </c>
      <c r="P91" s="175" t="b">
        <f t="shared" ref="P91:P122" si="32">L91&gt;D91</f>
        <v>0</v>
      </c>
      <c r="Q91" s="183">
        <f>COUNTIF(P$2:P91, TRUE)/(COUNTIF(P$2:P91,FALSE) + COUNTIF(P$2:P91, TRUE))</f>
        <v>0.44444444444444442</v>
      </c>
      <c r="R91" s="335"/>
      <c r="S91" s="335"/>
      <c r="T91" s="335"/>
      <c r="U91" s="335"/>
      <c r="V91" s="183">
        <f>STDEV(D$2:D91)*SQRT(252)</f>
        <v>0.20491645962952909</v>
      </c>
      <c r="W91" s="183">
        <f>STDEV(L$2:L91)*SQRT(252)</f>
        <v>0.29759929719842121</v>
      </c>
      <c r="X91" s="174">
        <f t="shared" ref="X91:X154" si="33">O91/W91</f>
        <v>-1.8868187606367703</v>
      </c>
    </row>
    <row r="92" spans="1:24" ht="20.100000000000001" customHeight="1" x14ac:dyDescent="0.25">
      <c r="A92" s="163">
        <f t="shared" si="27"/>
        <v>128</v>
      </c>
      <c r="B92" s="167">
        <v>42361</v>
      </c>
      <c r="C92" s="198">
        <v>2064.29</v>
      </c>
      <c r="D92" s="171">
        <f t="shared" si="25"/>
        <v>1.2418034595898879E-2</v>
      </c>
      <c r="E92" s="199">
        <f t="shared" si="29"/>
        <v>-1.8145583227107593E-2</v>
      </c>
      <c r="F92" s="216">
        <v>5045.93</v>
      </c>
      <c r="G92" s="171">
        <f t="shared" si="23"/>
        <v>8.9620104336838469E-3</v>
      </c>
      <c r="H92" s="201">
        <f t="shared" si="30"/>
        <v>-8.9891391873047361E-3</v>
      </c>
      <c r="I92" s="220">
        <v>330734.09999999998</v>
      </c>
      <c r="J92" s="169">
        <v>400000</v>
      </c>
      <c r="K92" s="169">
        <f t="shared" si="31"/>
        <v>8831.3199999999488</v>
      </c>
      <c r="L92" s="171">
        <f t="shared" si="26"/>
        <v>2.7434742874851679E-2</v>
      </c>
      <c r="M92" s="175">
        <f t="shared" si="20"/>
        <v>-69265.900000000023</v>
      </c>
      <c r="N92" s="183">
        <f t="shared" si="21"/>
        <v>-0.17316475000000006</v>
      </c>
      <c r="O92" s="183">
        <f t="shared" si="28"/>
        <v>-0.49412831982421895</v>
      </c>
      <c r="P92" s="175" t="b">
        <f t="shared" si="32"/>
        <v>1</v>
      </c>
      <c r="Q92" s="183">
        <f>COUNTIF(P$2:P92, TRUE)/(COUNTIF(P$2:P92,FALSE) + COUNTIF(P$2:P92, TRUE))</f>
        <v>0.45054945054945056</v>
      </c>
      <c r="R92" s="335"/>
      <c r="S92" s="335"/>
      <c r="T92" s="335"/>
      <c r="U92" s="335"/>
      <c r="V92" s="183">
        <f>STDEV(D$2:D92)*SQRT(252)</f>
        <v>0.20486368921422393</v>
      </c>
      <c r="W92" s="183">
        <f>STDEV(L$2:L92)*SQRT(252)</f>
        <v>0.29978352577242878</v>
      </c>
      <c r="X92" s="174">
        <f t="shared" si="33"/>
        <v>-1.6482837692666303</v>
      </c>
    </row>
    <row r="93" spans="1:24" ht="20.100000000000001" customHeight="1" x14ac:dyDescent="0.25">
      <c r="A93" s="163">
        <f t="shared" si="27"/>
        <v>129</v>
      </c>
      <c r="B93" s="167">
        <v>42362</v>
      </c>
      <c r="C93" s="204">
        <v>2060.9899999999998</v>
      </c>
      <c r="D93" s="171">
        <f t="shared" si="25"/>
        <v>-1.5986125980362168E-3</v>
      </c>
      <c r="E93" s="199">
        <f t="shared" si="29"/>
        <v>-1.9715188067198242E-2</v>
      </c>
      <c r="F93" s="216">
        <v>5048.49</v>
      </c>
      <c r="G93" s="171">
        <f t="shared" si="23"/>
        <v>5.0733957863059742E-4</v>
      </c>
      <c r="H93" s="201">
        <f t="shared" si="30"/>
        <v>-8.4863601547616793E-3</v>
      </c>
      <c r="I93" s="220">
        <v>331472.32</v>
      </c>
      <c r="J93" s="169">
        <v>400000</v>
      </c>
      <c r="K93" s="169">
        <f t="shared" si="31"/>
        <v>738.22000000003027</v>
      </c>
      <c r="L93" s="171">
        <f t="shared" si="26"/>
        <v>2.2320649730403676E-3</v>
      </c>
      <c r="M93" s="175">
        <f t="shared" si="20"/>
        <v>-68527.679999999993</v>
      </c>
      <c r="N93" s="183">
        <f t="shared" si="21"/>
        <v>-0.17131919999999998</v>
      </c>
      <c r="O93" s="183">
        <f t="shared" si="28"/>
        <v>-0.48507238604651154</v>
      </c>
      <c r="P93" s="175" t="b">
        <f t="shared" si="32"/>
        <v>1</v>
      </c>
      <c r="Q93" s="183">
        <f>COUNTIF(P$2:P93, TRUE)/(COUNTIF(P$2:P93,FALSE) + COUNTIF(P$2:P93, TRUE))</f>
        <v>0.45652173913043476</v>
      </c>
      <c r="R93" s="335"/>
      <c r="S93" s="335"/>
      <c r="T93" s="335"/>
      <c r="U93" s="335"/>
      <c r="V93" s="183">
        <f>STDEV(D$2:D93)*SQRT(252)</f>
        <v>0.20373721805124861</v>
      </c>
      <c r="W93" s="183">
        <f>STDEV(L$2:L93)*SQRT(252)</f>
        <v>0.29815917239051543</v>
      </c>
      <c r="X93" s="174">
        <f t="shared" si="33"/>
        <v>-1.6268907045770358</v>
      </c>
    </row>
    <row r="94" spans="1:24" ht="20.100000000000001" customHeight="1" x14ac:dyDescent="0.25">
      <c r="A94" s="163">
        <f t="shared" si="27"/>
        <v>133</v>
      </c>
      <c r="B94" s="172">
        <v>42366</v>
      </c>
      <c r="C94" s="215">
        <v>2056.5</v>
      </c>
      <c r="D94" s="171">
        <f t="shared" si="25"/>
        <v>-2.178564670376752E-3</v>
      </c>
      <c r="E94" s="209">
        <f t="shared" si="29"/>
        <v>-2.1850801925381962E-2</v>
      </c>
      <c r="F94" s="219">
        <v>5040.99</v>
      </c>
      <c r="G94" s="171">
        <f t="shared" si="23"/>
        <v>-1.4855927217841374E-3</v>
      </c>
      <c r="H94" s="203">
        <f t="shared" si="30"/>
        <v>-9.9593456016654636E-3</v>
      </c>
      <c r="I94" s="221">
        <v>324433.87</v>
      </c>
      <c r="J94" s="173">
        <v>400000</v>
      </c>
      <c r="K94" s="173">
        <f t="shared" si="31"/>
        <v>-7038.4500000000116</v>
      </c>
      <c r="L94" s="171">
        <f t="shared" si="26"/>
        <v>-2.1233899711445021E-2</v>
      </c>
      <c r="M94" s="182">
        <f t="shared" ref="M94:M125" si="34">I94-J94</f>
        <v>-75566.13</v>
      </c>
      <c r="N94" s="184">
        <f t="shared" ref="N94:N125" si="35">M94/J94</f>
        <v>-0.18891532500000002</v>
      </c>
      <c r="O94" s="183">
        <f t="shared" si="28"/>
        <v>-0.51880693576127823</v>
      </c>
      <c r="P94" s="182" t="b">
        <f t="shared" si="32"/>
        <v>0</v>
      </c>
      <c r="Q94" s="184">
        <f>COUNTIF(P$2:P94, TRUE)/(COUNTIF(P$2:P94,FALSE) + COUNTIF(P$2:P94, TRUE))</f>
        <v>0.45161290322580644</v>
      </c>
      <c r="R94" s="336"/>
      <c r="S94" s="336"/>
      <c r="T94" s="336"/>
      <c r="U94" s="336"/>
      <c r="V94" s="184">
        <f>STDEV(D$2:D94)*SQRT(252)</f>
        <v>0.20264285644820698</v>
      </c>
      <c r="W94" s="184">
        <f>STDEV(L$2:L94)*SQRT(252)</f>
        <v>0.29842518034690152</v>
      </c>
      <c r="X94" s="174">
        <f t="shared" si="33"/>
        <v>-1.7384824402491641</v>
      </c>
    </row>
    <row r="95" spans="1:24" ht="20.100000000000001" customHeight="1" x14ac:dyDescent="0.25">
      <c r="A95" s="163">
        <f t="shared" si="27"/>
        <v>134</v>
      </c>
      <c r="B95" s="172">
        <v>42367</v>
      </c>
      <c r="C95" s="208">
        <v>2078.36</v>
      </c>
      <c r="D95" s="171">
        <f t="shared" si="25"/>
        <v>1.0629710673474412E-2</v>
      </c>
      <c r="E95" s="209">
        <f t="shared" si="29"/>
        <v>-1.1453358954357758E-2</v>
      </c>
      <c r="F95" s="219">
        <v>5107.9399999999996</v>
      </c>
      <c r="G95" s="171">
        <f t="shared" si="23"/>
        <v>1.3281121367033027E-2</v>
      </c>
      <c r="H95" s="203">
        <f t="shared" si="30"/>
        <v>3.1895044876956188E-3</v>
      </c>
      <c r="I95" s="221">
        <v>326263</v>
      </c>
      <c r="J95" s="173">
        <v>400000</v>
      </c>
      <c r="K95" s="173">
        <f t="shared" si="31"/>
        <v>1829.1300000000047</v>
      </c>
      <c r="L95" s="171">
        <f t="shared" si="26"/>
        <v>5.6379132055478813E-3</v>
      </c>
      <c r="M95" s="182">
        <f t="shared" si="34"/>
        <v>-73737</v>
      </c>
      <c r="N95" s="184">
        <f t="shared" si="35"/>
        <v>-0.18434249999999999</v>
      </c>
      <c r="O95" s="183">
        <f t="shared" si="28"/>
        <v>-0.50247088152985075</v>
      </c>
      <c r="P95" s="182" t="b">
        <f t="shared" si="32"/>
        <v>0</v>
      </c>
      <c r="Q95" s="184">
        <f>COUNTIF(P$2:P95, TRUE)/(COUNTIF(P$2:P95,FALSE) + COUNTIF(P$2:P95, TRUE))</f>
        <v>0.44680851063829785</v>
      </c>
      <c r="R95" s="336"/>
      <c r="S95" s="336"/>
      <c r="T95" s="336"/>
      <c r="U95" s="336"/>
      <c r="V95" s="184">
        <f>STDEV(D$2:D95)*SQRT(252)</f>
        <v>0.2023195411541808</v>
      </c>
      <c r="W95" s="184">
        <f>STDEV(L$2:L95)*SQRT(252)</f>
        <v>0.29700566198828871</v>
      </c>
      <c r="X95" s="174">
        <f t="shared" si="33"/>
        <v>-1.6917888977808908</v>
      </c>
    </row>
    <row r="96" spans="1:24" ht="20.100000000000001" customHeight="1" x14ac:dyDescent="0.25">
      <c r="A96" s="163">
        <f t="shared" si="27"/>
        <v>135</v>
      </c>
      <c r="B96" s="172">
        <v>42368</v>
      </c>
      <c r="C96" s="208">
        <v>2063.36</v>
      </c>
      <c r="D96" s="171">
        <f t="shared" si="25"/>
        <v>-7.2172289689947837E-3</v>
      </c>
      <c r="E96" s="209">
        <f>(C96-$C$2)/$C$2</f>
        <v>-1.8587926409314857E-2</v>
      </c>
      <c r="F96" s="219">
        <v>5065.84</v>
      </c>
      <c r="G96" s="171">
        <f t="shared" si="23"/>
        <v>-8.242070188764836E-3</v>
      </c>
      <c r="H96" s="203">
        <f t="shared" si="30"/>
        <v>-5.0788538209241849E-3</v>
      </c>
      <c r="I96" s="221">
        <v>318053.19</v>
      </c>
      <c r="J96" s="173">
        <v>400000</v>
      </c>
      <c r="K96" s="173">
        <f t="shared" si="31"/>
        <v>-8209.8099999999977</v>
      </c>
      <c r="L96" s="171">
        <f t="shared" si="26"/>
        <v>-2.5163165912162881E-2</v>
      </c>
      <c r="M96" s="182">
        <f t="shared" si="34"/>
        <v>-81946.81</v>
      </c>
      <c r="N96" s="184">
        <f t="shared" si="35"/>
        <v>-0.20486702499999998</v>
      </c>
      <c r="O96" s="183">
        <f t="shared" si="28"/>
        <v>-0.55427911763888882</v>
      </c>
      <c r="P96" s="182" t="b">
        <f t="shared" si="32"/>
        <v>0</v>
      </c>
      <c r="Q96" s="184">
        <f>COUNTIF(P$2:P96, TRUE)/(COUNTIF(P$2:P96,FALSE) + COUNTIF(P$2:P96, TRUE))</f>
        <v>0.44210526315789472</v>
      </c>
      <c r="R96" s="336"/>
      <c r="S96" s="336"/>
      <c r="T96" s="336"/>
      <c r="U96" s="336"/>
      <c r="V96" s="184">
        <f>STDEV(D$2:D96)*SQRT(252)</f>
        <v>0.20157138397467259</v>
      </c>
      <c r="W96" s="184">
        <f>STDEV(L$2:L96)*SQRT(252)</f>
        <v>0.29803742324397353</v>
      </c>
      <c r="X96" s="174">
        <f t="shared" si="33"/>
        <v>-1.8597634874367968</v>
      </c>
    </row>
    <row r="97" spans="1:24" ht="20.100000000000001" customHeight="1" x14ac:dyDescent="0.25">
      <c r="A97" s="163">
        <f t="shared" si="27"/>
        <v>136</v>
      </c>
      <c r="B97" s="172">
        <v>42369</v>
      </c>
      <c r="C97" s="208">
        <v>2043.94</v>
      </c>
      <c r="D97" s="171">
        <f t="shared" si="25"/>
        <v>-9.4118331265509031E-3</v>
      </c>
      <c r="E97" s="209">
        <f>(C97-$C$2)/$C$2</f>
        <v>-2.7824813074332679E-2</v>
      </c>
      <c r="F97" s="219">
        <v>5007.41</v>
      </c>
      <c r="G97" s="171">
        <f t="shared" si="23"/>
        <v>-1.1534118724634076E-2</v>
      </c>
      <c r="H97" s="203">
        <f t="shared" si="30"/>
        <v>-1.655439244260266E-2</v>
      </c>
      <c r="I97" s="415">
        <v>320884.32</v>
      </c>
      <c r="J97" s="173">
        <v>400000</v>
      </c>
      <c r="K97" s="173">
        <f t="shared" si="31"/>
        <v>2831.1300000000047</v>
      </c>
      <c r="L97" s="171">
        <f t="shared" si="26"/>
        <v>8.9014356372278634E-3</v>
      </c>
      <c r="M97" s="182">
        <f t="shared" si="34"/>
        <v>-79115.679999999993</v>
      </c>
      <c r="N97" s="184">
        <f t="shared" si="35"/>
        <v>-0.19778919999999997</v>
      </c>
      <c r="O97" s="183">
        <f t="shared" si="28"/>
        <v>-0.53119489191176461</v>
      </c>
      <c r="P97" s="182" t="b">
        <f t="shared" si="32"/>
        <v>1</v>
      </c>
      <c r="Q97" s="184">
        <f>COUNTIF(P$2:P97, TRUE)/(COUNTIF(P$2:P97,FALSE) + COUNTIF(P$2:P97, TRUE))</f>
        <v>0.44791666666666669</v>
      </c>
      <c r="R97" s="336"/>
      <c r="S97" s="336"/>
      <c r="T97" s="336"/>
      <c r="U97" s="336"/>
      <c r="V97" s="184">
        <f>STDEV(D$2:D97)*SQRT(252)</f>
        <v>0.20106669704355981</v>
      </c>
      <c r="W97" s="184">
        <f>STDEV(L$2:L97)*SQRT(252)</f>
        <v>0.29691114338787766</v>
      </c>
      <c r="X97" s="174">
        <f t="shared" si="33"/>
        <v>-1.7890702445540221</v>
      </c>
    </row>
    <row r="98" spans="1:24" ht="20.100000000000001" customHeight="1" x14ac:dyDescent="0.25">
      <c r="A98" s="163">
        <f t="shared" si="27"/>
        <v>140</v>
      </c>
      <c r="B98" s="167">
        <v>42373</v>
      </c>
      <c r="C98" s="198">
        <v>2012.66</v>
      </c>
      <c r="D98" s="171">
        <f t="shared" si="25"/>
        <v>-1.5303776040392561E-2</v>
      </c>
      <c r="E98" s="199">
        <f t="shared" ref="E98:E103" si="36">(C98-$C$2)/$C$2</f>
        <v>-4.2702764407069868E-2</v>
      </c>
      <c r="F98" s="216">
        <v>4903.08</v>
      </c>
      <c r="G98" s="171">
        <f t="shared" si="23"/>
        <v>-2.0835122348679243E-2</v>
      </c>
      <c r="H98" s="201">
        <f t="shared" si="30"/>
        <v>-3.7044601999332225E-2</v>
      </c>
      <c r="I98" s="220">
        <v>323756.46999999997</v>
      </c>
      <c r="J98" s="169">
        <v>400000</v>
      </c>
      <c r="K98" s="169">
        <f t="shared" si="31"/>
        <v>2872.1499999999651</v>
      </c>
      <c r="L98" s="171">
        <f t="shared" si="26"/>
        <v>8.950733398253816E-3</v>
      </c>
      <c r="M98" s="175">
        <f t="shared" si="34"/>
        <v>-76243.530000000028</v>
      </c>
      <c r="N98" s="183">
        <f t="shared" si="35"/>
        <v>-0.19060882500000007</v>
      </c>
      <c r="O98" s="183">
        <f t="shared" si="28"/>
        <v>-0.49728480950892878</v>
      </c>
      <c r="P98" s="175" t="b">
        <f t="shared" si="32"/>
        <v>1</v>
      </c>
      <c r="Q98" s="183">
        <f>COUNTIF(P$2:P98, TRUE)/(COUNTIF(P$2:P98,FALSE) + COUNTIF(P$2:P98, TRUE))</f>
        <v>0.45360824742268041</v>
      </c>
      <c r="R98" s="335"/>
      <c r="S98" s="335"/>
      <c r="T98" s="335"/>
      <c r="U98" s="335"/>
      <c r="V98" s="183">
        <f>STDEV(D$2:D98)*SQRT(252)</f>
        <v>0.20149367115092381</v>
      </c>
      <c r="W98" s="183">
        <f>STDEV(L$2:L98)*SQRT(252)</f>
        <v>0.29579926006722401</v>
      </c>
      <c r="X98" s="174">
        <f t="shared" si="33"/>
        <v>-1.6811563673144914</v>
      </c>
    </row>
    <row r="99" spans="1:24" ht="20.100000000000001" customHeight="1" x14ac:dyDescent="0.25">
      <c r="A99" s="163">
        <f t="shared" si="27"/>
        <v>141</v>
      </c>
      <c r="B99" s="167">
        <v>42374</v>
      </c>
      <c r="C99" s="198">
        <v>2016.71</v>
      </c>
      <c r="D99" s="171">
        <f t="shared" si="25"/>
        <v>2.0122623791400209E-3</v>
      </c>
      <c r="E99" s="199">
        <f t="shared" si="36"/>
        <v>-4.0776431194231473E-2</v>
      </c>
      <c r="F99" s="216">
        <v>4891.43</v>
      </c>
      <c r="G99" s="171">
        <f t="shared" si="23"/>
        <v>-2.3760574985518565E-3</v>
      </c>
      <c r="H99" s="201">
        <f t="shared" si="30"/>
        <v>-3.9332639393522703E-2</v>
      </c>
      <c r="I99" s="220">
        <v>326120.51</v>
      </c>
      <c r="J99" s="169">
        <v>400000</v>
      </c>
      <c r="K99" s="169">
        <f t="shared" si="31"/>
        <v>2364.0400000000373</v>
      </c>
      <c r="L99" s="171">
        <f t="shared" si="26"/>
        <v>7.3019081286623787E-3</v>
      </c>
      <c r="M99" s="175">
        <f t="shared" si="34"/>
        <v>-73879.489999999991</v>
      </c>
      <c r="N99" s="183">
        <f t="shared" si="35"/>
        <v>-0.18469872499999998</v>
      </c>
      <c r="O99" s="183">
        <f t="shared" si="28"/>
        <v>-0.4784482929521276</v>
      </c>
      <c r="P99" s="175" t="b">
        <f t="shared" si="32"/>
        <v>1</v>
      </c>
      <c r="Q99" s="183">
        <f>COUNTIF(P$2:P99, TRUE)/(COUNTIF(P$2:P99,FALSE) + COUNTIF(P$2:P99, TRUE))</f>
        <v>0.45918367346938777</v>
      </c>
      <c r="R99" s="335"/>
      <c r="S99" s="335"/>
      <c r="T99" s="335"/>
      <c r="U99" s="335"/>
      <c r="V99" s="183">
        <f>STDEV(D$2:D99)*SQRT(252)</f>
        <v>0.20047839614181759</v>
      </c>
      <c r="W99" s="183">
        <f>STDEV(L$2:L99)*SQRT(252)</f>
        <v>0.29456352660323443</v>
      </c>
      <c r="X99" s="174">
        <f t="shared" si="33"/>
        <v>-1.6242618306121068</v>
      </c>
    </row>
    <row r="100" spans="1:24" ht="20.100000000000001" customHeight="1" x14ac:dyDescent="0.25">
      <c r="A100" s="163">
        <f t="shared" si="27"/>
        <v>142</v>
      </c>
      <c r="B100" s="167">
        <v>42375</v>
      </c>
      <c r="C100" s="198">
        <v>1990.26</v>
      </c>
      <c r="D100" s="171">
        <f t="shared" si="25"/>
        <v>-1.3115420660382527E-2</v>
      </c>
      <c r="E100" s="199">
        <f t="shared" si="36"/>
        <v>-5.3357051806472509E-2</v>
      </c>
      <c r="F100" s="216">
        <v>4835.76</v>
      </c>
      <c r="G100" s="171">
        <f t="shared" si="23"/>
        <v>-1.1381129853641996E-2</v>
      </c>
      <c r="H100" s="201">
        <f t="shared" si="30"/>
        <v>-5.026611937074054E-2</v>
      </c>
      <c r="I100" s="220">
        <v>307215.3</v>
      </c>
      <c r="J100" s="169">
        <v>400000</v>
      </c>
      <c r="K100" s="169">
        <f t="shared" si="31"/>
        <v>-18905.210000000021</v>
      </c>
      <c r="L100" s="171">
        <f t="shared" si="26"/>
        <v>-5.7970012373646844E-2</v>
      </c>
      <c r="M100" s="175">
        <f t="shared" si="34"/>
        <v>-92784.700000000012</v>
      </c>
      <c r="N100" s="183">
        <f t="shared" si="35"/>
        <v>-0.23196175000000002</v>
      </c>
      <c r="O100" s="183">
        <f t="shared" si="28"/>
        <v>-0.59664809286971832</v>
      </c>
      <c r="P100" s="175" t="b">
        <f t="shared" si="32"/>
        <v>0</v>
      </c>
      <c r="Q100" s="183">
        <f>COUNTIF(P$2:P100, TRUE)/(COUNTIF(P$2:P100,FALSE) + COUNTIF(P$2:P100, TRUE))</f>
        <v>0.45454545454545453</v>
      </c>
      <c r="R100" s="335"/>
      <c r="S100" s="335"/>
      <c r="T100" s="335"/>
      <c r="U100" s="335"/>
      <c r="V100" s="183">
        <f>STDEV(D$2:D100)*SQRT(252)</f>
        <v>0.20049006957671658</v>
      </c>
      <c r="W100" s="183">
        <f>STDEV(L$2:L100)*SQRT(252)</f>
        <v>0.30696087260477756</v>
      </c>
      <c r="X100" s="174">
        <f t="shared" si="33"/>
        <v>-1.9437268594096122</v>
      </c>
    </row>
    <row r="101" spans="1:24" ht="20.100000000000001" customHeight="1" x14ac:dyDescent="0.25">
      <c r="A101" s="163">
        <f t="shared" si="27"/>
        <v>143</v>
      </c>
      <c r="B101" s="167">
        <v>42376</v>
      </c>
      <c r="C101" s="204">
        <v>1943.09</v>
      </c>
      <c r="D101" s="171">
        <f t="shared" si="25"/>
        <v>-2.3700421050516049E-2</v>
      </c>
      <c r="E101" s="199">
        <f t="shared" si="36"/>
        <v>-7.5792888263160968E-2</v>
      </c>
      <c r="F101" s="216">
        <v>4689.42</v>
      </c>
      <c r="G101" s="171">
        <f t="shared" si="23"/>
        <v>-3.0262047744304958E-2</v>
      </c>
      <c r="H101" s="201">
        <f t="shared" si="30"/>
        <v>-7.9007011410727218E-2</v>
      </c>
      <c r="I101" s="220">
        <v>296450.84999999998</v>
      </c>
      <c r="J101" s="169">
        <v>400000</v>
      </c>
      <c r="K101" s="169">
        <f t="shared" si="31"/>
        <v>-10764.450000000012</v>
      </c>
      <c r="L101" s="171">
        <f t="shared" si="26"/>
        <v>-3.503878224814979E-2</v>
      </c>
      <c r="M101" s="175">
        <f t="shared" si="34"/>
        <v>-103549.15000000002</v>
      </c>
      <c r="N101" s="183">
        <f t="shared" si="35"/>
        <v>-0.25887287500000006</v>
      </c>
      <c r="O101" s="183">
        <f t="shared" si="28"/>
        <v>-0.66121201114510508</v>
      </c>
      <c r="P101" s="175" t="b">
        <f t="shared" si="32"/>
        <v>0</v>
      </c>
      <c r="Q101" s="183">
        <f>COUNTIF(P$2:P101, TRUE)/(COUNTIF(P$2:P101,FALSE) + COUNTIF(P$2:P101, TRUE))</f>
        <v>0.45</v>
      </c>
      <c r="R101" s="335"/>
      <c r="S101" s="335"/>
      <c r="T101" s="335"/>
      <c r="U101" s="335"/>
      <c r="V101" s="183">
        <f>STDEV(D$2:D101)*SQRT(252)</f>
        <v>0.20287568849216503</v>
      </c>
      <c r="W101" s="183">
        <f>STDEV(L$2:L101)*SQRT(252)</f>
        <v>0.3100263800011836</v>
      </c>
      <c r="X101" s="174">
        <f t="shared" si="33"/>
        <v>-2.132760480390671</v>
      </c>
    </row>
    <row r="102" spans="1:24" ht="20.100000000000001" customHeight="1" x14ac:dyDescent="0.25">
      <c r="A102" s="163">
        <f t="shared" si="27"/>
        <v>144</v>
      </c>
      <c r="B102" s="167">
        <v>42377</v>
      </c>
      <c r="C102" s="204">
        <v>1922.03</v>
      </c>
      <c r="D102" s="171">
        <f t="shared" si="25"/>
        <v>-1.0838406867412187E-2</v>
      </c>
      <c r="E102" s="199">
        <f t="shared" si="36"/>
        <v>-8.5809820969920694E-2</v>
      </c>
      <c r="F102" s="216">
        <v>4643.63</v>
      </c>
      <c r="G102" s="171">
        <f t="shared" si="23"/>
        <v>-9.7645337802969162E-3</v>
      </c>
      <c r="H102" s="201">
        <f t="shared" si="30"/>
        <v>-8.8000078559223788E-2</v>
      </c>
      <c r="I102" s="220">
        <v>291709.24</v>
      </c>
      <c r="J102" s="169">
        <v>400000</v>
      </c>
      <c r="K102" s="169">
        <f t="shared" si="31"/>
        <v>-4741.609999999986</v>
      </c>
      <c r="L102" s="171">
        <f t="shared" si="26"/>
        <v>-1.5994590671607068E-2</v>
      </c>
      <c r="M102" s="175">
        <f t="shared" si="34"/>
        <v>-108290.76000000001</v>
      </c>
      <c r="N102" s="183">
        <f t="shared" si="35"/>
        <v>-0.27072690000000005</v>
      </c>
      <c r="O102" s="183">
        <f t="shared" si="28"/>
        <v>-0.68668750156250014</v>
      </c>
      <c r="P102" s="175" t="b">
        <f t="shared" si="32"/>
        <v>0</v>
      </c>
      <c r="Q102" s="183">
        <f>COUNTIF(P$2:P102, TRUE)/(COUNTIF(P$2:P102,FALSE) + COUNTIF(P$2:P102, TRUE))</f>
        <v>0.44554455445544555</v>
      </c>
      <c r="R102" s="335"/>
      <c r="S102" s="335"/>
      <c r="T102" s="335"/>
      <c r="U102" s="335"/>
      <c r="V102" s="183">
        <f>STDEV(D$2:D102)*SQRT(252)</f>
        <v>0.20248720457618641</v>
      </c>
      <c r="W102" s="183">
        <f>STDEV(L$2:L102)*SQRT(252)</f>
        <v>0.30926714125463156</v>
      </c>
      <c r="X102" s="174">
        <f t="shared" si="33"/>
        <v>-2.2203700618719266</v>
      </c>
    </row>
    <row r="103" spans="1:24" ht="20.100000000000001" customHeight="1" x14ac:dyDescent="0.25">
      <c r="A103" s="163">
        <f t="shared" si="27"/>
        <v>147</v>
      </c>
      <c r="B103" s="172">
        <v>42380</v>
      </c>
      <c r="C103" s="215">
        <v>1923.67</v>
      </c>
      <c r="D103" s="171">
        <f t="shared" si="25"/>
        <v>8.5326451720321749E-4</v>
      </c>
      <c r="E103" s="209">
        <f t="shared" si="36"/>
        <v>-8.5029774928178675E-2</v>
      </c>
      <c r="F103" s="219">
        <v>4637.9799999999996</v>
      </c>
      <c r="G103" s="171">
        <f t="shared" si="23"/>
        <v>-1.2167205397502698E-3</v>
      </c>
      <c r="H103" s="203">
        <f t="shared" si="30"/>
        <v>-8.9109727595891405E-2</v>
      </c>
      <c r="I103" s="221">
        <v>278511.46999999997</v>
      </c>
      <c r="J103" s="173">
        <v>400000</v>
      </c>
      <c r="K103" s="173">
        <f t="shared" si="31"/>
        <v>-13197.770000000019</v>
      </c>
      <c r="L103" s="171">
        <f t="shared" si="26"/>
        <v>-4.5242893231630298E-2</v>
      </c>
      <c r="M103" s="182">
        <f t="shared" si="34"/>
        <v>-121488.53000000003</v>
      </c>
      <c r="N103" s="184">
        <f t="shared" si="35"/>
        <v>-0.3037213250000001</v>
      </c>
      <c r="O103" s="183">
        <f t="shared" si="28"/>
        <v>-0.75465451670918382</v>
      </c>
      <c r="P103" s="182" t="b">
        <f t="shared" si="32"/>
        <v>0</v>
      </c>
      <c r="Q103" s="184">
        <f>COUNTIF(P$2:P103, TRUE)/(COUNTIF(P$2:P103,FALSE) + COUNTIF(P$2:P103, TRUE))</f>
        <v>0.44117647058823528</v>
      </c>
      <c r="R103" s="336"/>
      <c r="S103" s="336"/>
      <c r="T103" s="336"/>
      <c r="U103" s="336"/>
      <c r="V103" s="184">
        <f>STDEV(D$2:D103)*SQRT(252)</f>
        <v>0.20148947946934948</v>
      </c>
      <c r="W103" s="184">
        <f>STDEV(L$2:L103)*SQRT(252)</f>
        <v>0.31519307674971891</v>
      </c>
      <c r="X103" s="174">
        <f t="shared" si="33"/>
        <v>-2.3942610811481182</v>
      </c>
    </row>
    <row r="104" spans="1:24" ht="20.100000000000001" customHeight="1" x14ac:dyDescent="0.25">
      <c r="A104" s="163">
        <f t="shared" si="27"/>
        <v>148</v>
      </c>
      <c r="B104" s="172">
        <v>42381</v>
      </c>
      <c r="C104" s="208">
        <v>1938.68</v>
      </c>
      <c r="D104" s="171">
        <f t="shared" si="25"/>
        <v>7.8027936184480659E-3</v>
      </c>
      <c r="E104" s="209">
        <f>(C104-$C$2)/$C$2</f>
        <v>-7.7890451094918281E-2</v>
      </c>
      <c r="F104" s="219">
        <v>4685.6099999999997</v>
      </c>
      <c r="G104" s="171">
        <f t="shared" si="23"/>
        <v>1.0269557005420487E-2</v>
      </c>
      <c r="H104" s="203">
        <f t="shared" si="30"/>
        <v>-7.9755288017754417E-2</v>
      </c>
      <c r="I104" s="221">
        <v>272280.59000000003</v>
      </c>
      <c r="J104" s="173">
        <v>400000</v>
      </c>
      <c r="K104" s="173">
        <f t="shared" si="31"/>
        <v>-6230.8799999999464</v>
      </c>
      <c r="L104" s="171">
        <f t="shared" si="26"/>
        <v>-2.2372076812491589E-2</v>
      </c>
      <c r="M104" s="182">
        <f t="shared" si="34"/>
        <v>-127719.40999999997</v>
      </c>
      <c r="N104" s="184">
        <f t="shared" si="35"/>
        <v>-0.31929852499999994</v>
      </c>
      <c r="O104" s="183">
        <f t="shared" si="28"/>
        <v>-0.78799855578547284</v>
      </c>
      <c r="P104" s="182" t="b">
        <f t="shared" si="32"/>
        <v>0</v>
      </c>
      <c r="Q104" s="184">
        <f>COUNTIF(P$2:P104, TRUE)/(COUNTIF(P$2:P104,FALSE) + COUNTIF(P$2:P104, TRUE))</f>
        <v>0.43689320388349512</v>
      </c>
      <c r="R104" s="336"/>
      <c r="S104" s="336"/>
      <c r="T104" s="336"/>
      <c r="U104" s="336"/>
      <c r="V104" s="184">
        <f>STDEV(D$2:D104)*SQRT(252)</f>
        <v>0.20094495344626548</v>
      </c>
      <c r="W104" s="184">
        <f>STDEV(L$2:L104)*SQRT(252)</f>
        <v>0.31518540993187888</v>
      </c>
      <c r="X104" s="174">
        <f t="shared" si="33"/>
        <v>-2.5001111439637489</v>
      </c>
    </row>
    <row r="105" spans="1:24" ht="20.100000000000001" customHeight="1" x14ac:dyDescent="0.25">
      <c r="A105" s="163">
        <f t="shared" si="27"/>
        <v>149</v>
      </c>
      <c r="B105" s="172">
        <v>42382</v>
      </c>
      <c r="C105" s="208">
        <v>1890.28</v>
      </c>
      <c r="D105" s="171">
        <f t="shared" si="25"/>
        <v>-2.4965440402748309E-2</v>
      </c>
      <c r="E105" s="209">
        <f>(C105-$C$2)/$C$2</f>
        <v>-0.10091132208291323</v>
      </c>
      <c r="F105" s="219">
        <v>4526.0600000000004</v>
      </c>
      <c r="G105" s="171">
        <f t="shared" si="23"/>
        <v>-3.4051062721822623E-2</v>
      </c>
      <c r="H105" s="203">
        <f t="shared" si="30"/>
        <v>-0.11109059842488746</v>
      </c>
      <c r="I105" s="221">
        <v>259060.64</v>
      </c>
      <c r="J105" s="173">
        <v>400000</v>
      </c>
      <c r="K105" s="173">
        <f t="shared" si="31"/>
        <v>-13219.950000000012</v>
      </c>
      <c r="L105" s="171">
        <f t="shared" si="26"/>
        <v>-4.8552671345394142E-2</v>
      </c>
      <c r="M105" s="182">
        <f t="shared" si="34"/>
        <v>-140939.35999999999</v>
      </c>
      <c r="N105" s="184">
        <f t="shared" si="35"/>
        <v>-0.35234839999999995</v>
      </c>
      <c r="O105" s="183">
        <f t="shared" si="28"/>
        <v>-0.86372653087248308</v>
      </c>
      <c r="P105" s="182" t="b">
        <f t="shared" si="32"/>
        <v>0</v>
      </c>
      <c r="Q105" s="184">
        <f>COUNTIF(P$2:P105, TRUE)/(COUNTIF(P$2:P105,FALSE) + COUNTIF(P$2:P105, TRUE))</f>
        <v>0.43269230769230771</v>
      </c>
      <c r="R105" s="336"/>
      <c r="S105" s="336"/>
      <c r="T105" s="336"/>
      <c r="U105" s="336"/>
      <c r="V105" s="184">
        <f>STDEV(D$2:D105)*SQRT(252)</f>
        <v>0.20352342454405692</v>
      </c>
      <c r="W105" s="184">
        <f>STDEV(L$2:L105)*SQRT(252)</f>
        <v>0.32174542830097441</v>
      </c>
      <c r="X105" s="174">
        <f t="shared" si="33"/>
        <v>-2.6845028861280862</v>
      </c>
    </row>
    <row r="106" spans="1:24" ht="20.100000000000001" customHeight="1" x14ac:dyDescent="0.25">
      <c r="A106" s="163">
        <f t="shared" si="27"/>
        <v>150</v>
      </c>
      <c r="B106" s="172">
        <v>42383</v>
      </c>
      <c r="C106" s="208">
        <v>1921.84</v>
      </c>
      <c r="D106" s="171">
        <f t="shared" si="25"/>
        <v>1.6695939225934753E-2</v>
      </c>
      <c r="E106" s="209">
        <f t="shared" ref="E106:E113" si="37">(C106-$C$2)/$C$2</f>
        <v>-8.5900192157683519E-2</v>
      </c>
      <c r="F106" s="219">
        <v>4615</v>
      </c>
      <c r="G106" s="171">
        <f t="shared" si="23"/>
        <v>1.9650645373680331E-2</v>
      </c>
      <c r="H106" s="203">
        <f t="shared" si="30"/>
        <v>-9.3622955005204511E-2</v>
      </c>
      <c r="I106" s="221">
        <v>267077.40000000002</v>
      </c>
      <c r="J106" s="173">
        <v>400000</v>
      </c>
      <c r="K106" s="173">
        <f t="shared" si="31"/>
        <v>8016.7600000000093</v>
      </c>
      <c r="L106" s="171">
        <f t="shared" si="26"/>
        <v>3.0945496004333228E-2</v>
      </c>
      <c r="M106" s="182">
        <f t="shared" si="34"/>
        <v>-132922.59999999998</v>
      </c>
      <c r="N106" s="184">
        <f t="shared" si="35"/>
        <v>-0.33230649999999995</v>
      </c>
      <c r="O106" s="183">
        <f t="shared" si="28"/>
        <v>-0.80916632749999995</v>
      </c>
      <c r="P106" s="182" t="b">
        <f t="shared" si="32"/>
        <v>1</v>
      </c>
      <c r="Q106" s="184">
        <f>COUNTIF(P$2:P106, TRUE)/(COUNTIF(P$2:P106,FALSE) + COUNTIF(P$2:P106, TRUE))</f>
        <v>0.43809523809523809</v>
      </c>
      <c r="R106" s="336"/>
      <c r="S106" s="336"/>
      <c r="T106" s="336"/>
      <c r="U106" s="336"/>
      <c r="V106" s="184">
        <f>STDEV(D$2:D106)*SQRT(252)</f>
        <v>0.20438733546247476</v>
      </c>
      <c r="W106" s="184">
        <f>STDEV(L$2:L106)*SQRT(252)</f>
        <v>0.32453820781135018</v>
      </c>
      <c r="X106" s="174">
        <f t="shared" si="33"/>
        <v>-2.4932852527809537</v>
      </c>
    </row>
    <row r="107" spans="1:24" ht="20.100000000000001" customHeight="1" x14ac:dyDescent="0.25">
      <c r="A107" s="163">
        <f t="shared" si="27"/>
        <v>151</v>
      </c>
      <c r="B107" s="172">
        <v>42384</v>
      </c>
      <c r="C107" s="208">
        <v>1880.33</v>
      </c>
      <c r="D107" s="171">
        <f t="shared" si="25"/>
        <v>-2.1599092536319357E-2</v>
      </c>
      <c r="E107" s="209">
        <f t="shared" si="37"/>
        <v>-0.10564391849470145</v>
      </c>
      <c r="F107" s="219">
        <v>4488.41</v>
      </c>
      <c r="G107" s="171">
        <f t="shared" si="23"/>
        <v>-2.7430119176598083E-2</v>
      </c>
      <c r="H107" s="203">
        <f t="shared" ref="H107:H121" si="38">(F107-F$2)/F$2</f>
        <v>-0.11848498536834456</v>
      </c>
      <c r="I107" s="221">
        <v>249397.57</v>
      </c>
      <c r="J107" s="173">
        <v>400000</v>
      </c>
      <c r="K107" s="173">
        <f t="shared" si="31"/>
        <v>-17679.830000000016</v>
      </c>
      <c r="L107" s="171">
        <f t="shared" si="26"/>
        <v>-6.619740195164403E-2</v>
      </c>
      <c r="M107" s="182">
        <f t="shared" si="34"/>
        <v>-150602.43</v>
      </c>
      <c r="N107" s="184">
        <f t="shared" si="35"/>
        <v>-0.376506075</v>
      </c>
      <c r="O107" s="183">
        <f t="shared" si="28"/>
        <v>-0.91072082048841063</v>
      </c>
      <c r="P107" s="182" t="b">
        <f t="shared" si="32"/>
        <v>0</v>
      </c>
      <c r="Q107" s="184">
        <f>COUNTIF(P$2:P107, TRUE)/(COUNTIF(P$2:P107,FALSE) + COUNTIF(P$2:P107, TRUE))</f>
        <v>0.43396226415094341</v>
      </c>
      <c r="R107" s="336"/>
      <c r="S107" s="336"/>
      <c r="T107" s="336"/>
      <c r="U107" s="336"/>
      <c r="V107" s="184">
        <f>STDEV(D$2:D107)*SQRT(252)</f>
        <v>0.20594332584152428</v>
      </c>
      <c r="W107" s="184">
        <f>STDEV(L$2:L107)*SQRT(252)</f>
        <v>0.33758588878684614</v>
      </c>
      <c r="X107" s="174">
        <f t="shared" si="33"/>
        <v>-2.6977455241425847</v>
      </c>
    </row>
    <row r="108" spans="1:24" ht="20.100000000000001" customHeight="1" x14ac:dyDescent="0.25">
      <c r="A108" s="163">
        <f t="shared" si="27"/>
        <v>155</v>
      </c>
      <c r="B108" s="167">
        <v>42388</v>
      </c>
      <c r="C108" s="198">
        <v>1881.33</v>
      </c>
      <c r="D108" s="171">
        <f t="shared" si="25"/>
        <v>5.3182154196337883E-4</v>
      </c>
      <c r="E108" s="199">
        <f t="shared" si="37"/>
        <v>-0.10516828066437098</v>
      </c>
      <c r="F108" s="216">
        <v>4476.95</v>
      </c>
      <c r="G108" s="171">
        <f t="shared" si="23"/>
        <v>-2.5532426850488339E-3</v>
      </c>
      <c r="H108" s="201">
        <f t="shared" si="38"/>
        <v>-0.12073570713121355</v>
      </c>
      <c r="I108" s="220">
        <v>241697.04</v>
      </c>
      <c r="J108" s="169">
        <v>400000</v>
      </c>
      <c r="K108" s="169">
        <f t="shared" si="31"/>
        <v>-7700.5300000000279</v>
      </c>
      <c r="L108" s="171">
        <f t="shared" si="26"/>
        <v>-3.0876523776875723E-2</v>
      </c>
      <c r="M108" s="175">
        <f t="shared" si="34"/>
        <v>-158302.96</v>
      </c>
      <c r="N108" s="183">
        <f t="shared" si="35"/>
        <v>-0.39575739999999998</v>
      </c>
      <c r="O108" s="183">
        <f t="shared" si="28"/>
        <v>-0.93258316354838711</v>
      </c>
      <c r="P108" s="175" t="b">
        <f t="shared" si="32"/>
        <v>0</v>
      </c>
      <c r="Q108" s="183">
        <f>COUNTIF(P$2:P108, TRUE)/(COUNTIF(P$2:P108,FALSE) + COUNTIF(P$2:P108, TRUE))</f>
        <v>0.42990654205607476</v>
      </c>
      <c r="R108" s="335"/>
      <c r="S108" s="335"/>
      <c r="T108" s="335"/>
      <c r="U108" s="335"/>
      <c r="V108" s="183">
        <f>STDEV(D$2:D108)*SQRT(252)</f>
        <v>0.20497353903003479</v>
      </c>
      <c r="W108" s="183">
        <f>STDEV(L$2:L108)*SQRT(252)</f>
        <v>0.33863790038958375</v>
      </c>
      <c r="X108" s="174">
        <f t="shared" si="33"/>
        <v>-2.7539243613178055</v>
      </c>
    </row>
    <row r="109" spans="1:24" ht="20.100000000000001" customHeight="1" x14ac:dyDescent="0.25">
      <c r="A109" s="163">
        <f t="shared" si="27"/>
        <v>156</v>
      </c>
      <c r="B109" s="167">
        <v>42389</v>
      </c>
      <c r="C109" s="198">
        <v>1859.33</v>
      </c>
      <c r="D109" s="171">
        <f t="shared" si="25"/>
        <v>-1.1693854879260949E-2</v>
      </c>
      <c r="E109" s="199">
        <f t="shared" si="37"/>
        <v>-0.11563231293164139</v>
      </c>
      <c r="F109" s="216">
        <v>4471.68</v>
      </c>
      <c r="G109" s="171">
        <f t="shared" si="23"/>
        <v>-1.1771406872981666E-3</v>
      </c>
      <c r="H109" s="201">
        <f t="shared" si="38"/>
        <v>-0.12177072490523785</v>
      </c>
      <c r="I109" s="220">
        <v>239001.56</v>
      </c>
      <c r="J109" s="169">
        <v>400000</v>
      </c>
      <c r="K109" s="169">
        <f t="shared" si="31"/>
        <v>-2695.4799999999814</v>
      </c>
      <c r="L109" s="171">
        <f t="shared" si="26"/>
        <v>-1.1152308691906121E-2</v>
      </c>
      <c r="M109" s="175">
        <f t="shared" si="34"/>
        <v>-160998.44</v>
      </c>
      <c r="N109" s="183">
        <f t="shared" si="35"/>
        <v>-0.40249610000000002</v>
      </c>
      <c r="O109" s="183">
        <f t="shared" si="28"/>
        <v>-0.94238269567307698</v>
      </c>
      <c r="P109" s="175" t="b">
        <f t="shared" si="32"/>
        <v>1</v>
      </c>
      <c r="Q109" s="183">
        <f>COUNTIF(P$2:P109, TRUE)/(COUNTIF(P$2:P109,FALSE) + COUNTIF(P$2:P109, TRUE))</f>
        <v>0.43518518518518517</v>
      </c>
      <c r="R109" s="335"/>
      <c r="S109" s="335"/>
      <c r="T109" s="335"/>
      <c r="U109" s="335"/>
      <c r="V109" s="183">
        <f>STDEV(D$2:D109)*SQRT(252)</f>
        <v>0.20466775158586656</v>
      </c>
      <c r="W109" s="183">
        <f>STDEV(L$2:L109)*SQRT(252)</f>
        <v>0.33723365750596535</v>
      </c>
      <c r="X109" s="174">
        <f t="shared" si="33"/>
        <v>-2.794450300846401</v>
      </c>
    </row>
    <row r="110" spans="1:24" ht="20.100000000000001" customHeight="1" x14ac:dyDescent="0.25">
      <c r="A110" s="163">
        <f t="shared" si="27"/>
        <v>157</v>
      </c>
      <c r="B110" s="167">
        <v>42390</v>
      </c>
      <c r="C110" s="198">
        <v>1868.99</v>
      </c>
      <c r="D110" s="171">
        <f t="shared" si="25"/>
        <v>5.1954198555394055E-3</v>
      </c>
      <c r="E110" s="199">
        <f t="shared" si="37"/>
        <v>-0.11103765149064898</v>
      </c>
      <c r="F110" s="216">
        <v>4472.0600000000004</v>
      </c>
      <c r="G110" s="171">
        <f t="shared" si="23"/>
        <v>8.4979247173346285E-5</v>
      </c>
      <c r="H110" s="201">
        <f t="shared" si="38"/>
        <v>-0.1216960936425947</v>
      </c>
      <c r="I110" s="220">
        <v>254991.51</v>
      </c>
      <c r="J110" s="169">
        <v>400000</v>
      </c>
      <c r="K110" s="169">
        <f t="shared" si="31"/>
        <v>15989.950000000012</v>
      </c>
      <c r="L110" s="171">
        <f t="shared" si="26"/>
        <v>6.6903119795536106E-2</v>
      </c>
      <c r="M110" s="175">
        <f t="shared" si="34"/>
        <v>-145008.49</v>
      </c>
      <c r="N110" s="183">
        <f t="shared" si="35"/>
        <v>-0.362521225</v>
      </c>
      <c r="O110" s="183">
        <f t="shared" si="28"/>
        <v>-0.84338138491242032</v>
      </c>
      <c r="P110" s="175" t="b">
        <f t="shared" si="32"/>
        <v>1</v>
      </c>
      <c r="Q110" s="183">
        <f>COUNTIF(P$2:P110, TRUE)/(COUNTIF(P$2:P110,FALSE) + COUNTIF(P$2:P110, TRUE))</f>
        <v>0.44036697247706424</v>
      </c>
      <c r="R110" s="335"/>
      <c r="S110" s="335"/>
      <c r="T110" s="335"/>
      <c r="U110" s="335"/>
      <c r="V110" s="183">
        <f>STDEV(D$2:D110)*SQRT(252)</f>
        <v>0.20393347244728127</v>
      </c>
      <c r="W110" s="183">
        <f>STDEV(L$2:L110)*SQRT(252)</f>
        <v>0.35256157198523613</v>
      </c>
      <c r="X110" s="174">
        <f t="shared" si="33"/>
        <v>-2.3921534617724527</v>
      </c>
    </row>
    <row r="111" spans="1:24" ht="20.100000000000001" customHeight="1" x14ac:dyDescent="0.25">
      <c r="A111" s="163">
        <f t="shared" si="27"/>
        <v>158</v>
      </c>
      <c r="B111" s="167">
        <v>42391</v>
      </c>
      <c r="C111" s="204">
        <v>1906.9</v>
      </c>
      <c r="D111" s="171">
        <f t="shared" si="25"/>
        <v>2.0283682630725729E-2</v>
      </c>
      <c r="E111" s="199">
        <f t="shared" si="37"/>
        <v>-9.3006221342820702E-2</v>
      </c>
      <c r="F111" s="216">
        <v>4591.18</v>
      </c>
      <c r="G111" s="171">
        <f t="shared" si="23"/>
        <v>2.6636494143638476E-2</v>
      </c>
      <c r="H111" s="201">
        <f t="shared" si="38"/>
        <v>-9.8301156784570881E-2</v>
      </c>
      <c r="I111" s="220">
        <v>260098.81</v>
      </c>
      <c r="J111" s="169">
        <v>400000</v>
      </c>
      <c r="K111" s="169">
        <f t="shared" si="31"/>
        <v>5107.2999999999884</v>
      </c>
      <c r="L111" s="171">
        <f t="shared" si="26"/>
        <v>2.0029294308661447E-2</v>
      </c>
      <c r="M111" s="175">
        <f t="shared" si="34"/>
        <v>-139901.19</v>
      </c>
      <c r="N111" s="183">
        <f t="shared" si="35"/>
        <v>-0.34975297500000002</v>
      </c>
      <c r="O111" s="183">
        <f t="shared" si="28"/>
        <v>-0.80852705138449377</v>
      </c>
      <c r="P111" s="175" t="b">
        <f t="shared" si="32"/>
        <v>0</v>
      </c>
      <c r="Q111" s="183">
        <f>COUNTIF(P$2:P111, TRUE)/(COUNTIF(P$2:P111,FALSE) + COUNTIF(P$2:P111, TRUE))</f>
        <v>0.43636363636363634</v>
      </c>
      <c r="R111" s="335"/>
      <c r="S111" s="335"/>
      <c r="T111" s="335"/>
      <c r="U111" s="335"/>
      <c r="V111" s="183">
        <f>STDEV(D$2:D111)*SQRT(252)</f>
        <v>0.20555239783673285</v>
      </c>
      <c r="W111" s="183">
        <f>STDEV(L$2:L111)*SQRT(252)</f>
        <v>0.35267737853182896</v>
      </c>
      <c r="X111" s="174">
        <f t="shared" si="33"/>
        <v>-2.2925401531290008</v>
      </c>
    </row>
    <row r="112" spans="1:24" ht="20.100000000000001" customHeight="1" x14ac:dyDescent="0.25">
      <c r="A112" s="163">
        <f t="shared" si="27"/>
        <v>161</v>
      </c>
      <c r="B112" s="172">
        <v>42394</v>
      </c>
      <c r="C112" s="215">
        <v>1877.08</v>
      </c>
      <c r="D112" s="171">
        <f t="shared" si="25"/>
        <v>-1.5637946405160294E-2</v>
      </c>
      <c r="E112" s="209">
        <f t="shared" si="37"/>
        <v>-0.10718974144327549</v>
      </c>
      <c r="F112" s="219">
        <v>4518.49</v>
      </c>
      <c r="G112" s="171">
        <f t="shared" si="23"/>
        <v>-1.5832531070443873E-2</v>
      </c>
      <c r="H112" s="203">
        <f t="shared" si="38"/>
        <v>-0.11257733173596246</v>
      </c>
      <c r="I112" s="221">
        <v>241845.81</v>
      </c>
      <c r="J112" s="173">
        <v>400000</v>
      </c>
      <c r="K112" s="173">
        <f t="shared" si="31"/>
        <v>-18253</v>
      </c>
      <c r="L112" s="171">
        <f t="shared" si="26"/>
        <v>-7.0177176127795435E-2</v>
      </c>
      <c r="M112" s="182">
        <f t="shared" si="34"/>
        <v>-158154.19</v>
      </c>
      <c r="N112" s="184">
        <f t="shared" si="35"/>
        <v>-0.39538547499999999</v>
      </c>
      <c r="O112" s="183">
        <f t="shared" si="28"/>
        <v>-0.89698474996118005</v>
      </c>
      <c r="P112" s="182" t="b">
        <f t="shared" si="32"/>
        <v>0</v>
      </c>
      <c r="Q112" s="184">
        <f>COUNTIF(P$2:P112, TRUE)/(COUNTIF(P$2:P112,FALSE) + COUNTIF(P$2:P112, TRUE))</f>
        <v>0.43243243243243246</v>
      </c>
      <c r="R112" s="336"/>
      <c r="S112" s="336"/>
      <c r="T112" s="336"/>
      <c r="U112" s="336"/>
      <c r="V112" s="184">
        <f>STDEV(D$2:D112)*SQRT(252)</f>
        <v>0.2058342089719612</v>
      </c>
      <c r="W112" s="184">
        <f>STDEV(L$2:L112)*SQRT(252)</f>
        <v>0.36554774877731538</v>
      </c>
      <c r="X112" s="174">
        <f t="shared" si="33"/>
        <v>-2.4538100780579715</v>
      </c>
    </row>
    <row r="113" spans="1:24" ht="20.100000000000001" customHeight="1" x14ac:dyDescent="0.25">
      <c r="A113" s="163">
        <f t="shared" si="27"/>
        <v>162</v>
      </c>
      <c r="B113" s="172">
        <v>42395</v>
      </c>
      <c r="C113" s="208">
        <v>1903.63</v>
      </c>
      <c r="D113" s="171">
        <f t="shared" si="25"/>
        <v>1.4144309246276229E-2</v>
      </c>
      <c r="E113" s="209">
        <f t="shared" si="37"/>
        <v>-9.4561557048001343E-2</v>
      </c>
      <c r="F113" s="219">
        <v>4567.67</v>
      </c>
      <c r="G113" s="171">
        <f t="shared" si="23"/>
        <v>1.0884167055808532E-2</v>
      </c>
      <c r="H113" s="203">
        <f t="shared" si="38"/>
        <v>-0.10291847516546532</v>
      </c>
      <c r="I113" s="221">
        <v>248055.57</v>
      </c>
      <c r="J113" s="173">
        <v>400000</v>
      </c>
      <c r="K113" s="173">
        <f t="shared" si="31"/>
        <v>6209.7600000000093</v>
      </c>
      <c r="L113" s="171">
        <f t="shared" si="26"/>
        <v>2.5676525055364861E-2</v>
      </c>
      <c r="M113" s="182">
        <f t="shared" si="34"/>
        <v>-151944.43</v>
      </c>
      <c r="N113" s="184">
        <f t="shared" si="35"/>
        <v>-0.37986107499999999</v>
      </c>
      <c r="O113" s="183">
        <f t="shared" si="28"/>
        <v>-0.85644603483796289</v>
      </c>
      <c r="P113" s="182" t="b">
        <f t="shared" si="32"/>
        <v>1</v>
      </c>
      <c r="Q113" s="184">
        <f>COUNTIF(P$2:P113, TRUE)/(COUNTIF(P$2:P113,FALSE) + COUNTIF(P$2:P113, TRUE))</f>
        <v>0.4375</v>
      </c>
      <c r="R113" s="336"/>
      <c r="S113" s="336"/>
      <c r="T113" s="336"/>
      <c r="U113" s="336"/>
      <c r="V113" s="184">
        <f>STDEV(D$2:D113)*SQRT(252)</f>
        <v>0.20615429037873539</v>
      </c>
      <c r="W113" s="184">
        <f>STDEV(L$2:L113)*SQRT(252)</f>
        <v>0.36652123813825849</v>
      </c>
      <c r="X113" s="174">
        <f t="shared" si="33"/>
        <v>-2.3366886982819146</v>
      </c>
    </row>
    <row r="114" spans="1:24" ht="20.100000000000001" customHeight="1" x14ac:dyDescent="0.25">
      <c r="A114" s="163">
        <f t="shared" si="27"/>
        <v>163</v>
      </c>
      <c r="B114" s="172">
        <v>42396</v>
      </c>
      <c r="C114" s="208">
        <v>1882.95</v>
      </c>
      <c r="D114" s="171">
        <f t="shared" si="25"/>
        <v>-1.0863455608495382E-2</v>
      </c>
      <c r="E114" s="209">
        <f>(C114-$C$2)/$C$2</f>
        <v>-0.10439774737923556</v>
      </c>
      <c r="F114" s="219">
        <v>4468.16</v>
      </c>
      <c r="G114" s="171">
        <f t="shared" si="23"/>
        <v>-2.1785724450321547E-2</v>
      </c>
      <c r="H114" s="203">
        <f t="shared" si="38"/>
        <v>-0.12246204607498477</v>
      </c>
      <c r="I114" s="221">
        <v>251585.76</v>
      </c>
      <c r="J114" s="173">
        <v>400000</v>
      </c>
      <c r="K114" s="173">
        <f t="shared" si="31"/>
        <v>3530.1900000000023</v>
      </c>
      <c r="L114" s="171">
        <f t="shared" si="26"/>
        <v>1.4231448219445353E-2</v>
      </c>
      <c r="M114" s="182">
        <f t="shared" si="34"/>
        <v>-148414.24</v>
      </c>
      <c r="N114" s="184">
        <f t="shared" si="35"/>
        <v>-0.37103559999999997</v>
      </c>
      <c r="O114" s="183">
        <f t="shared" si="28"/>
        <v>-0.83141566196319017</v>
      </c>
      <c r="P114" s="182" t="b">
        <f t="shared" si="32"/>
        <v>1</v>
      </c>
      <c r="Q114" s="184">
        <f>COUNTIF(P$2:P114, TRUE)/(COUNTIF(P$2:P114,FALSE) + COUNTIF(P$2:P114, TRUE))</f>
        <v>0.44247787610619471</v>
      </c>
      <c r="R114" s="336"/>
      <c r="S114" s="336"/>
      <c r="T114" s="336"/>
      <c r="U114" s="336"/>
      <c r="V114" s="184">
        <f>STDEV(D$2:D114)*SQRT(252)</f>
        <v>0.20577679311518093</v>
      </c>
      <c r="W114" s="184">
        <f>STDEV(L$2:L114)*SQRT(252)</f>
        <v>0.36580201811385399</v>
      </c>
      <c r="X114" s="174">
        <f t="shared" si="33"/>
        <v>-2.272856957569918</v>
      </c>
    </row>
    <row r="115" spans="1:24" ht="20.100000000000001" customHeight="1" x14ac:dyDescent="0.25">
      <c r="A115" s="163">
        <f t="shared" si="27"/>
        <v>164</v>
      </c>
      <c r="B115" s="172">
        <v>42397</v>
      </c>
      <c r="C115" s="208">
        <v>1893.36</v>
      </c>
      <c r="D115" s="171">
        <f t="shared" si="25"/>
        <v>5.5285589102205867E-3</v>
      </c>
      <c r="E115" s="209">
        <f t="shared" ref="E115:E124" si="39">(C115-$C$2)/$C$2</f>
        <v>-9.94463575654954E-2</v>
      </c>
      <c r="F115" s="219">
        <v>4506.67</v>
      </c>
      <c r="G115" s="171">
        <f t="shared" si="23"/>
        <v>8.6187602950655792E-3</v>
      </c>
      <c r="H115" s="203">
        <f t="shared" si="38"/>
        <v>-0.11489875680028276</v>
      </c>
      <c r="I115" s="221">
        <v>256687.6</v>
      </c>
      <c r="J115" s="173">
        <v>400000</v>
      </c>
      <c r="K115" s="173">
        <f t="shared" si="31"/>
        <v>5101.8399999999674</v>
      </c>
      <c r="L115" s="171">
        <f t="shared" si="26"/>
        <v>2.027873119686888E-2</v>
      </c>
      <c r="M115" s="182">
        <f t="shared" si="34"/>
        <v>-143312.4</v>
      </c>
      <c r="N115" s="184">
        <f t="shared" si="35"/>
        <v>-0.35828099999999996</v>
      </c>
      <c r="O115" s="183">
        <f t="shared" si="28"/>
        <v>-0.79793984908536575</v>
      </c>
      <c r="P115" s="182" t="b">
        <f t="shared" si="32"/>
        <v>1</v>
      </c>
      <c r="Q115" s="184">
        <f>COUNTIF(P$2:P115, TRUE)/(COUNTIF(P$2:P115,FALSE) + COUNTIF(P$2:P115, TRUE))</f>
        <v>0.44736842105263158</v>
      </c>
      <c r="R115" s="336"/>
      <c r="S115" s="336"/>
      <c r="T115" s="336"/>
      <c r="U115" s="336"/>
      <c r="V115" s="184">
        <f>STDEV(D$2:D115)*SQRT(252)</f>
        <v>0.20508094349641362</v>
      </c>
      <c r="W115" s="184">
        <f>STDEV(L$2:L115)*SQRT(252)</f>
        <v>0.36582687593251006</v>
      </c>
      <c r="X115" s="174">
        <f t="shared" si="33"/>
        <v>-2.18119526361036</v>
      </c>
    </row>
    <row r="116" spans="1:24" ht="20.100000000000001" customHeight="1" x14ac:dyDescent="0.25">
      <c r="A116" s="163">
        <f t="shared" si="27"/>
        <v>165</v>
      </c>
      <c r="B116" s="172">
        <v>42398</v>
      </c>
      <c r="C116" s="208">
        <v>1940.24</v>
      </c>
      <c r="D116" s="171">
        <f t="shared" si="25"/>
        <v>2.4760214644864217E-2</v>
      </c>
      <c r="E116" s="209">
        <f t="shared" si="39"/>
        <v>-7.7148456079602773E-2</v>
      </c>
      <c r="F116" s="219">
        <v>4613.95</v>
      </c>
      <c r="G116" s="171">
        <f t="shared" si="23"/>
        <v>2.3804716120772042E-2</v>
      </c>
      <c r="H116" s="203">
        <f t="shared" si="38"/>
        <v>-9.3829172967771088E-2</v>
      </c>
      <c r="I116" s="415">
        <v>272541.61</v>
      </c>
      <c r="J116" s="173">
        <v>400000</v>
      </c>
      <c r="K116" s="173">
        <f t="shared" si="31"/>
        <v>15854.010000000009</v>
      </c>
      <c r="L116" s="171">
        <f t="shared" si="26"/>
        <v>6.1763832767924937E-2</v>
      </c>
      <c r="M116" s="182">
        <f t="shared" si="34"/>
        <v>-127458.39000000001</v>
      </c>
      <c r="N116" s="184">
        <f t="shared" si="35"/>
        <v>-0.31864597500000003</v>
      </c>
      <c r="O116" s="183">
        <f t="shared" si="28"/>
        <v>-0.70536631738636368</v>
      </c>
      <c r="P116" s="182" t="b">
        <f t="shared" si="32"/>
        <v>1</v>
      </c>
      <c r="Q116" s="184">
        <f>COUNTIF(P$2:P116, TRUE)/(COUNTIF(P$2:P116,FALSE) + COUNTIF(P$2:P116, TRUE))</f>
        <v>0.45217391304347826</v>
      </c>
      <c r="R116" s="336"/>
      <c r="S116" s="336"/>
      <c r="T116" s="336"/>
      <c r="U116" s="336"/>
      <c r="V116" s="184">
        <f>STDEV(D$2:D116)*SQRT(252)</f>
        <v>0.2076899725605586</v>
      </c>
      <c r="W116" s="184">
        <f>STDEV(L$2:L116)*SQRT(252)</f>
        <v>0.37665623164224904</v>
      </c>
      <c r="X116" s="174">
        <f t="shared" si="33"/>
        <v>-1.8727058206654761</v>
      </c>
    </row>
    <row r="117" spans="1:24" ht="20.100000000000001" customHeight="1" x14ac:dyDescent="0.25">
      <c r="A117" s="163">
        <f t="shared" si="27"/>
        <v>168</v>
      </c>
      <c r="B117" s="242">
        <v>42401</v>
      </c>
      <c r="C117" s="243">
        <v>1939.38</v>
      </c>
      <c r="D117" s="171">
        <f t="shared" si="25"/>
        <v>-4.4324413474616542E-4</v>
      </c>
      <c r="E117" s="244">
        <f t="shared" si="39"/>
        <v>-7.755750461368692E-2</v>
      </c>
      <c r="F117" s="245">
        <v>4620.3599999999997</v>
      </c>
      <c r="G117" s="171">
        <f t="shared" si="23"/>
        <v>1.3892651632548803E-3</v>
      </c>
      <c r="H117" s="246">
        <f t="shared" si="38"/>
        <v>-9.2570261405817339E-2</v>
      </c>
      <c r="I117" s="247">
        <v>271687.27</v>
      </c>
      <c r="J117" s="248">
        <v>400000</v>
      </c>
      <c r="K117" s="248">
        <f t="shared" si="31"/>
        <v>-854.3399999999674</v>
      </c>
      <c r="L117" s="171">
        <f t="shared" si="26"/>
        <v>-3.1347139983504443E-3</v>
      </c>
      <c r="M117" s="249">
        <f t="shared" si="34"/>
        <v>-128312.72999999998</v>
      </c>
      <c r="N117" s="250">
        <f t="shared" si="35"/>
        <v>-0.32078182499999996</v>
      </c>
      <c r="O117" s="183">
        <f t="shared" si="28"/>
        <v>-0.69741405703124992</v>
      </c>
      <c r="P117" s="249" t="b">
        <f t="shared" si="32"/>
        <v>0</v>
      </c>
      <c r="Q117" s="250">
        <f>COUNTIF(P$2:P117, TRUE)/(COUNTIF(P$2:P117,FALSE) + COUNTIF(P$2:P117, TRUE))</f>
        <v>0.44827586206896552</v>
      </c>
      <c r="R117" s="337"/>
      <c r="S117" s="337"/>
      <c r="T117" s="337"/>
      <c r="U117" s="337"/>
      <c r="V117" s="250">
        <f>STDEV(D$2:D117)*SQRT(252)</f>
        <v>0.20677720896061949</v>
      </c>
      <c r="W117" s="250">
        <f>STDEV(L$2:L117)*SQRT(252)</f>
        <v>0.37500277790793834</v>
      </c>
      <c r="X117" s="174">
        <f t="shared" si="33"/>
        <v>-1.8597570421263978</v>
      </c>
    </row>
    <row r="118" spans="1:24" ht="20.100000000000001" customHeight="1" x14ac:dyDescent="0.25">
      <c r="A118" s="163">
        <f t="shared" si="27"/>
        <v>169</v>
      </c>
      <c r="B118" s="242">
        <v>42402</v>
      </c>
      <c r="C118" s="243">
        <v>1903.03</v>
      </c>
      <c r="D118" s="171">
        <f t="shared" si="25"/>
        <v>-1.8743103466056232E-2</v>
      </c>
      <c r="E118" s="244">
        <f t="shared" si="39"/>
        <v>-9.484693974619969E-2</v>
      </c>
      <c r="F118" s="245">
        <v>4516.9399999999996</v>
      </c>
      <c r="G118" s="171">
        <f t="shared" si="23"/>
        <v>-2.2383537213550478E-2</v>
      </c>
      <c r="H118" s="246">
        <f t="shared" si="38"/>
        <v>-0.11288174872832261</v>
      </c>
      <c r="I118" s="247">
        <v>258167.62</v>
      </c>
      <c r="J118" s="248">
        <v>400000</v>
      </c>
      <c r="K118" s="248">
        <f t="shared" si="31"/>
        <v>-13519.650000000023</v>
      </c>
      <c r="L118" s="171">
        <f t="shared" si="26"/>
        <v>-4.9761808862078899E-2</v>
      </c>
      <c r="M118" s="249">
        <f t="shared" si="34"/>
        <v>-141832.38</v>
      </c>
      <c r="N118" s="250">
        <f t="shared" si="35"/>
        <v>-0.35458095000000001</v>
      </c>
      <c r="O118" s="183">
        <f t="shared" si="28"/>
        <v>-0.76633545554733729</v>
      </c>
      <c r="P118" s="249" t="b">
        <f t="shared" si="32"/>
        <v>0</v>
      </c>
      <c r="Q118" s="250">
        <f>COUNTIF(P$2:P118, TRUE)/(COUNTIF(P$2:P118,FALSE) + COUNTIF(P$2:P118, TRUE))</f>
        <v>0.44444444444444442</v>
      </c>
      <c r="R118" s="337"/>
      <c r="S118" s="337"/>
      <c r="T118" s="337"/>
      <c r="U118" s="337"/>
      <c r="V118" s="250">
        <f>STDEV(D$2:D118)*SQRT(252)</f>
        <v>0.20760234411553996</v>
      </c>
      <c r="W118" s="250">
        <f>STDEV(L$2:L118)*SQRT(252)</f>
        <v>0.37987177172236325</v>
      </c>
      <c r="X118" s="174">
        <f t="shared" si="33"/>
        <v>-2.0173529927552201</v>
      </c>
    </row>
    <row r="119" spans="1:24" ht="20.100000000000001" customHeight="1" x14ac:dyDescent="0.25">
      <c r="A119" s="163">
        <f t="shared" si="27"/>
        <v>170</v>
      </c>
      <c r="B119" s="242">
        <v>42403</v>
      </c>
      <c r="C119" s="243">
        <v>1912.53</v>
      </c>
      <c r="D119" s="171">
        <f t="shared" si="25"/>
        <v>4.9920390114711801E-3</v>
      </c>
      <c r="E119" s="244">
        <f t="shared" si="39"/>
        <v>-9.0328380358060192E-2</v>
      </c>
      <c r="F119" s="245">
        <v>4504.2299999999996</v>
      </c>
      <c r="G119" s="171">
        <f t="shared" si="23"/>
        <v>-2.8138518554596779E-3</v>
      </c>
      <c r="H119" s="246">
        <f t="shared" si="38"/>
        <v>-0.11537796806567556</v>
      </c>
      <c r="I119" s="247">
        <v>270997.09999999998</v>
      </c>
      <c r="J119" s="248">
        <v>400000</v>
      </c>
      <c r="K119" s="248">
        <f t="shared" si="31"/>
        <v>12829.479999999981</v>
      </c>
      <c r="L119" s="171">
        <f t="shared" si="26"/>
        <v>4.9694380728303504E-2</v>
      </c>
      <c r="M119" s="249">
        <f t="shared" si="34"/>
        <v>-129002.90000000002</v>
      </c>
      <c r="N119" s="250">
        <f t="shared" si="35"/>
        <v>-0.32250725000000008</v>
      </c>
      <c r="O119" s="183">
        <f t="shared" si="28"/>
        <v>-0.69291631213235316</v>
      </c>
      <c r="P119" s="249" t="b">
        <f t="shared" si="32"/>
        <v>1</v>
      </c>
      <c r="Q119" s="250">
        <f>COUNTIF(P$2:P119, TRUE)/(COUNTIF(P$2:P119,FALSE) + COUNTIF(P$2:P119, TRUE))</f>
        <v>0.44915254237288138</v>
      </c>
      <c r="R119" s="337"/>
      <c r="S119" s="337"/>
      <c r="T119" s="337"/>
      <c r="U119" s="337"/>
      <c r="V119" s="250">
        <f>STDEV(D$2:D119)*SQRT(252)</f>
        <v>0.20687869960829744</v>
      </c>
      <c r="W119" s="250">
        <f>STDEV(L$2:L119)*SQRT(252)</f>
        <v>0.38596402182857842</v>
      </c>
      <c r="X119" s="174">
        <f t="shared" si="33"/>
        <v>-1.7952873142152721</v>
      </c>
    </row>
    <row r="120" spans="1:24" ht="20.100000000000001" customHeight="1" x14ac:dyDescent="0.25">
      <c r="A120" s="163">
        <f t="shared" si="27"/>
        <v>171</v>
      </c>
      <c r="B120" s="242">
        <v>42404</v>
      </c>
      <c r="C120" s="243">
        <v>1915.45</v>
      </c>
      <c r="D120" s="171">
        <f t="shared" si="25"/>
        <v>1.5267734362337181E-3</v>
      </c>
      <c r="E120" s="244">
        <f t="shared" si="39"/>
        <v>-8.8939517893495176E-2</v>
      </c>
      <c r="F120" s="245">
        <v>4509.55</v>
      </c>
      <c r="G120" s="171">
        <f t="shared" si="23"/>
        <v>1.1811119769640137E-3</v>
      </c>
      <c r="H120" s="246">
        <f t="shared" si="38"/>
        <v>-0.1143331303886717</v>
      </c>
      <c r="I120" s="247">
        <v>272162.3</v>
      </c>
      <c r="J120" s="248">
        <v>400000</v>
      </c>
      <c r="K120" s="248">
        <f t="shared" ref="K120:K151" si="40">I120-I119-J120+J119</f>
        <v>1165.2000000000116</v>
      </c>
      <c r="L120" s="171">
        <f t="shared" si="26"/>
        <v>4.2996770076137777E-3</v>
      </c>
      <c r="M120" s="249">
        <f t="shared" si="34"/>
        <v>-127837.70000000001</v>
      </c>
      <c r="N120" s="250">
        <f t="shared" si="35"/>
        <v>-0.31959425000000002</v>
      </c>
      <c r="O120" s="183">
        <f t="shared" si="28"/>
        <v>-0.68264210416666671</v>
      </c>
      <c r="P120" s="249" t="b">
        <f t="shared" si="32"/>
        <v>1</v>
      </c>
      <c r="Q120" s="250">
        <f>COUNTIF(P$2:P120, TRUE)/(COUNTIF(P$2:P120,FALSE) + COUNTIF(P$2:P120, TRUE))</f>
        <v>0.45378151260504201</v>
      </c>
      <c r="R120" s="337"/>
      <c r="S120" s="337"/>
      <c r="T120" s="337"/>
      <c r="U120" s="337"/>
      <c r="V120" s="250">
        <f>STDEV(D$2:D120)*SQRT(252)</f>
        <v>0.20601897567851155</v>
      </c>
      <c r="W120" s="250">
        <f>STDEV(L$2:L120)*SQRT(252)</f>
        <v>0.38442983265447928</v>
      </c>
      <c r="X120" s="174">
        <f t="shared" si="33"/>
        <v>-1.7757261434499982</v>
      </c>
    </row>
    <row r="121" spans="1:24" ht="20.100000000000001" customHeight="1" x14ac:dyDescent="0.25">
      <c r="A121" s="163">
        <f t="shared" si="27"/>
        <v>172</v>
      </c>
      <c r="B121" s="242">
        <v>42405</v>
      </c>
      <c r="C121" s="243">
        <v>1880.02</v>
      </c>
      <c r="D121" s="171">
        <f t="shared" si="25"/>
        <v>-1.8496958939152711E-2</v>
      </c>
      <c r="E121" s="244">
        <f t="shared" si="39"/>
        <v>-0.10579136622210387</v>
      </c>
      <c r="F121" s="245">
        <v>4363.1400000000003</v>
      </c>
      <c r="G121" s="171">
        <f t="shared" si="23"/>
        <v>-3.2466654100741725E-2</v>
      </c>
      <c r="H121" s="246">
        <f t="shared" si="38"/>
        <v>-0.1430877702928294</v>
      </c>
      <c r="I121" s="247">
        <v>257957.43</v>
      </c>
      <c r="J121" s="248">
        <v>400000</v>
      </c>
      <c r="K121" s="248">
        <f t="shared" si="40"/>
        <v>-14204.869999999995</v>
      </c>
      <c r="L121" s="171">
        <f t="shared" si="26"/>
        <v>-5.2192643874629206E-2</v>
      </c>
      <c r="M121" s="249">
        <f t="shared" si="34"/>
        <v>-142042.57</v>
      </c>
      <c r="N121" s="250">
        <f t="shared" si="35"/>
        <v>-0.355106425</v>
      </c>
      <c r="O121" s="183">
        <f t="shared" si="28"/>
        <v>-0.75408501006540696</v>
      </c>
      <c r="P121" s="249" t="b">
        <f t="shared" si="32"/>
        <v>0</v>
      </c>
      <c r="Q121" s="250">
        <f>COUNTIF(P$2:P121, TRUE)/(COUNTIF(P$2:P121,FALSE) + COUNTIF(P$2:P121, TRUE))</f>
        <v>0.45</v>
      </c>
      <c r="R121" s="337"/>
      <c r="S121" s="337"/>
      <c r="T121" s="337"/>
      <c r="U121" s="337"/>
      <c r="V121" s="250">
        <f>STDEV(D$2:D121)*SQRT(252)</f>
        <v>0.20677147424628983</v>
      </c>
      <c r="W121" s="250">
        <f>STDEV(L$2:L121)*SQRT(252)</f>
        <v>0.38965360022711565</v>
      </c>
      <c r="X121" s="174">
        <f t="shared" si="33"/>
        <v>-1.935270223670144</v>
      </c>
    </row>
    <row r="122" spans="1:24" ht="20.100000000000001" customHeight="1" x14ac:dyDescent="0.25">
      <c r="A122" s="163">
        <f t="shared" si="27"/>
        <v>175</v>
      </c>
      <c r="B122" s="172">
        <v>42408</v>
      </c>
      <c r="C122" s="215">
        <v>1853.44</v>
      </c>
      <c r="D122" s="171">
        <f t="shared" si="25"/>
        <v>-1.4138147466516275E-2</v>
      </c>
      <c r="E122" s="209">
        <f t="shared" si="39"/>
        <v>-0.11843381975228781</v>
      </c>
      <c r="F122" s="219">
        <v>4283.75</v>
      </c>
      <c r="G122" s="171">
        <f t="shared" si="23"/>
        <v>-1.8195611417465476E-2</v>
      </c>
      <c r="H122" s="203">
        <f t="shared" ref="H122:H127" si="41">(F122-F$2)/F$2</f>
        <v>-0.15867981224345501</v>
      </c>
      <c r="I122" s="221">
        <v>244544.61</v>
      </c>
      <c r="J122" s="173">
        <v>400000</v>
      </c>
      <c r="K122" s="173">
        <f t="shared" si="40"/>
        <v>-13412.820000000007</v>
      </c>
      <c r="L122" s="171">
        <f t="shared" si="26"/>
        <v>-5.1996253800481756E-2</v>
      </c>
      <c r="M122" s="182">
        <f t="shared" si="34"/>
        <v>-155455.39000000001</v>
      </c>
      <c r="N122" s="184">
        <f t="shared" si="35"/>
        <v>-0.38863847500000004</v>
      </c>
      <c r="O122" s="183">
        <f t="shared" si="28"/>
        <v>-0.81114401710714301</v>
      </c>
      <c r="P122" s="182" t="b">
        <f t="shared" si="32"/>
        <v>0</v>
      </c>
      <c r="Q122" s="184">
        <f>COUNTIF(P$2:P122, TRUE)/(COUNTIF(P$2:P122,FALSE) + COUNTIF(P$2:P122, TRUE))</f>
        <v>0.4462809917355372</v>
      </c>
      <c r="R122" s="336"/>
      <c r="S122" s="336"/>
      <c r="T122" s="336"/>
      <c r="U122" s="336"/>
      <c r="V122" s="184">
        <f>STDEV(D$2:D122)*SQRT(252)</f>
        <v>0.20679867923754305</v>
      </c>
      <c r="W122" s="184">
        <f>STDEV(L$2:L122)*SQRT(252)</f>
        <v>0.39455956732672759</v>
      </c>
      <c r="X122" s="174">
        <f t="shared" si="33"/>
        <v>-2.0558214380731248</v>
      </c>
    </row>
    <row r="123" spans="1:24" ht="20.100000000000001" customHeight="1" x14ac:dyDescent="0.25">
      <c r="A123" s="163">
        <f t="shared" si="27"/>
        <v>176</v>
      </c>
      <c r="B123" s="172">
        <v>42409</v>
      </c>
      <c r="C123" s="208">
        <v>1852.21</v>
      </c>
      <c r="D123" s="171">
        <f t="shared" si="25"/>
        <v>-6.6363087016575565E-4</v>
      </c>
      <c r="E123" s="209">
        <f t="shared" si="39"/>
        <v>-0.11901885428359431</v>
      </c>
      <c r="F123" s="219">
        <v>4268.76</v>
      </c>
      <c r="G123" s="171">
        <f t="shared" si="23"/>
        <v>-3.4992704989786475E-3</v>
      </c>
      <c r="H123" s="203">
        <f t="shared" si="41"/>
        <v>-0.16162381915666665</v>
      </c>
      <c r="I123" s="221">
        <v>239055.86</v>
      </c>
      <c r="J123" s="173">
        <v>400000</v>
      </c>
      <c r="K123" s="173">
        <f t="shared" si="40"/>
        <v>-5488.75</v>
      </c>
      <c r="L123" s="171">
        <f t="shared" si="26"/>
        <v>-2.2444780115987838E-2</v>
      </c>
      <c r="M123" s="182">
        <f t="shared" si="34"/>
        <v>-160944.14000000001</v>
      </c>
      <c r="N123" s="184">
        <f t="shared" si="35"/>
        <v>-0.40236035000000003</v>
      </c>
      <c r="O123" s="183">
        <f t="shared" si="28"/>
        <v>-0.83501203316761374</v>
      </c>
      <c r="P123" s="182" t="b">
        <f t="shared" ref="P123:P154" si="42">L123&gt;D123</f>
        <v>0</v>
      </c>
      <c r="Q123" s="184">
        <f>COUNTIF(P$2:P123, TRUE)/(COUNTIF(P$2:P123,FALSE) + COUNTIF(P$2:P123, TRUE))</f>
        <v>0.44262295081967212</v>
      </c>
      <c r="R123" s="336"/>
      <c r="S123" s="336"/>
      <c r="T123" s="336"/>
      <c r="U123" s="336"/>
      <c r="V123" s="184">
        <f>STDEV(D$2:D123)*SQRT(252)</f>
        <v>0.20593567657799225</v>
      </c>
      <c r="W123" s="184">
        <f>STDEV(L$2:L123)*SQRT(252)</f>
        <v>0.39391134458203264</v>
      </c>
      <c r="X123" s="174">
        <f t="shared" si="33"/>
        <v>-2.1197968645803273</v>
      </c>
    </row>
    <row r="124" spans="1:24" ht="20.100000000000001" customHeight="1" x14ac:dyDescent="0.25">
      <c r="A124" s="163">
        <f t="shared" si="27"/>
        <v>177</v>
      </c>
      <c r="B124" s="172">
        <v>42410</v>
      </c>
      <c r="C124" s="208">
        <v>1851.86</v>
      </c>
      <c r="D124" s="171">
        <f t="shared" si="25"/>
        <v>-1.8896345446797955E-4</v>
      </c>
      <c r="E124" s="209">
        <f t="shared" si="39"/>
        <v>-0.11918532752421003</v>
      </c>
      <c r="F124" s="219">
        <v>4283.59</v>
      </c>
      <c r="G124" s="171">
        <f t="shared" si="23"/>
        <v>3.4740767810792659E-3</v>
      </c>
      <c r="H124" s="203">
        <f t="shared" si="41"/>
        <v>-0.15871123593298891</v>
      </c>
      <c r="I124" s="221">
        <v>235873.97</v>
      </c>
      <c r="J124" s="173">
        <v>400000</v>
      </c>
      <c r="K124" s="173">
        <f t="shared" si="40"/>
        <v>-3181.890000000014</v>
      </c>
      <c r="L124" s="171">
        <f t="shared" si="26"/>
        <v>-1.3310236360656518E-2</v>
      </c>
      <c r="M124" s="182">
        <f t="shared" si="34"/>
        <v>-164126.03</v>
      </c>
      <c r="N124" s="184">
        <f t="shared" si="35"/>
        <v>-0.41031507499999997</v>
      </c>
      <c r="O124" s="183">
        <f t="shared" si="28"/>
        <v>-0.84670949798728801</v>
      </c>
      <c r="P124" s="182" t="b">
        <f t="shared" si="42"/>
        <v>0</v>
      </c>
      <c r="Q124" s="184">
        <f>COUNTIF(P$2:P124, TRUE)/(COUNTIF(P$2:P124,FALSE) + COUNTIF(P$2:P124, TRUE))</f>
        <v>0.43902439024390244</v>
      </c>
      <c r="R124" s="336"/>
      <c r="S124" s="336"/>
      <c r="T124" s="336"/>
      <c r="U124" s="336"/>
      <c r="V124" s="184">
        <f>STDEV(D$2:D124)*SQRT(252)</f>
        <v>0.20508595535618429</v>
      </c>
      <c r="W124" s="184">
        <f>STDEV(L$2:L124)*SQRT(252)</f>
        <v>0.39255054022656277</v>
      </c>
      <c r="X124" s="174">
        <f t="shared" si="33"/>
        <v>-2.156943912237657</v>
      </c>
    </row>
    <row r="125" spans="1:24" ht="20.100000000000001" customHeight="1" x14ac:dyDescent="0.25">
      <c r="A125" s="163">
        <f t="shared" si="27"/>
        <v>178</v>
      </c>
      <c r="B125" s="172">
        <v>42411</v>
      </c>
      <c r="C125" s="208">
        <v>1829.08</v>
      </c>
      <c r="D125" s="171">
        <f t="shared" si="25"/>
        <v>-1.2301145874958137E-2</v>
      </c>
      <c r="E125" s="209">
        <f>(C125-$C$2)/$C$2</f>
        <v>-0.13002035729913819</v>
      </c>
      <c r="F125" s="219">
        <v>4266.83</v>
      </c>
      <c r="G125" s="171">
        <f t="shared" si="23"/>
        <v>-3.9126060150481761E-3</v>
      </c>
      <c r="H125" s="203">
        <f t="shared" si="41"/>
        <v>-0.16200286741166997</v>
      </c>
      <c r="I125" s="221">
        <v>230609.13</v>
      </c>
      <c r="J125" s="173">
        <v>400000</v>
      </c>
      <c r="K125" s="173">
        <f t="shared" si="40"/>
        <v>-5264.8399999999674</v>
      </c>
      <c r="L125" s="171">
        <f t="shared" si="26"/>
        <v>-2.2320563816346364E-2</v>
      </c>
      <c r="M125" s="182">
        <f t="shared" si="34"/>
        <v>-169390.87</v>
      </c>
      <c r="N125" s="184">
        <f t="shared" si="35"/>
        <v>-0.42347717499999998</v>
      </c>
      <c r="O125" s="183">
        <f t="shared" si="28"/>
        <v>-0.86896088858848308</v>
      </c>
      <c r="P125" s="182" t="b">
        <f t="shared" si="42"/>
        <v>0</v>
      </c>
      <c r="Q125" s="184">
        <f>COUNTIF(P$2:P125, TRUE)/(COUNTIF(P$2:P125,FALSE) + COUNTIF(P$2:P125, TRUE))</f>
        <v>0.43548387096774194</v>
      </c>
      <c r="R125" s="336"/>
      <c r="S125" s="336"/>
      <c r="T125" s="336"/>
      <c r="U125" s="336"/>
      <c r="V125" s="184">
        <f>STDEV(D$2:D125)*SQRT(252)</f>
        <v>0.20488816456150158</v>
      </c>
      <c r="W125" s="184">
        <f>STDEV(L$2:L125)*SQRT(252)</f>
        <v>0.39188934391979374</v>
      </c>
      <c r="X125" s="174">
        <f t="shared" si="33"/>
        <v>-2.2173628910061138</v>
      </c>
    </row>
    <row r="126" spans="1:24" ht="20.100000000000001" customHeight="1" x14ac:dyDescent="0.25">
      <c r="A126" s="163">
        <f t="shared" si="27"/>
        <v>179</v>
      </c>
      <c r="B126" s="172">
        <v>42412</v>
      </c>
      <c r="C126" s="208">
        <v>1864.78</v>
      </c>
      <c r="D126" s="171">
        <f t="shared" si="25"/>
        <v>1.9518009053731956E-2</v>
      </c>
      <c r="E126" s="209">
        <f>(C126-$C$2)/$C$2</f>
        <v>-0.11304008675634029</v>
      </c>
      <c r="F126" s="219">
        <v>4337.51</v>
      </c>
      <c r="G126" s="171">
        <f t="shared" si="23"/>
        <v>1.656499087144327E-2</v>
      </c>
      <c r="H126" s="203">
        <f t="shared" si="41"/>
        <v>-0.14812145256004863</v>
      </c>
      <c r="I126" s="221">
        <v>236989.83</v>
      </c>
      <c r="J126" s="173">
        <v>400000</v>
      </c>
      <c r="K126" s="173">
        <f t="shared" si="40"/>
        <v>6380.6999999999534</v>
      </c>
      <c r="L126" s="171">
        <f t="shared" si="26"/>
        <v>2.7668895849873563E-2</v>
      </c>
      <c r="M126" s="182">
        <f t="shared" ref="M126:M157" si="43">I126-J126</f>
        <v>-163010.17000000001</v>
      </c>
      <c r="N126" s="184">
        <f t="shared" ref="N126:N157" si="44">M126/J126</f>
        <v>-0.40752542500000005</v>
      </c>
      <c r="O126" s="183">
        <f t="shared" si="28"/>
        <v>-0.83155676805167611</v>
      </c>
      <c r="P126" s="182" t="b">
        <f t="shared" si="42"/>
        <v>1</v>
      </c>
      <c r="Q126" s="184">
        <f>COUNTIF(P$2:P126, TRUE)/(COUNTIF(P$2:P126,FALSE) + COUNTIF(P$2:P126, TRUE))</f>
        <v>0.44</v>
      </c>
      <c r="R126" s="336"/>
      <c r="S126" s="336"/>
      <c r="T126" s="336"/>
      <c r="U126" s="336"/>
      <c r="V126" s="184">
        <f>STDEV(D$2:D126)*SQRT(252)</f>
        <v>0.20614925630726783</v>
      </c>
      <c r="W126" s="184">
        <f>STDEV(L$2:L126)*SQRT(252)</f>
        <v>0.39280034902438915</v>
      </c>
      <c r="X126" s="174">
        <f t="shared" si="33"/>
        <v>-2.1169960009379838</v>
      </c>
    </row>
    <row r="127" spans="1:24" ht="20.100000000000001" customHeight="1" x14ac:dyDescent="0.25">
      <c r="A127" s="163">
        <f t="shared" si="27"/>
        <v>183</v>
      </c>
      <c r="B127" s="242">
        <v>42416</v>
      </c>
      <c r="C127" s="243">
        <v>1895.58</v>
      </c>
      <c r="D127" s="171">
        <f t="shared" si="25"/>
        <v>1.651669365823312E-2</v>
      </c>
      <c r="E127" s="244">
        <f>(C127-$C$2)/$C$2</f>
        <v>-9.8390441582161731E-2</v>
      </c>
      <c r="F127" s="245">
        <v>4435.96</v>
      </c>
      <c r="G127" s="171">
        <f t="shared" si="23"/>
        <v>2.2697354011863905E-2</v>
      </c>
      <c r="H127" s="246">
        <f t="shared" si="41"/>
        <v>-0.12878606359369166</v>
      </c>
      <c r="I127" s="247">
        <v>243663.46</v>
      </c>
      <c r="J127" s="248">
        <v>400000</v>
      </c>
      <c r="K127" s="248">
        <f t="shared" si="40"/>
        <v>6673.6300000000047</v>
      </c>
      <c r="L127" s="171">
        <f t="shared" si="26"/>
        <v>2.8159984755463999E-2</v>
      </c>
      <c r="M127" s="249">
        <f t="shared" si="43"/>
        <v>-156336.54</v>
      </c>
      <c r="N127" s="250">
        <f t="shared" si="44"/>
        <v>-0.39084135000000003</v>
      </c>
      <c r="O127" s="183">
        <f t="shared" si="28"/>
        <v>-0.78008089118852464</v>
      </c>
      <c r="P127" s="249" t="b">
        <f t="shared" si="42"/>
        <v>1</v>
      </c>
      <c r="Q127" s="250">
        <f>COUNTIF(P$2:P127, TRUE)/(COUNTIF(P$2:P127,FALSE) + COUNTIF(P$2:P127, TRUE))</f>
        <v>0.44444444444444442</v>
      </c>
      <c r="R127" s="337"/>
      <c r="S127" s="337"/>
      <c r="T127" s="337"/>
      <c r="U127" s="337"/>
      <c r="V127" s="250">
        <f>STDEV(D$2:D127)*SQRT(252)</f>
        <v>0.2067973574201509</v>
      </c>
      <c r="W127" s="250">
        <f>STDEV(L$2:L127)*SQRT(252)</f>
        <v>0.39373317711022293</v>
      </c>
      <c r="X127" s="174">
        <f t="shared" si="33"/>
        <v>-1.9812424670785269</v>
      </c>
    </row>
    <row r="128" spans="1:24" ht="20.100000000000001" customHeight="1" x14ac:dyDescent="0.25">
      <c r="A128" s="163">
        <f t="shared" si="27"/>
        <v>184</v>
      </c>
      <c r="B128" s="242">
        <v>42417</v>
      </c>
      <c r="C128" s="243">
        <v>1926.82</v>
      </c>
      <c r="D128" s="171">
        <f t="shared" si="25"/>
        <v>1.648044398020659E-2</v>
      </c>
      <c r="E128" s="244">
        <f t="shared" ref="E128:E133" si="45">(C128-$C$2)/$C$2</f>
        <v>-8.3531515762637745E-2</v>
      </c>
      <c r="F128" s="245">
        <v>4534.0600000000004</v>
      </c>
      <c r="G128" s="171">
        <f t="shared" si="23"/>
        <v>2.2114716994743044E-2</v>
      </c>
      <c r="H128" s="246">
        <f t="shared" ref="H128:H141" si="46">(F128-F$2)/F$2</f>
        <v>-0.10951941394819008</v>
      </c>
      <c r="I128" s="247">
        <v>249365.31</v>
      </c>
      <c r="J128" s="248">
        <v>400000</v>
      </c>
      <c r="K128" s="248">
        <f t="shared" si="40"/>
        <v>5701.8499999999767</v>
      </c>
      <c r="L128" s="171">
        <f t="shared" si="26"/>
        <v>2.3400513150391843E-2</v>
      </c>
      <c r="M128" s="249">
        <f t="shared" si="43"/>
        <v>-150634.69</v>
      </c>
      <c r="N128" s="250">
        <f t="shared" si="44"/>
        <v>-0.37658672500000001</v>
      </c>
      <c r="O128" s="183">
        <f t="shared" si="28"/>
        <v>-0.74754511579483707</v>
      </c>
      <c r="P128" s="249" t="b">
        <f t="shared" si="42"/>
        <v>1</v>
      </c>
      <c r="Q128" s="250">
        <f>COUNTIF(P$2:P128, TRUE)/(COUNTIF(P$2:P128,FALSE) + COUNTIF(P$2:P128, TRUE))</f>
        <v>0.44881889763779526</v>
      </c>
      <c r="R128" s="337"/>
      <c r="S128" s="337"/>
      <c r="T128" s="337"/>
      <c r="U128" s="337"/>
      <c r="V128" s="250">
        <f>STDEV(D$2:D128)*SQRT(252)</f>
        <v>0.20740391827467</v>
      </c>
      <c r="W128" s="250">
        <f>STDEV(L$2:L128)*SQRT(252)</f>
        <v>0.39391671411506929</v>
      </c>
      <c r="X128" s="174">
        <f t="shared" si="33"/>
        <v>-1.8977237802010791</v>
      </c>
    </row>
    <row r="129" spans="1:24" ht="20.100000000000001" customHeight="1" x14ac:dyDescent="0.25">
      <c r="A129" s="163">
        <f t="shared" si="27"/>
        <v>185</v>
      </c>
      <c r="B129" s="242">
        <v>42418</v>
      </c>
      <c r="C129" s="243">
        <v>1917.83</v>
      </c>
      <c r="D129" s="171">
        <f t="shared" si="25"/>
        <v>-4.6657186452289312E-3</v>
      </c>
      <c r="E129" s="244">
        <f t="shared" si="45"/>
        <v>-8.7807499857308707E-2</v>
      </c>
      <c r="F129" s="245">
        <v>4487.53</v>
      </c>
      <c r="G129" s="171">
        <f t="shared" si="23"/>
        <v>-1.0262325597808731E-2</v>
      </c>
      <c r="H129" s="246">
        <f t="shared" si="46"/>
        <v>-0.11865781566078129</v>
      </c>
      <c r="I129" s="247">
        <v>241680.12</v>
      </c>
      <c r="J129" s="248">
        <v>400000</v>
      </c>
      <c r="K129" s="248">
        <f t="shared" si="40"/>
        <v>-7685.1900000000023</v>
      </c>
      <c r="L129" s="171">
        <f t="shared" si="26"/>
        <v>-3.0819002049643562E-2</v>
      </c>
      <c r="M129" s="249">
        <f t="shared" si="43"/>
        <v>-158319.88</v>
      </c>
      <c r="N129" s="250">
        <f t="shared" si="44"/>
        <v>-0.39579970000000003</v>
      </c>
      <c r="O129" s="183">
        <f t="shared" si="28"/>
        <v>-0.78143697527027034</v>
      </c>
      <c r="P129" s="249" t="b">
        <f t="shared" si="42"/>
        <v>0</v>
      </c>
      <c r="Q129" s="250">
        <f>COUNTIF(P$2:P129, TRUE)/(COUNTIF(P$2:P129,FALSE) + COUNTIF(P$2:P129, TRUE))</f>
        <v>0.4453125</v>
      </c>
      <c r="R129" s="337"/>
      <c r="S129" s="337"/>
      <c r="T129" s="337"/>
      <c r="U129" s="337"/>
      <c r="V129" s="250">
        <f>STDEV(D$2:D129)*SQRT(252)</f>
        <v>0.20665833739123632</v>
      </c>
      <c r="W129" s="250">
        <f>STDEV(L$2:L129)*SQRT(252)</f>
        <v>0.39434419152440775</v>
      </c>
      <c r="X129" s="174">
        <f t="shared" si="33"/>
        <v>-1.9816114756235828</v>
      </c>
    </row>
    <row r="130" spans="1:24" ht="20.100000000000001" customHeight="1" x14ac:dyDescent="0.25">
      <c r="A130" s="163">
        <f t="shared" si="27"/>
        <v>186</v>
      </c>
      <c r="B130" s="242">
        <v>42419</v>
      </c>
      <c r="C130" s="243">
        <v>1917.78</v>
      </c>
      <c r="D130" s="171">
        <f t="shared" si="25"/>
        <v>-2.6071132477828863E-5</v>
      </c>
      <c r="E130" s="244">
        <f t="shared" si="45"/>
        <v>-8.7831281748825207E-2</v>
      </c>
      <c r="F130" s="245">
        <v>4504.43</v>
      </c>
      <c r="G130" s="171">
        <f t="shared" si="23"/>
        <v>3.7659915365469529E-3</v>
      </c>
      <c r="H130" s="246">
        <f t="shared" si="46"/>
        <v>-0.11533868845375798</v>
      </c>
      <c r="I130" s="247">
        <v>236145.17</v>
      </c>
      <c r="J130" s="248">
        <v>400000</v>
      </c>
      <c r="K130" s="248">
        <f t="shared" si="40"/>
        <v>-5534.9499999999534</v>
      </c>
      <c r="L130" s="171">
        <f t="shared" si="26"/>
        <v>-2.290196645052954E-2</v>
      </c>
      <c r="M130" s="249">
        <f t="shared" si="43"/>
        <v>-163854.82999999999</v>
      </c>
      <c r="N130" s="250">
        <f t="shared" si="44"/>
        <v>-0.40963707499999996</v>
      </c>
      <c r="O130" s="183">
        <f t="shared" si="28"/>
        <v>-0.80440828840725798</v>
      </c>
      <c r="P130" s="249" t="b">
        <f t="shared" si="42"/>
        <v>0</v>
      </c>
      <c r="Q130" s="250">
        <f>COUNTIF(P$2:P130, TRUE)/(COUNTIF(P$2:P130,FALSE) + COUNTIF(P$2:P130, TRUE))</f>
        <v>0.44186046511627908</v>
      </c>
      <c r="R130" s="337"/>
      <c r="S130" s="337"/>
      <c r="T130" s="337"/>
      <c r="U130" s="337"/>
      <c r="V130" s="250">
        <f>STDEV(D$2:D130)*SQRT(252)</f>
        <v>0.20584491170892685</v>
      </c>
      <c r="W130" s="250">
        <f>STDEV(L$2:L130)*SQRT(252)</f>
        <v>0.39378743351445816</v>
      </c>
      <c r="X130" s="174">
        <f t="shared" si="33"/>
        <v>-2.0427474823868996</v>
      </c>
    </row>
    <row r="131" spans="1:24" ht="20.100000000000001" customHeight="1" x14ac:dyDescent="0.25">
      <c r="A131" s="163">
        <f t="shared" si="27"/>
        <v>189</v>
      </c>
      <c r="B131" s="172">
        <v>42422</v>
      </c>
      <c r="C131" s="215">
        <v>1945.5</v>
      </c>
      <c r="D131" s="171">
        <f t="shared" si="25"/>
        <v>1.4454212683415213E-2</v>
      </c>
      <c r="E131" s="209">
        <f t="shared" si="45"/>
        <v>-7.4646601092064488E-2</v>
      </c>
      <c r="F131" s="219">
        <v>4570.6000000000004</v>
      </c>
      <c r="G131" s="171">
        <f t="shared" si="23"/>
        <v>1.4689982972318378E-2</v>
      </c>
      <c r="H131" s="203">
        <f t="shared" si="46"/>
        <v>-0.10234302885087485</v>
      </c>
      <c r="I131" s="221">
        <v>248415.23</v>
      </c>
      <c r="J131" s="173">
        <v>400000</v>
      </c>
      <c r="K131" s="173">
        <f t="shared" si="40"/>
        <v>12270.059999999998</v>
      </c>
      <c r="L131" s="171">
        <f t="shared" si="26"/>
        <v>5.1959817768028022E-2</v>
      </c>
      <c r="M131" s="182">
        <f t="shared" si="43"/>
        <v>-151584.76999999999</v>
      </c>
      <c r="N131" s="184">
        <f t="shared" si="44"/>
        <v>-0.37896192499999998</v>
      </c>
      <c r="O131" s="183">
        <f t="shared" si="28"/>
        <v>-0.73235895823412689</v>
      </c>
      <c r="P131" s="182" t="b">
        <f t="shared" si="42"/>
        <v>1</v>
      </c>
      <c r="Q131" s="184">
        <f>COUNTIF(P$2:P131, TRUE)/(COUNTIF(P$2:P131,FALSE) + COUNTIF(P$2:P131, TRUE))</f>
        <v>0.44615384615384618</v>
      </c>
      <c r="R131" s="336"/>
      <c r="S131" s="336"/>
      <c r="T131" s="336"/>
      <c r="U131" s="336"/>
      <c r="V131" s="184">
        <f>STDEV(D$2:D131)*SQRT(252)</f>
        <v>0.20612093442208271</v>
      </c>
      <c r="W131" s="184">
        <f>STDEV(L$2:L131)*SQRT(252)</f>
        <v>0.39971891584326358</v>
      </c>
      <c r="X131" s="174">
        <f t="shared" si="33"/>
        <v>-1.8321848909479606</v>
      </c>
    </row>
    <row r="132" spans="1:24" ht="20.100000000000001" customHeight="1" x14ac:dyDescent="0.25">
      <c r="A132" s="163">
        <f t="shared" si="27"/>
        <v>190</v>
      </c>
      <c r="B132" s="172">
        <v>42423</v>
      </c>
      <c r="C132" s="208">
        <v>1921.27</v>
      </c>
      <c r="D132" s="171">
        <f t="shared" si="25"/>
        <v>-1.2454381906964801E-2</v>
      </c>
      <c r="E132" s="209">
        <f t="shared" si="45"/>
        <v>-8.6171305720971855E-2</v>
      </c>
      <c r="F132" s="219">
        <v>4503.58</v>
      </c>
      <c r="G132" s="171">
        <f t="shared" ref="G132:G165" si="47">(F132-F131)/F131</f>
        <v>-1.4663282719993093E-2</v>
      </c>
      <c r="H132" s="203">
        <f t="shared" si="46"/>
        <v>-0.11550562680440715</v>
      </c>
      <c r="I132" s="221">
        <v>238794.23</v>
      </c>
      <c r="J132" s="173">
        <v>400000</v>
      </c>
      <c r="K132" s="173">
        <f t="shared" si="40"/>
        <v>-9621</v>
      </c>
      <c r="L132" s="171">
        <f t="shared" ref="L132:L195" si="48">K132/I131</f>
        <v>-3.8729509458820213E-2</v>
      </c>
      <c r="M132" s="182">
        <f t="shared" si="43"/>
        <v>-161205.76999999999</v>
      </c>
      <c r="N132" s="184">
        <f t="shared" si="44"/>
        <v>-0.40301442499999995</v>
      </c>
      <c r="O132" s="183">
        <f t="shared" si="28"/>
        <v>-0.7747422038486842</v>
      </c>
      <c r="P132" s="182" t="b">
        <f t="shared" si="42"/>
        <v>0</v>
      </c>
      <c r="Q132" s="184">
        <f>COUNTIF(P$2:P132, TRUE)/(COUNTIF(P$2:P132,FALSE) + COUNTIF(P$2:P132, TRUE))</f>
        <v>0.44274809160305345</v>
      </c>
      <c r="R132" s="336"/>
      <c r="S132" s="336"/>
      <c r="T132" s="336"/>
      <c r="U132" s="336"/>
      <c r="V132" s="184">
        <f>STDEV(D$2:D132)*SQRT(252)</f>
        <v>0.20599200020691141</v>
      </c>
      <c r="W132" s="184">
        <f>STDEV(L$2:L132)*SQRT(252)</f>
        <v>0.40132200578539856</v>
      </c>
      <c r="X132" s="174">
        <f t="shared" si="33"/>
        <v>-1.9304752609628064</v>
      </c>
    </row>
    <row r="133" spans="1:24" ht="20.100000000000001" customHeight="1" x14ac:dyDescent="0.25">
      <c r="A133" s="163">
        <f t="shared" si="27"/>
        <v>191</v>
      </c>
      <c r="B133" s="172">
        <v>42424</v>
      </c>
      <c r="C133" s="215">
        <v>1929.8</v>
      </c>
      <c r="D133" s="171">
        <f t="shared" ref="D133:D165" si="49">(C133-C132)/C132</f>
        <v>4.439771609404182E-3</v>
      </c>
      <c r="E133" s="209">
        <f t="shared" si="45"/>
        <v>-8.2114115028252929E-2</v>
      </c>
      <c r="F133" s="219">
        <v>4542.6000000000004</v>
      </c>
      <c r="G133" s="171">
        <f t="shared" si="47"/>
        <v>8.6642182441525276E-3</v>
      </c>
      <c r="H133" s="203">
        <f t="shared" si="46"/>
        <v>-0.10784217451931565</v>
      </c>
      <c r="I133" s="221">
        <v>242422.46</v>
      </c>
      <c r="J133" s="173">
        <v>400000</v>
      </c>
      <c r="K133" s="173">
        <f t="shared" si="40"/>
        <v>3628.2299999999814</v>
      </c>
      <c r="L133" s="171">
        <f t="shared" si="48"/>
        <v>1.5193960088566551E-2</v>
      </c>
      <c r="M133" s="182">
        <f t="shared" si="43"/>
        <v>-157577.54</v>
      </c>
      <c r="N133" s="184">
        <f t="shared" si="44"/>
        <v>-0.39394385000000004</v>
      </c>
      <c r="O133" s="183">
        <f t="shared" si="28"/>
        <v>-0.75334026812827226</v>
      </c>
      <c r="P133" s="182" t="b">
        <f t="shared" si="42"/>
        <v>1</v>
      </c>
      <c r="Q133" s="184">
        <f>COUNTIF(P$2:P133, TRUE)/(COUNTIF(P$2:P133,FALSE) + COUNTIF(P$2:P133, TRUE))</f>
        <v>0.44696969696969696</v>
      </c>
      <c r="R133" s="336"/>
      <c r="S133" s="336"/>
      <c r="T133" s="336"/>
      <c r="U133" s="336"/>
      <c r="V133" s="184">
        <f>STDEV(D$2:D133)*SQRT(252)</f>
        <v>0.2053176523633603</v>
      </c>
      <c r="W133" s="184">
        <f>STDEV(L$2:L133)*SQRT(252)</f>
        <v>0.40056518042041067</v>
      </c>
      <c r="X133" s="174">
        <f t="shared" si="33"/>
        <v>-1.8806933426854744</v>
      </c>
    </row>
    <row r="134" spans="1:24" ht="20.100000000000001" customHeight="1" x14ac:dyDescent="0.25">
      <c r="A134" s="163">
        <f t="shared" si="27"/>
        <v>192</v>
      </c>
      <c r="B134" s="172">
        <v>42425</v>
      </c>
      <c r="C134" s="215">
        <v>1951.7</v>
      </c>
      <c r="D134" s="171">
        <f t="shared" si="49"/>
        <v>1.1348326251425065E-2</v>
      </c>
      <c r="E134" s="209">
        <f t="shared" ref="E134:E139" si="50">(C134-$C$2)/$C$2</f>
        <v>-7.1697646544015531E-2</v>
      </c>
      <c r="F134" s="219">
        <v>4582.2</v>
      </c>
      <c r="G134" s="171">
        <f t="shared" si="47"/>
        <v>8.7174745740323713E-3</v>
      </c>
      <c r="H134" s="203">
        <f t="shared" si="46"/>
        <v>-0.10006481135966377</v>
      </c>
      <c r="I134" s="221">
        <v>244524.77</v>
      </c>
      <c r="J134" s="173">
        <v>400000</v>
      </c>
      <c r="K134" s="173">
        <f t="shared" si="40"/>
        <v>2102.3099999999977</v>
      </c>
      <c r="L134" s="171">
        <f t="shared" si="48"/>
        <v>8.6720925115601824E-3</v>
      </c>
      <c r="M134" s="182">
        <f t="shared" si="43"/>
        <v>-155475.23000000001</v>
      </c>
      <c r="N134" s="184">
        <f t="shared" si="44"/>
        <v>-0.38868807500000002</v>
      </c>
      <c r="O134" s="183">
        <f t="shared" si="28"/>
        <v>-0.73941833017578129</v>
      </c>
      <c r="P134" s="182" t="b">
        <f t="shared" si="42"/>
        <v>0</v>
      </c>
      <c r="Q134" s="184">
        <f>COUNTIF(P$2:P134, TRUE)/(COUNTIF(P$2:P134,FALSE) + COUNTIF(P$2:P134, TRUE))</f>
        <v>0.44360902255639095</v>
      </c>
      <c r="R134" s="336"/>
      <c r="S134" s="336"/>
      <c r="T134" s="336"/>
      <c r="U134" s="336"/>
      <c r="V134" s="184">
        <f>STDEV(D$2:D134)*SQRT(252)</f>
        <v>0.2051944315202551</v>
      </c>
      <c r="W134" s="184">
        <f>STDEV(L$2:L134)*SQRT(252)</f>
        <v>0.399347738080158</v>
      </c>
      <c r="X134" s="174">
        <f t="shared" si="33"/>
        <v>-1.8515650889385118</v>
      </c>
    </row>
    <row r="135" spans="1:24" ht="20.100000000000001" customHeight="1" x14ac:dyDescent="0.25">
      <c r="A135" s="163">
        <f t="shared" ref="A135:A198" si="51">B135-$B$2</f>
        <v>193</v>
      </c>
      <c r="B135" s="172">
        <v>42426</v>
      </c>
      <c r="C135" s="215">
        <v>1948.05</v>
      </c>
      <c r="D135" s="171">
        <f t="shared" si="49"/>
        <v>-1.8701644719988169E-3</v>
      </c>
      <c r="E135" s="209">
        <f t="shared" si="50"/>
        <v>-7.3433724624721794E-2</v>
      </c>
      <c r="F135" s="219">
        <v>4590.47</v>
      </c>
      <c r="G135" s="171">
        <f t="shared" si="47"/>
        <v>1.8048099166340266E-3</v>
      </c>
      <c r="H135" s="203">
        <f t="shared" si="46"/>
        <v>-9.8440599406877771E-2</v>
      </c>
      <c r="I135" s="221">
        <v>251916.67</v>
      </c>
      <c r="J135" s="173">
        <v>400000</v>
      </c>
      <c r="K135" s="173">
        <f t="shared" si="40"/>
        <v>7391.9000000000233</v>
      </c>
      <c r="L135" s="171">
        <f t="shared" si="48"/>
        <v>3.0229657306292623E-2</v>
      </c>
      <c r="M135" s="182">
        <f t="shared" si="43"/>
        <v>-148083.32999999999</v>
      </c>
      <c r="N135" s="184">
        <f t="shared" si="44"/>
        <v>-0.37020832499999995</v>
      </c>
      <c r="O135" s="183">
        <f t="shared" ref="O135:O198" si="52">N135/(A135/365.25)</f>
        <v>-0.70061445961787561</v>
      </c>
      <c r="P135" s="182" t="b">
        <f t="shared" si="42"/>
        <v>1</v>
      </c>
      <c r="Q135" s="184">
        <f>COUNTIF(P$2:P135, TRUE)/(COUNTIF(P$2:P135,FALSE) + COUNTIF(P$2:P135, TRUE))</f>
        <v>0.44776119402985076</v>
      </c>
      <c r="R135" s="336"/>
      <c r="S135" s="336"/>
      <c r="T135" s="336"/>
      <c r="U135" s="336"/>
      <c r="V135" s="184">
        <f>STDEV(D$2:D135)*SQRT(252)</f>
        <v>0.20442465292014791</v>
      </c>
      <c r="W135" s="184">
        <f>STDEV(L$2:L135)*SQRT(252)</f>
        <v>0.40040715107254371</v>
      </c>
      <c r="X135" s="174">
        <f t="shared" si="33"/>
        <v>-1.7497551123679653</v>
      </c>
    </row>
    <row r="136" spans="1:24" ht="20.100000000000001" customHeight="1" x14ac:dyDescent="0.25">
      <c r="A136" s="163">
        <f t="shared" si="51"/>
        <v>196</v>
      </c>
      <c r="B136" s="242">
        <v>42429</v>
      </c>
      <c r="C136" s="243">
        <v>1932.23</v>
      </c>
      <c r="D136" s="171">
        <f t="shared" si="49"/>
        <v>-8.1209414542747545E-3</v>
      </c>
      <c r="E136" s="244">
        <f t="shared" si="50"/>
        <v>-8.0958315100549849E-2</v>
      </c>
      <c r="F136" s="245">
        <v>4557.95</v>
      </c>
      <c r="G136" s="171">
        <f t="shared" si="47"/>
        <v>-7.0842419185835953E-3</v>
      </c>
      <c r="H136" s="246">
        <f t="shared" si="46"/>
        <v>-0.10482746430465267</v>
      </c>
      <c r="I136" s="414">
        <v>254134.09</v>
      </c>
      <c r="J136" s="248">
        <v>400000</v>
      </c>
      <c r="K136" s="248">
        <f t="shared" si="40"/>
        <v>2217.4199999999837</v>
      </c>
      <c r="L136" s="171">
        <f t="shared" si="48"/>
        <v>8.8021963770797042E-3</v>
      </c>
      <c r="M136" s="249">
        <f t="shared" si="43"/>
        <v>-145865.91</v>
      </c>
      <c r="N136" s="250">
        <f t="shared" si="44"/>
        <v>-0.364664775</v>
      </c>
      <c r="O136" s="183">
        <f t="shared" si="52"/>
        <v>-0.67956025035076528</v>
      </c>
      <c r="P136" s="249" t="b">
        <f t="shared" si="42"/>
        <v>1</v>
      </c>
      <c r="Q136" s="250">
        <f>COUNTIF(P$2:P136, TRUE)/(COUNTIF(P$2:P136,FALSE) + COUNTIF(P$2:P136, TRUE))</f>
        <v>0.45185185185185184</v>
      </c>
      <c r="R136" s="337"/>
      <c r="S136" s="337"/>
      <c r="T136" s="337"/>
      <c r="U136" s="337"/>
      <c r="V136" s="250">
        <f>STDEV(D$2:D136)*SQRT(252)</f>
        <v>0.20392331073233147</v>
      </c>
      <c r="W136" s="250">
        <f>STDEV(L$2:L136)*SQRT(252)</f>
        <v>0.39919785402030938</v>
      </c>
      <c r="X136" s="174">
        <f t="shared" si="33"/>
        <v>-1.7023143874821338</v>
      </c>
    </row>
    <row r="137" spans="1:24" ht="20.100000000000001" customHeight="1" x14ac:dyDescent="0.25">
      <c r="A137" s="163">
        <f t="shared" si="51"/>
        <v>197</v>
      </c>
      <c r="B137" s="242">
        <v>42430</v>
      </c>
      <c r="C137" s="243">
        <v>1978.35</v>
      </c>
      <c r="D137" s="171">
        <f t="shared" si="49"/>
        <v>2.3868794087660315E-2</v>
      </c>
      <c r="E137" s="244">
        <f t="shared" si="50"/>
        <v>-5.9021898365708481E-2</v>
      </c>
      <c r="F137" s="245">
        <v>4689.59</v>
      </c>
      <c r="G137" s="171">
        <f t="shared" si="47"/>
        <v>2.8881405017606672E-2</v>
      </c>
      <c r="H137" s="246">
        <f t="shared" si="46"/>
        <v>-7.8973623740597382E-2</v>
      </c>
      <c r="I137" s="247">
        <v>256289.63</v>
      </c>
      <c r="J137" s="248">
        <v>400000</v>
      </c>
      <c r="K137" s="248">
        <f t="shared" si="40"/>
        <v>2155.5400000000373</v>
      </c>
      <c r="L137" s="171">
        <f t="shared" si="48"/>
        <v>8.4819002440799547E-3</v>
      </c>
      <c r="M137" s="249">
        <f t="shared" si="43"/>
        <v>-143710.37</v>
      </c>
      <c r="N137" s="250">
        <f t="shared" si="44"/>
        <v>-0.359275925</v>
      </c>
      <c r="O137" s="183">
        <f t="shared" si="52"/>
        <v>-0.66611944977791882</v>
      </c>
      <c r="P137" s="249" t="b">
        <f t="shared" si="42"/>
        <v>0</v>
      </c>
      <c r="Q137" s="250">
        <f>COUNTIF(P$2:P137, TRUE)/(COUNTIF(P$2:P137,FALSE) + COUNTIF(P$2:P137, TRUE))</f>
        <v>0.4485294117647059</v>
      </c>
      <c r="R137" s="337"/>
      <c r="S137" s="337"/>
      <c r="T137" s="337"/>
      <c r="U137" s="337"/>
      <c r="V137" s="250">
        <f>STDEV(D$2:D137)*SQRT(252)</f>
        <v>0.205881606235845</v>
      </c>
      <c r="W137" s="250">
        <f>STDEV(L$2:L137)*SQRT(252)</f>
        <v>0.39798205719407453</v>
      </c>
      <c r="X137" s="174">
        <f t="shared" si="33"/>
        <v>-1.6737424156111842</v>
      </c>
    </row>
    <row r="138" spans="1:24" ht="20.100000000000001" customHeight="1" x14ac:dyDescent="0.25">
      <c r="A138" s="163">
        <f t="shared" si="51"/>
        <v>198</v>
      </c>
      <c r="B138" s="242">
        <v>42431</v>
      </c>
      <c r="C138" s="332">
        <v>1986.4749999999999</v>
      </c>
      <c r="D138" s="171">
        <f t="shared" si="49"/>
        <v>4.1069578183840069E-3</v>
      </c>
      <c r="E138" s="244">
        <f t="shared" si="50"/>
        <v>-5.5157340994273385E-2</v>
      </c>
      <c r="F138" s="245">
        <v>4703.42</v>
      </c>
      <c r="G138" s="171">
        <f t="shared" si="47"/>
        <v>2.9490851012561711E-3</v>
      </c>
      <c r="H138" s="246">
        <f t="shared" si="46"/>
        <v>-7.6257438576506811E-2</v>
      </c>
      <c r="I138" s="247">
        <v>273591.05</v>
      </c>
      <c r="J138" s="248">
        <v>400000</v>
      </c>
      <c r="K138" s="248">
        <f t="shared" si="40"/>
        <v>17301.419999999984</v>
      </c>
      <c r="L138" s="171">
        <f t="shared" si="48"/>
        <v>6.7507296335009667E-2</v>
      </c>
      <c r="M138" s="249">
        <f t="shared" si="43"/>
        <v>-126408.95000000001</v>
      </c>
      <c r="N138" s="250">
        <f t="shared" si="44"/>
        <v>-0.31602237500000002</v>
      </c>
      <c r="O138" s="183">
        <f t="shared" si="52"/>
        <v>-0.58296551751893944</v>
      </c>
      <c r="P138" s="249" t="b">
        <f t="shared" si="42"/>
        <v>1</v>
      </c>
      <c r="Q138" s="250">
        <f>COUNTIF(P$2:P138, TRUE)/(COUNTIF(P$2:P138,FALSE) + COUNTIF(P$2:P138, TRUE))</f>
        <v>0.45255474452554745</v>
      </c>
      <c r="R138" s="337"/>
      <c r="S138" s="337"/>
      <c r="T138" s="337"/>
      <c r="U138" s="337"/>
      <c r="V138" s="250">
        <f>STDEV(D$2:D138)*SQRT(252)</f>
        <v>0.20520805198323436</v>
      </c>
      <c r="W138" s="250">
        <f>STDEV(L$2:L138)*SQRT(252)</f>
        <v>0.40773104370834762</v>
      </c>
      <c r="X138" s="174">
        <f t="shared" si="33"/>
        <v>-1.4297795728694578</v>
      </c>
    </row>
    <row r="139" spans="1:24" ht="20.100000000000001" customHeight="1" x14ac:dyDescent="0.25">
      <c r="A139" s="163">
        <f t="shared" si="51"/>
        <v>199</v>
      </c>
      <c r="B139" s="242">
        <v>42432</v>
      </c>
      <c r="C139" s="332">
        <v>1993.4</v>
      </c>
      <c r="D139" s="171">
        <f t="shared" si="49"/>
        <v>3.4860745793428975E-3</v>
      </c>
      <c r="E139" s="244">
        <f t="shared" si="50"/>
        <v>-5.1863549019234775E-2</v>
      </c>
      <c r="F139" s="245">
        <v>4707.42</v>
      </c>
      <c r="G139" s="171">
        <f t="shared" si="47"/>
        <v>8.5044499534381367E-4</v>
      </c>
      <c r="H139" s="246">
        <f t="shared" si="46"/>
        <v>-7.5471846338158136E-2</v>
      </c>
      <c r="I139" s="247">
        <v>284465.09999999998</v>
      </c>
      <c r="J139" s="248">
        <v>400000</v>
      </c>
      <c r="K139" s="248">
        <f t="shared" si="40"/>
        <v>10874.049999999988</v>
      </c>
      <c r="L139" s="171">
        <f t="shared" si="48"/>
        <v>3.9745634954067355E-2</v>
      </c>
      <c r="M139" s="249">
        <f t="shared" si="43"/>
        <v>-115534.90000000002</v>
      </c>
      <c r="N139" s="250">
        <f t="shared" si="44"/>
        <v>-0.28883725000000005</v>
      </c>
      <c r="O139" s="183">
        <f t="shared" si="52"/>
        <v>-0.53013972644472374</v>
      </c>
      <c r="P139" s="249" t="b">
        <f t="shared" si="42"/>
        <v>1</v>
      </c>
      <c r="Q139" s="250">
        <f>COUNTIF(P$2:P139, TRUE)/(COUNTIF(P$2:P139,FALSE) + COUNTIF(P$2:P139, TRUE))</f>
        <v>0.45652173913043476</v>
      </c>
      <c r="R139" s="337"/>
      <c r="S139" s="337"/>
      <c r="T139" s="337"/>
      <c r="U139" s="337"/>
      <c r="V139" s="250">
        <f>STDEV(D$2:D139)*SQRT(252)</f>
        <v>0.20451785527923064</v>
      </c>
      <c r="W139" s="250">
        <f>STDEV(L$2:L139)*SQRT(252)</f>
        <v>0.41011498593156359</v>
      </c>
      <c r="X139" s="174">
        <f t="shared" si="33"/>
        <v>-1.2926611916912221</v>
      </c>
    </row>
    <row r="140" spans="1:24" ht="20.100000000000001" customHeight="1" x14ac:dyDescent="0.25">
      <c r="A140" s="163">
        <f t="shared" si="51"/>
        <v>200</v>
      </c>
      <c r="B140" s="242">
        <v>42433</v>
      </c>
      <c r="C140" s="243">
        <v>1999.99</v>
      </c>
      <c r="D140" s="171">
        <f t="shared" si="49"/>
        <v>3.3059095013544286E-3</v>
      </c>
      <c r="E140" s="244">
        <f t="shared" ref="E140:E171" si="53">(C140-$C$2)/$C$2</f>
        <v>-4.8729095717356993E-2</v>
      </c>
      <c r="F140" s="245">
        <v>4717.0200000000004</v>
      </c>
      <c r="G140" s="171">
        <f t="shared" si="47"/>
        <v>2.0393336477306811E-3</v>
      </c>
      <c r="H140" s="246">
        <f t="shared" si="46"/>
        <v>-7.3586424966121222E-2</v>
      </c>
      <c r="I140" s="247">
        <v>295168.58</v>
      </c>
      <c r="J140" s="248">
        <v>400000</v>
      </c>
      <c r="K140" s="248">
        <f t="shared" si="40"/>
        <v>10703.48000000004</v>
      </c>
      <c r="L140" s="171">
        <f t="shared" si="48"/>
        <v>3.7626689530631495E-2</v>
      </c>
      <c r="M140" s="249">
        <f t="shared" si="43"/>
        <v>-104831.41999999998</v>
      </c>
      <c r="N140" s="250">
        <f t="shared" si="44"/>
        <v>-0.26207854999999997</v>
      </c>
      <c r="O140" s="183">
        <f t="shared" si="52"/>
        <v>-0.47862095193749998</v>
      </c>
      <c r="P140" s="249" t="b">
        <f t="shared" si="42"/>
        <v>1</v>
      </c>
      <c r="Q140" s="250">
        <f>COUNTIF(P$2:P140, TRUE)/(COUNTIF(P$2:P140,FALSE) + COUNTIF(P$2:P140, TRUE))</f>
        <v>0.46043165467625902</v>
      </c>
      <c r="R140" s="337"/>
      <c r="S140" s="337"/>
      <c r="T140" s="337"/>
      <c r="U140" s="337"/>
      <c r="V140" s="250">
        <f>STDEV(D$2:D140)*SQRT(252)</f>
        <v>0.20382852547723848</v>
      </c>
      <c r="W140" s="250">
        <f>STDEV(L$2:L140)*SQRT(252)</f>
        <v>0.41201829569755161</v>
      </c>
      <c r="X140" s="174">
        <f t="shared" si="33"/>
        <v>-1.1616497542352806</v>
      </c>
    </row>
    <row r="141" spans="1:24" ht="20.100000000000001" customHeight="1" x14ac:dyDescent="0.25">
      <c r="A141" s="163">
        <f t="shared" si="51"/>
        <v>203</v>
      </c>
      <c r="B141" s="172">
        <v>42436</v>
      </c>
      <c r="C141" s="215">
        <v>2001.76</v>
      </c>
      <c r="D141" s="171">
        <f t="shared" si="49"/>
        <v>8.8500442502211603E-4</v>
      </c>
      <c r="E141" s="209">
        <f t="shared" si="53"/>
        <v>-4.7887216757672067E-2</v>
      </c>
      <c r="F141" s="219">
        <v>4708.5200000000004</v>
      </c>
      <c r="G141" s="171">
        <f t="shared" si="47"/>
        <v>-1.8019851516423502E-3</v>
      </c>
      <c r="H141" s="203">
        <f t="shared" si="46"/>
        <v>-7.5255808472612165E-2</v>
      </c>
      <c r="I141" s="221">
        <v>295332.12</v>
      </c>
      <c r="J141" s="173">
        <v>400000</v>
      </c>
      <c r="K141" s="173">
        <f t="shared" si="40"/>
        <v>163.53999999997905</v>
      </c>
      <c r="L141" s="171">
        <f t="shared" si="48"/>
        <v>5.5405626167927171E-4</v>
      </c>
      <c r="M141" s="182">
        <f t="shared" si="43"/>
        <v>-104667.88</v>
      </c>
      <c r="N141" s="184">
        <f t="shared" si="44"/>
        <v>-0.26166970000000001</v>
      </c>
      <c r="O141" s="183">
        <f t="shared" si="52"/>
        <v>-0.47081210800492612</v>
      </c>
      <c r="P141" s="182" t="b">
        <f t="shared" si="42"/>
        <v>0</v>
      </c>
      <c r="Q141" s="184">
        <f>COUNTIF(P$2:P141, TRUE)/(COUNTIF(P$2:P141,FALSE) + COUNTIF(P$2:P141, TRUE))</f>
        <v>0.45714285714285713</v>
      </c>
      <c r="R141" s="336"/>
      <c r="S141" s="336"/>
      <c r="T141" s="336"/>
      <c r="U141" s="336"/>
      <c r="V141" s="184">
        <f>STDEV(D$2:D141)*SQRT(252)</f>
        <v>0.20309473146639889</v>
      </c>
      <c r="W141" s="184">
        <f>STDEV(L$2:L141)*SQRT(252)</f>
        <v>0.41052951691081185</v>
      </c>
      <c r="X141" s="174">
        <f t="shared" si="33"/>
        <v>-1.1468410640670468</v>
      </c>
    </row>
    <row r="142" spans="1:24" ht="20.100000000000001" customHeight="1" x14ac:dyDescent="0.25">
      <c r="A142" s="163">
        <f t="shared" si="51"/>
        <v>204</v>
      </c>
      <c r="B142" s="172">
        <v>42437</v>
      </c>
      <c r="C142" s="215">
        <v>1979.26</v>
      </c>
      <c r="D142" s="171">
        <f t="shared" si="49"/>
        <v>-1.124010870434018E-2</v>
      </c>
      <c r="E142" s="209">
        <f t="shared" si="53"/>
        <v>-5.8589067940107716E-2</v>
      </c>
      <c r="F142" s="219">
        <v>4648.82</v>
      </c>
      <c r="G142" s="171">
        <f t="shared" si="47"/>
        <v>-1.2679143340157994E-2</v>
      </c>
      <c r="H142" s="203">
        <f t="shared" ref="H142:H173" si="54">(F142-F$2)/F$2</f>
        <v>-8.6980772629966438E-2</v>
      </c>
      <c r="I142" s="221">
        <v>279655.23</v>
      </c>
      <c r="J142" s="173">
        <v>400000</v>
      </c>
      <c r="K142" s="173">
        <f t="shared" si="40"/>
        <v>-15676.890000000014</v>
      </c>
      <c r="L142" s="171">
        <f t="shared" si="48"/>
        <v>-5.3082238396555084E-2</v>
      </c>
      <c r="M142" s="182">
        <f t="shared" si="43"/>
        <v>-120344.77000000002</v>
      </c>
      <c r="N142" s="184">
        <f t="shared" si="44"/>
        <v>-0.30086192500000003</v>
      </c>
      <c r="O142" s="183">
        <f t="shared" si="52"/>
        <v>-0.53867557895220597</v>
      </c>
      <c r="P142" s="182" t="b">
        <f t="shared" si="42"/>
        <v>0</v>
      </c>
      <c r="Q142" s="184">
        <f>COUNTIF(P$2:P142, TRUE)/(COUNTIF(P$2:P142,FALSE) + COUNTIF(P$2:P142, TRUE))</f>
        <v>0.45390070921985815</v>
      </c>
      <c r="R142" s="336"/>
      <c r="S142" s="336"/>
      <c r="T142" s="336"/>
      <c r="U142" s="336"/>
      <c r="V142" s="184">
        <f>STDEV(D$2:D142)*SQRT(252)</f>
        <v>0.2028972139328496</v>
      </c>
      <c r="W142" s="184">
        <f>STDEV(L$2:L142)*SQRT(252)</f>
        <v>0.41493428525347442</v>
      </c>
      <c r="X142" s="174">
        <f t="shared" si="33"/>
        <v>-1.2982190146643116</v>
      </c>
    </row>
    <row r="143" spans="1:24" ht="20.100000000000001" customHeight="1" x14ac:dyDescent="0.25">
      <c r="A143" s="163">
        <f t="shared" si="51"/>
        <v>205</v>
      </c>
      <c r="B143" s="172">
        <v>42438</v>
      </c>
      <c r="C143" s="215">
        <v>1989.26</v>
      </c>
      <c r="D143" s="171">
        <f t="shared" si="49"/>
        <v>5.0523933187150757E-3</v>
      </c>
      <c r="E143" s="209">
        <f t="shared" si="53"/>
        <v>-5.3832689636802981E-2</v>
      </c>
      <c r="F143" s="219">
        <v>4674.37</v>
      </c>
      <c r="G143" s="171">
        <f t="shared" si="47"/>
        <v>5.4960183444401336E-3</v>
      </c>
      <c r="H143" s="203">
        <f t="shared" si="54"/>
        <v>-8.1962802207514174E-2</v>
      </c>
      <c r="I143" s="221">
        <v>284441.56</v>
      </c>
      <c r="J143" s="173">
        <v>400000</v>
      </c>
      <c r="K143" s="173">
        <f t="shared" si="40"/>
        <v>4786.3300000000163</v>
      </c>
      <c r="L143" s="171">
        <f t="shared" si="48"/>
        <v>1.7115109915877547E-2</v>
      </c>
      <c r="M143" s="182">
        <f t="shared" si="43"/>
        <v>-115558.44</v>
      </c>
      <c r="N143" s="184">
        <f t="shared" si="44"/>
        <v>-0.28889609999999999</v>
      </c>
      <c r="O143" s="183">
        <f t="shared" si="52"/>
        <v>-0.5147282952439024</v>
      </c>
      <c r="P143" s="182" t="b">
        <f t="shared" si="42"/>
        <v>1</v>
      </c>
      <c r="Q143" s="184">
        <f>COUNTIF(P$2:P143, TRUE)/(COUNTIF(P$2:P143,FALSE) + COUNTIF(P$2:P143, TRUE))</f>
        <v>0.45774647887323944</v>
      </c>
      <c r="R143" s="336"/>
      <c r="S143" s="336"/>
      <c r="T143" s="336"/>
      <c r="U143" s="336"/>
      <c r="V143" s="184">
        <f>STDEV(D$2:D143)*SQRT(252)</f>
        <v>0.20230024410689199</v>
      </c>
      <c r="W143" s="184">
        <f>STDEV(L$2:L143)*SQRT(252)</f>
        <v>0.41420228414527577</v>
      </c>
      <c r="X143" s="174">
        <f t="shared" si="33"/>
        <v>-1.2426978675553815</v>
      </c>
    </row>
    <row r="144" spans="1:24" ht="20.100000000000001" customHeight="1" x14ac:dyDescent="0.25">
      <c r="A144" s="163">
        <f t="shared" si="51"/>
        <v>206</v>
      </c>
      <c r="B144" s="172">
        <v>42439</v>
      </c>
      <c r="C144" s="215">
        <v>1989.57</v>
      </c>
      <c r="D144" s="171">
        <f t="shared" si="49"/>
        <v>1.5583684385145504E-4</v>
      </c>
      <c r="E144" s="209">
        <f t="shared" si="53"/>
        <v>-5.3685241909400563E-2</v>
      </c>
      <c r="F144" s="219">
        <v>4662.1499999999996</v>
      </c>
      <c r="G144" s="171">
        <f t="shared" si="47"/>
        <v>-2.6142560387817514E-3</v>
      </c>
      <c r="H144" s="203">
        <f t="shared" si="54"/>
        <v>-8.4362786495669459E-2</v>
      </c>
      <c r="I144" s="221">
        <v>287418.99</v>
      </c>
      <c r="J144" s="173">
        <v>400000</v>
      </c>
      <c r="K144" s="173">
        <f t="shared" si="40"/>
        <v>2977.429999999993</v>
      </c>
      <c r="L144" s="171">
        <f t="shared" si="48"/>
        <v>1.0467633492095856E-2</v>
      </c>
      <c r="M144" s="182">
        <f t="shared" si="43"/>
        <v>-112581.01000000001</v>
      </c>
      <c r="N144" s="184">
        <f t="shared" si="44"/>
        <v>-0.28145252500000001</v>
      </c>
      <c r="O144" s="183">
        <f t="shared" si="52"/>
        <v>-0.49903172211771846</v>
      </c>
      <c r="P144" s="182" t="b">
        <f t="shared" si="42"/>
        <v>1</v>
      </c>
      <c r="Q144" s="184">
        <f>COUNTIF(P$2:P144, TRUE)/(COUNTIF(P$2:P144,FALSE) + COUNTIF(P$2:P144, TRUE))</f>
        <v>0.46153846153846156</v>
      </c>
      <c r="R144" s="336"/>
      <c r="S144" s="336"/>
      <c r="T144" s="336"/>
      <c r="U144" s="336"/>
      <c r="V144" s="184">
        <f>STDEV(D$2:D144)*SQRT(252)</f>
        <v>0.20158255288168328</v>
      </c>
      <c r="W144" s="184">
        <f>STDEV(L$2:L144)*SQRT(252)</f>
        <v>0.41303460915058671</v>
      </c>
      <c r="X144" s="174">
        <f t="shared" si="33"/>
        <v>-1.2082080074209431</v>
      </c>
    </row>
    <row r="145" spans="1:24" ht="20.100000000000001" customHeight="1" x14ac:dyDescent="0.25">
      <c r="A145" s="163">
        <f t="shared" si="51"/>
        <v>207</v>
      </c>
      <c r="B145" s="172">
        <v>42440</v>
      </c>
      <c r="C145" s="215">
        <v>2022.19</v>
      </c>
      <c r="D145" s="171">
        <f t="shared" si="49"/>
        <v>1.6395502545776285E-2</v>
      </c>
      <c r="E145" s="209">
        <f t="shared" si="53"/>
        <v>-3.816993588402047E-2</v>
      </c>
      <c r="F145" s="219">
        <v>4748.47</v>
      </c>
      <c r="G145" s="171">
        <f t="shared" si="47"/>
        <v>1.8515062792917564E-2</v>
      </c>
      <c r="H145" s="203">
        <f t="shared" si="54"/>
        <v>-6.7409705992104718E-2</v>
      </c>
      <c r="I145" s="221">
        <v>297529.25</v>
      </c>
      <c r="J145" s="173">
        <v>400000</v>
      </c>
      <c r="K145" s="173">
        <f t="shared" si="40"/>
        <v>10110.260000000009</v>
      </c>
      <c r="L145" s="171">
        <f t="shared" si="48"/>
        <v>3.5176033427714741E-2</v>
      </c>
      <c r="M145" s="182">
        <f t="shared" si="43"/>
        <v>-102470.75</v>
      </c>
      <c r="N145" s="184">
        <f t="shared" si="44"/>
        <v>-0.25617687500000003</v>
      </c>
      <c r="O145" s="183">
        <f t="shared" si="52"/>
        <v>-0.45202223958333343</v>
      </c>
      <c r="P145" s="182" t="b">
        <f t="shared" si="42"/>
        <v>1</v>
      </c>
      <c r="Q145" s="184">
        <f>COUNTIF(P$2:P145, TRUE)/(COUNTIF(P$2:P145,FALSE) + COUNTIF(P$2:P145, TRUE))</f>
        <v>0.46527777777777779</v>
      </c>
      <c r="R145" s="336"/>
      <c r="S145" s="336"/>
      <c r="T145" s="336"/>
      <c r="U145" s="336"/>
      <c r="V145" s="184">
        <f>STDEV(D$2:D145)*SQRT(252)</f>
        <v>0.20209170666788678</v>
      </c>
      <c r="W145" s="184">
        <f>STDEV(L$2:L145)*SQRT(252)</f>
        <v>0.41442203469244021</v>
      </c>
      <c r="X145" s="174">
        <f t="shared" si="33"/>
        <v>-1.0907292608579511</v>
      </c>
    </row>
    <row r="146" spans="1:24" ht="20.100000000000001" customHeight="1" x14ac:dyDescent="0.25">
      <c r="A146" s="163">
        <f t="shared" si="51"/>
        <v>210</v>
      </c>
      <c r="B146" s="242">
        <v>42443</v>
      </c>
      <c r="C146" s="243">
        <v>2019.64</v>
      </c>
      <c r="D146" s="171">
        <f t="shared" si="49"/>
        <v>-1.261009103991195E-3</v>
      </c>
      <c r="E146" s="244">
        <f t="shared" si="53"/>
        <v>-3.9382812351363157E-2</v>
      </c>
      <c r="F146" s="245">
        <v>4750.28</v>
      </c>
      <c r="G146" s="171">
        <f t="shared" si="47"/>
        <v>3.8117541018464697E-4</v>
      </c>
      <c r="H146" s="246">
        <f t="shared" si="54"/>
        <v>-6.7054225504252038E-2</v>
      </c>
      <c r="I146" s="247">
        <v>295383.49</v>
      </c>
      <c r="J146" s="248">
        <v>400000</v>
      </c>
      <c r="K146" s="248">
        <f t="shared" si="40"/>
        <v>-2145.7600000000093</v>
      </c>
      <c r="L146" s="171">
        <f t="shared" si="48"/>
        <v>-7.2119295833939327E-3</v>
      </c>
      <c r="M146" s="249">
        <f t="shared" si="43"/>
        <v>-104616.51000000001</v>
      </c>
      <c r="N146" s="250">
        <f t="shared" si="44"/>
        <v>-0.26154127500000002</v>
      </c>
      <c r="O146" s="183">
        <f t="shared" si="52"/>
        <v>-0.45489500330357147</v>
      </c>
      <c r="P146" s="249" t="b">
        <f t="shared" si="42"/>
        <v>0</v>
      </c>
      <c r="Q146" s="250">
        <f>COUNTIF(P$2:P146, TRUE)/(COUNTIF(P$2:P146,FALSE) + COUNTIF(P$2:P146, TRUE))</f>
        <v>0.46206896551724136</v>
      </c>
      <c r="R146" s="248"/>
      <c r="S146" s="248"/>
      <c r="T146" s="248"/>
      <c r="U146" s="248"/>
      <c r="V146" s="250">
        <f>STDEV(D$2:D146)*SQRT(252)</f>
        <v>0.20138882204680125</v>
      </c>
      <c r="W146" s="250">
        <f>STDEV(L$2:L146)*SQRT(252)</f>
        <v>0.41305007987980863</v>
      </c>
      <c r="X146" s="174">
        <f t="shared" si="33"/>
        <v>-1.1013071427947407</v>
      </c>
    </row>
    <row r="147" spans="1:24" ht="20.100000000000001" customHeight="1" x14ac:dyDescent="0.25">
      <c r="A147" s="163">
        <f t="shared" si="51"/>
        <v>211</v>
      </c>
      <c r="B147" s="242">
        <v>42444</v>
      </c>
      <c r="C147" s="243">
        <v>2015.93</v>
      </c>
      <c r="D147" s="171">
        <f t="shared" si="49"/>
        <v>-1.8369610425620587E-3</v>
      </c>
      <c r="E147" s="244">
        <f t="shared" si="53"/>
        <v>-4.1147428701889227E-2</v>
      </c>
      <c r="F147" s="245">
        <v>4728.66</v>
      </c>
      <c r="G147" s="171">
        <f t="shared" si="47"/>
        <v>-4.5513106595821496E-3</v>
      </c>
      <c r="H147" s="246">
        <f t="shared" si="54"/>
        <v>-7.1300351552526661E-2</v>
      </c>
      <c r="I147" s="247">
        <v>295669.06</v>
      </c>
      <c r="J147" s="248">
        <v>400000</v>
      </c>
      <c r="K147" s="248">
        <f t="shared" si="40"/>
        <v>285.57000000000698</v>
      </c>
      <c r="L147" s="171">
        <f t="shared" si="48"/>
        <v>9.6677712082014809E-4</v>
      </c>
      <c r="M147" s="249">
        <f t="shared" si="43"/>
        <v>-104330.94</v>
      </c>
      <c r="N147" s="250">
        <f t="shared" si="44"/>
        <v>-0.26082735000000001</v>
      </c>
      <c r="O147" s="183">
        <f t="shared" si="52"/>
        <v>-0.45150326818720377</v>
      </c>
      <c r="P147" s="249" t="b">
        <f t="shared" si="42"/>
        <v>1</v>
      </c>
      <c r="Q147" s="250">
        <f>COUNTIF(P$2:P147, TRUE)/(COUNTIF(P$2:P147,FALSE) + COUNTIF(P$2:P147, TRUE))</f>
        <v>0.46575342465753422</v>
      </c>
      <c r="R147" s="248"/>
      <c r="S147" s="248"/>
      <c r="T147" s="248"/>
      <c r="U147" s="248"/>
      <c r="V147" s="250">
        <f>STDEV(D$2:D147)*SQRT(252)</f>
        <v>0.20069995386729664</v>
      </c>
      <c r="W147" s="250">
        <f>STDEV(L$2:L147)*SQRT(252)</f>
        <v>0.41162261053938765</v>
      </c>
      <c r="X147" s="174">
        <f t="shared" si="33"/>
        <v>-1.0968864601377382</v>
      </c>
    </row>
    <row r="148" spans="1:24" ht="20.100000000000001" customHeight="1" x14ac:dyDescent="0.25">
      <c r="A148" s="163">
        <f t="shared" si="51"/>
        <v>212</v>
      </c>
      <c r="B148" s="242">
        <v>42445</v>
      </c>
      <c r="C148" s="243">
        <v>2027.22</v>
      </c>
      <c r="D148" s="171">
        <f t="shared" si="49"/>
        <v>5.6003928707841853E-3</v>
      </c>
      <c r="E148" s="244">
        <f t="shared" si="53"/>
        <v>-3.5777477597458203E-2</v>
      </c>
      <c r="F148" s="245">
        <v>4763.97</v>
      </c>
      <c r="G148" s="171">
        <f t="shared" si="47"/>
        <v>7.467231731611154E-3</v>
      </c>
      <c r="H148" s="246">
        <f t="shared" si="54"/>
        <v>-6.4365536068503565E-2</v>
      </c>
      <c r="I148" s="247">
        <v>297622.03999999998</v>
      </c>
      <c r="J148" s="248">
        <v>400000</v>
      </c>
      <c r="K148" s="248">
        <f t="shared" si="40"/>
        <v>1952.9799999999814</v>
      </c>
      <c r="L148" s="171">
        <f t="shared" si="48"/>
        <v>6.6052903878409917E-3</v>
      </c>
      <c r="M148" s="249">
        <f t="shared" si="43"/>
        <v>-102377.96000000002</v>
      </c>
      <c r="N148" s="250">
        <f t="shared" si="44"/>
        <v>-0.25594490000000003</v>
      </c>
      <c r="O148" s="183">
        <f t="shared" si="52"/>
        <v>-0.44096167323113211</v>
      </c>
      <c r="P148" s="249" t="b">
        <f t="shared" si="42"/>
        <v>1</v>
      </c>
      <c r="Q148" s="250">
        <f>COUNTIF(P$2:P148, TRUE)/(COUNTIF(P$2:P148,FALSE) + COUNTIF(P$2:P148, TRUE))</f>
        <v>0.46938775510204084</v>
      </c>
      <c r="R148" s="248">
        <v>208116.46</v>
      </c>
      <c r="S148" s="248">
        <f t="shared" ref="S148:S153" si="55">I148-R148</f>
        <v>89505.579999999987</v>
      </c>
      <c r="T148" s="248"/>
      <c r="U148" s="248"/>
      <c r="V148" s="250">
        <f>STDEV(D$2:D148)*SQRT(252)</f>
        <v>0.20015232316185677</v>
      </c>
      <c r="W148" s="250">
        <f>STDEV(L$2:L148)*SQRT(252)</f>
        <v>0.41032597832718526</v>
      </c>
      <c r="X148" s="174">
        <f t="shared" si="33"/>
        <v>-1.0746618457569814</v>
      </c>
    </row>
    <row r="149" spans="1:24" ht="20.100000000000001" customHeight="1" x14ac:dyDescent="0.25">
      <c r="A149" s="163">
        <f t="shared" si="51"/>
        <v>213</v>
      </c>
      <c r="B149" s="242">
        <v>42446</v>
      </c>
      <c r="C149" s="243">
        <v>2040.59</v>
      </c>
      <c r="D149" s="171">
        <f t="shared" si="49"/>
        <v>6.5952387999328593E-3</v>
      </c>
      <c r="E149" s="244">
        <f t="shared" si="53"/>
        <v>-2.9418199805939828E-2</v>
      </c>
      <c r="F149" s="245">
        <v>4774.9799999999996</v>
      </c>
      <c r="G149" s="171">
        <f t="shared" si="47"/>
        <v>2.3110976769373671E-3</v>
      </c>
      <c r="H149" s="246">
        <f t="shared" si="54"/>
        <v>-6.2203193432448942E-2</v>
      </c>
      <c r="I149" s="247">
        <v>298243.74</v>
      </c>
      <c r="J149" s="248">
        <v>400000</v>
      </c>
      <c r="K149" s="248">
        <f t="shared" si="40"/>
        <v>621.70000000001164</v>
      </c>
      <c r="L149" s="171">
        <f t="shared" si="48"/>
        <v>2.0888909974543946E-3</v>
      </c>
      <c r="M149" s="249">
        <f t="shared" si="43"/>
        <v>-101756.26000000001</v>
      </c>
      <c r="N149" s="250">
        <f t="shared" si="44"/>
        <v>-0.25439065</v>
      </c>
      <c r="O149" s="183">
        <f t="shared" si="52"/>
        <v>-0.43622622024647889</v>
      </c>
      <c r="P149" s="249" t="b">
        <f t="shared" si="42"/>
        <v>0</v>
      </c>
      <c r="Q149" s="250">
        <f>COUNTIF(P$2:P149, TRUE)/(COUNTIF(P$2:P149,FALSE) + COUNTIF(P$2:P149, TRUE))</f>
        <v>0.46621621621621623</v>
      </c>
      <c r="R149" s="248">
        <v>201345.75</v>
      </c>
      <c r="S149" s="248">
        <f t="shared" si="55"/>
        <v>96897.989999999991</v>
      </c>
      <c r="T149" s="248"/>
      <c r="U149" s="248"/>
      <c r="V149" s="250">
        <f>STDEV(D$2:D149)*SQRT(252)</f>
        <v>0.19966229894539708</v>
      </c>
      <c r="W149" s="250">
        <f>STDEV(L$2:L149)*SQRT(252)</f>
        <v>0.40893908230401166</v>
      </c>
      <c r="X149" s="174">
        <f t="shared" si="33"/>
        <v>-1.0667266571557021</v>
      </c>
    </row>
    <row r="150" spans="1:24" ht="20.100000000000001" customHeight="1" x14ac:dyDescent="0.25">
      <c r="A150" s="163">
        <f t="shared" si="51"/>
        <v>214</v>
      </c>
      <c r="B150" s="242">
        <v>42447</v>
      </c>
      <c r="C150" s="243">
        <v>2049.56</v>
      </c>
      <c r="D150" s="171">
        <f t="shared" si="49"/>
        <v>4.3957874928329688E-3</v>
      </c>
      <c r="E150" s="244">
        <f t="shared" si="53"/>
        <v>-2.5151728467875473E-2</v>
      </c>
      <c r="F150" s="245">
        <v>4795.6499999999996</v>
      </c>
      <c r="G150" s="171">
        <f t="shared" si="47"/>
        <v>4.3288139426762157E-3</v>
      </c>
      <c r="H150" s="246">
        <f t="shared" si="54"/>
        <v>-5.8143645540782093E-2</v>
      </c>
      <c r="I150" s="247">
        <v>302252.61</v>
      </c>
      <c r="J150" s="248">
        <v>400000</v>
      </c>
      <c r="K150" s="248">
        <f t="shared" si="40"/>
        <v>4008.8699999999953</v>
      </c>
      <c r="L150" s="171">
        <f t="shared" si="48"/>
        <v>1.3441589754742196E-2</v>
      </c>
      <c r="M150" s="249">
        <f t="shared" si="43"/>
        <v>-97747.390000000014</v>
      </c>
      <c r="N150" s="250">
        <f t="shared" si="44"/>
        <v>-0.24436847500000003</v>
      </c>
      <c r="O150" s="183">
        <f t="shared" si="52"/>
        <v>-0.41708217520443935</v>
      </c>
      <c r="P150" s="249" t="b">
        <f t="shared" si="42"/>
        <v>1</v>
      </c>
      <c r="Q150" s="250">
        <f>COUNTIF(P$2:P150, TRUE)/(COUNTIF(P$2:P150,FALSE) + COUNTIF(P$2:P150, TRUE))</f>
        <v>0.46979865771812079</v>
      </c>
      <c r="R150" s="248">
        <v>189023.24</v>
      </c>
      <c r="S150" s="248">
        <f t="shared" si="55"/>
        <v>113229.37</v>
      </c>
      <c r="T150" s="248"/>
      <c r="U150" s="248"/>
      <c r="V150" s="250">
        <f>STDEV(D$2:D150)*SQRT(252)</f>
        <v>0.19906941872329306</v>
      </c>
      <c r="W150" s="250">
        <f>STDEV(L$2:L150)*SQRT(252)</f>
        <v>0.40798335166369004</v>
      </c>
      <c r="X150" s="174">
        <f t="shared" si="33"/>
        <v>-1.0223019481153968</v>
      </c>
    </row>
    <row r="151" spans="1:24" ht="20.100000000000001" customHeight="1" x14ac:dyDescent="0.25">
      <c r="A151" s="163">
        <f t="shared" si="51"/>
        <v>217</v>
      </c>
      <c r="B151" s="172">
        <v>42450</v>
      </c>
      <c r="C151" s="215">
        <v>2051.6</v>
      </c>
      <c r="D151" s="171">
        <f t="shared" si="49"/>
        <v>9.9533558422293736E-4</v>
      </c>
      <c r="E151" s="209">
        <f t="shared" si="53"/>
        <v>-2.4181427294001325E-2</v>
      </c>
      <c r="F151" s="219">
        <v>4808.87</v>
      </c>
      <c r="G151" s="171">
        <f t="shared" si="47"/>
        <v>2.7566648942271132E-3</v>
      </c>
      <c r="H151" s="203">
        <f t="shared" si="54"/>
        <v>-5.5547263193039639E-2</v>
      </c>
      <c r="I151" s="221">
        <v>302397.02</v>
      </c>
      <c r="J151" s="173">
        <v>400000</v>
      </c>
      <c r="K151" s="173">
        <f t="shared" si="40"/>
        <v>144.4100000000326</v>
      </c>
      <c r="L151" s="171">
        <f t="shared" si="48"/>
        <v>4.7777916624121991E-4</v>
      </c>
      <c r="M151" s="182">
        <f t="shared" si="43"/>
        <v>-97602.979999999981</v>
      </c>
      <c r="N151" s="184">
        <f t="shared" si="44"/>
        <v>-0.24400744999999996</v>
      </c>
      <c r="O151" s="183">
        <f t="shared" si="52"/>
        <v>-0.41070839222350225</v>
      </c>
      <c r="P151" s="182" t="b">
        <f t="shared" si="42"/>
        <v>0</v>
      </c>
      <c r="Q151" s="184">
        <f>COUNTIF(P$2:P151, TRUE)/(COUNTIF(P$2:P151,FALSE) + COUNTIF(P$2:P151, TRUE))</f>
        <v>0.46666666666666667</v>
      </c>
      <c r="R151" s="173">
        <v>190702.94</v>
      </c>
      <c r="S151" s="173">
        <f t="shared" si="55"/>
        <v>111694.08000000002</v>
      </c>
      <c r="T151" s="173"/>
      <c r="U151" s="173"/>
      <c r="V151" s="184">
        <f>STDEV(D$2:D151)*SQRT(252)</f>
        <v>0.19840080405595206</v>
      </c>
      <c r="W151" s="184">
        <f>STDEV(L$2:L151)*SQRT(252)</f>
        <v>0.40660686098578552</v>
      </c>
      <c r="X151" s="174">
        <f t="shared" si="33"/>
        <v>-1.0100872160095207</v>
      </c>
    </row>
    <row r="152" spans="1:24" ht="20.100000000000001" customHeight="1" x14ac:dyDescent="0.25">
      <c r="A152" s="163">
        <f t="shared" si="51"/>
        <v>218</v>
      </c>
      <c r="B152" s="172">
        <v>42451</v>
      </c>
      <c r="C152" s="215">
        <v>2052.6</v>
      </c>
      <c r="D152" s="171">
        <f t="shared" si="49"/>
        <v>4.8742444921037243E-4</v>
      </c>
      <c r="E152" s="209">
        <f t="shared" si="53"/>
        <v>-2.370578946367085E-2</v>
      </c>
      <c r="F152" s="219">
        <v>4809.87</v>
      </c>
      <c r="G152" s="171">
        <f t="shared" si="47"/>
        <v>2.0794906079806691E-4</v>
      </c>
      <c r="H152" s="203">
        <f t="shared" si="54"/>
        <v>-5.535086513345247E-2</v>
      </c>
      <c r="I152" s="221">
        <v>300927.05</v>
      </c>
      <c r="J152" s="173">
        <v>400000</v>
      </c>
      <c r="K152" s="173">
        <f t="shared" ref="K152:K183" si="56">I152-I151-J152+J151</f>
        <v>-1469.9700000000303</v>
      </c>
      <c r="L152" s="171">
        <f t="shared" si="48"/>
        <v>-4.8610598080630228E-3</v>
      </c>
      <c r="M152" s="182">
        <f t="shared" si="43"/>
        <v>-99072.950000000012</v>
      </c>
      <c r="N152" s="184">
        <f t="shared" si="44"/>
        <v>-0.24768237500000004</v>
      </c>
      <c r="O152" s="183">
        <f t="shared" si="52"/>
        <v>-0.41498159389334865</v>
      </c>
      <c r="P152" s="182" t="b">
        <f t="shared" si="42"/>
        <v>0</v>
      </c>
      <c r="Q152" s="184">
        <f>COUNTIF(P$2:P152, TRUE)/(COUNTIF(P$2:P152,FALSE) + COUNTIF(P$2:P152, TRUE))</f>
        <v>0.46357615894039733</v>
      </c>
      <c r="R152" s="173">
        <v>208698.82</v>
      </c>
      <c r="S152" s="173">
        <f t="shared" si="55"/>
        <v>92228.229999999981</v>
      </c>
      <c r="T152" s="173"/>
      <c r="U152" s="173"/>
      <c r="V152" s="184">
        <f>STDEV(D$2:D152)*SQRT(252)</f>
        <v>0.19773530847085422</v>
      </c>
      <c r="W152" s="184">
        <f>STDEV(L$2:L152)*SQRT(252)</f>
        <v>0.40527216981287528</v>
      </c>
      <c r="X152" s="174">
        <f t="shared" si="33"/>
        <v>-1.0239577864055074</v>
      </c>
    </row>
    <row r="153" spans="1:24" ht="20.100000000000001" customHeight="1" x14ac:dyDescent="0.25">
      <c r="A153" s="163">
        <f t="shared" si="51"/>
        <v>219</v>
      </c>
      <c r="B153" s="172">
        <v>42452</v>
      </c>
      <c r="C153" s="215">
        <v>2036.71</v>
      </c>
      <c r="D153" s="171">
        <f t="shared" si="49"/>
        <v>-7.7414011497612166E-3</v>
      </c>
      <c r="E153" s="209">
        <f t="shared" si="53"/>
        <v>-3.1263674587622012E-2</v>
      </c>
      <c r="F153" s="219">
        <v>4768.8599999999997</v>
      </c>
      <c r="G153" s="171">
        <f t="shared" si="47"/>
        <v>-8.5262179643109306E-3</v>
      </c>
      <c r="H153" s="203">
        <f t="shared" si="54"/>
        <v>-6.3405149557122412E-2</v>
      </c>
      <c r="I153" s="221">
        <v>283106.53999999998</v>
      </c>
      <c r="J153" s="173">
        <v>400000</v>
      </c>
      <c r="K153" s="173">
        <f t="shared" si="56"/>
        <v>-17820.510000000009</v>
      </c>
      <c r="L153" s="171">
        <f t="shared" si="48"/>
        <v>-5.9218704333824458E-2</v>
      </c>
      <c r="M153" s="182">
        <f t="shared" si="43"/>
        <v>-116893.46000000002</v>
      </c>
      <c r="N153" s="184">
        <f t="shared" si="44"/>
        <v>-0.29223365000000007</v>
      </c>
      <c r="O153" s="183">
        <f t="shared" si="52"/>
        <v>-0.48738968339041105</v>
      </c>
      <c r="P153" s="182" t="b">
        <f t="shared" si="42"/>
        <v>0</v>
      </c>
      <c r="Q153" s="184">
        <f>COUNTIF(P$2:P153, TRUE)/(COUNTIF(P$2:P153,FALSE) + COUNTIF(P$2:P153, TRUE))</f>
        <v>0.46052631578947367</v>
      </c>
      <c r="R153" s="173">
        <v>233281.17</v>
      </c>
      <c r="S153" s="173">
        <f t="shared" si="55"/>
        <v>49825.369999999966</v>
      </c>
      <c r="T153" s="173"/>
      <c r="U153" s="173"/>
      <c r="V153" s="184">
        <f>STDEV(D$2:D153)*SQRT(252)</f>
        <v>0.19732328223466214</v>
      </c>
      <c r="W153" s="184">
        <f>STDEV(L$2:L153)*SQRT(252)</f>
        <v>0.41087213630897762</v>
      </c>
      <c r="X153" s="174">
        <f t="shared" si="33"/>
        <v>-1.1862320179918258</v>
      </c>
    </row>
    <row r="154" spans="1:24" ht="20.100000000000001" customHeight="1" x14ac:dyDescent="0.25">
      <c r="A154" s="163">
        <f t="shared" si="51"/>
        <v>220</v>
      </c>
      <c r="B154" s="172">
        <v>42453</v>
      </c>
      <c r="C154" s="215">
        <v>2035.94</v>
      </c>
      <c r="D154" s="171">
        <f t="shared" si="49"/>
        <v>-3.7806069592626431E-4</v>
      </c>
      <c r="E154" s="209">
        <f t="shared" si="53"/>
        <v>-3.1629915716976466E-2</v>
      </c>
      <c r="F154" s="219">
        <v>4773.5</v>
      </c>
      <c r="G154" s="171">
        <f t="shared" si="47"/>
        <v>9.7297886706683098E-4</v>
      </c>
      <c r="H154" s="203">
        <f t="shared" si="54"/>
        <v>-6.2493862560637867E-2</v>
      </c>
      <c r="I154" s="221">
        <v>283603.99</v>
      </c>
      <c r="J154" s="173">
        <v>400000</v>
      </c>
      <c r="K154" s="173">
        <f t="shared" si="56"/>
        <v>497.45000000001164</v>
      </c>
      <c r="L154" s="171">
        <f t="shared" si="48"/>
        <v>1.7571123577717832E-3</v>
      </c>
      <c r="M154" s="182">
        <f t="shared" si="43"/>
        <v>-116396.01000000001</v>
      </c>
      <c r="N154" s="184">
        <f t="shared" si="44"/>
        <v>-0.29099002500000004</v>
      </c>
      <c r="O154" s="183">
        <f t="shared" si="52"/>
        <v>-0.48310957559659101</v>
      </c>
      <c r="P154" s="182" t="b">
        <f t="shared" si="42"/>
        <v>1</v>
      </c>
      <c r="Q154" s="184">
        <f>COUNTIF(P$2:P154, TRUE)/(COUNTIF(P$2:P154,FALSE) + COUNTIF(P$2:P154, TRUE))</f>
        <v>0.46405228758169936</v>
      </c>
      <c r="R154" s="173">
        <v>233282.17</v>
      </c>
      <c r="S154" s="173">
        <f t="shared" ref="S154:S191" si="57">I154-R154</f>
        <v>50321.819999999978</v>
      </c>
      <c r="T154" s="173"/>
      <c r="U154" s="173"/>
      <c r="V154" s="184">
        <f>STDEV(D$2:D154)*SQRT(252)</f>
        <v>0.19666906063244452</v>
      </c>
      <c r="W154" s="184">
        <f>STDEV(L$2:L154)*SQRT(252)</f>
        <v>0.40952879368350692</v>
      </c>
      <c r="X154" s="174">
        <f t="shared" si="33"/>
        <v>-1.1796718156280581</v>
      </c>
    </row>
    <row r="155" spans="1:24" ht="20.100000000000001" customHeight="1" x14ac:dyDescent="0.25">
      <c r="A155" s="163">
        <f t="shared" si="51"/>
        <v>224</v>
      </c>
      <c r="B155" s="242">
        <v>42457</v>
      </c>
      <c r="C155" s="243">
        <v>2037.05</v>
      </c>
      <c r="D155" s="171">
        <f t="shared" si="49"/>
        <v>5.4520270734889045E-4</v>
      </c>
      <c r="E155" s="244">
        <f t="shared" si="53"/>
        <v>-3.1101957725309687E-2</v>
      </c>
      <c r="F155" s="245">
        <v>4766.78</v>
      </c>
      <c r="G155" s="171">
        <f t="shared" si="47"/>
        <v>-1.4077720749974348E-3</v>
      </c>
      <c r="H155" s="246">
        <f t="shared" si="54"/>
        <v>-6.3813657521063702E-2</v>
      </c>
      <c r="I155" s="247">
        <v>281306.2</v>
      </c>
      <c r="J155" s="248">
        <v>400000</v>
      </c>
      <c r="K155" s="248">
        <f t="shared" si="56"/>
        <v>-2297.789999999979</v>
      </c>
      <c r="L155" s="171">
        <f t="shared" si="48"/>
        <v>-8.1021074491934297E-3</v>
      </c>
      <c r="M155" s="249">
        <f t="shared" si="43"/>
        <v>-118693.79999999999</v>
      </c>
      <c r="N155" s="250">
        <f t="shared" si="44"/>
        <v>-0.29673449999999996</v>
      </c>
      <c r="O155" s="183">
        <f t="shared" si="52"/>
        <v>-0.48384944698660709</v>
      </c>
      <c r="P155" s="249" t="b">
        <f t="shared" ref="P155:P191" si="58">L155&gt;D155</f>
        <v>0</v>
      </c>
      <c r="Q155" s="250">
        <f>COUNTIF(P$2:P155, TRUE)/(COUNTIF(P$2:P155,FALSE) + COUNTIF(P$2:P155, TRUE))</f>
        <v>0.46103896103896103</v>
      </c>
      <c r="R155" s="248">
        <v>231480.83</v>
      </c>
      <c r="S155" s="248">
        <f t="shared" si="57"/>
        <v>49825.370000000024</v>
      </c>
      <c r="T155" s="248"/>
      <c r="U155" s="248"/>
      <c r="V155" s="250">
        <f>STDEV(D$2:D155)*SQRT(252)</f>
        <v>0.19602299974071929</v>
      </c>
      <c r="W155" s="250">
        <f>STDEV(L$2:L155)*SQRT(252)</f>
        <v>0.40827222780986738</v>
      </c>
      <c r="X155" s="174">
        <f t="shared" ref="X155:X218" si="59">O155/W155</f>
        <v>-1.185114769089648</v>
      </c>
    </row>
    <row r="156" spans="1:24" ht="20.100000000000001" customHeight="1" x14ac:dyDescent="0.25">
      <c r="A156" s="163">
        <f t="shared" si="51"/>
        <v>225</v>
      </c>
      <c r="B156" s="242">
        <v>42458</v>
      </c>
      <c r="C156" s="243">
        <v>2055.0100000000002</v>
      </c>
      <c r="D156" s="171">
        <f t="shared" si="49"/>
        <v>8.8166711666381598E-3</v>
      </c>
      <c r="E156" s="244">
        <f t="shared" si="53"/>
        <v>-2.2559502292574262E-2</v>
      </c>
      <c r="F156" s="245">
        <v>4846.62</v>
      </c>
      <c r="G156" s="171">
        <f t="shared" si="47"/>
        <v>1.6749252115683993E-2</v>
      </c>
      <c r="H156" s="246">
        <f t="shared" si="54"/>
        <v>-4.8133236443623925E-2</v>
      </c>
      <c r="I156" s="247">
        <v>285322.46999999997</v>
      </c>
      <c r="J156" s="248">
        <v>400000</v>
      </c>
      <c r="K156" s="248">
        <f t="shared" si="56"/>
        <v>4016.2699999999604</v>
      </c>
      <c r="L156" s="171">
        <f t="shared" si="48"/>
        <v>1.4277218205641967E-2</v>
      </c>
      <c r="M156" s="249">
        <f t="shared" si="43"/>
        <v>-114677.53000000003</v>
      </c>
      <c r="N156" s="250">
        <f t="shared" si="44"/>
        <v>-0.28669382500000007</v>
      </c>
      <c r="O156" s="183">
        <f t="shared" si="52"/>
        <v>-0.46539964258333344</v>
      </c>
      <c r="P156" s="249" t="b">
        <f t="shared" si="58"/>
        <v>1</v>
      </c>
      <c r="Q156" s="250">
        <f>COUNTIF(P$2:P156, TRUE)/(COUNTIF(P$2:P156,FALSE) + COUNTIF(P$2:P156, TRUE))</f>
        <v>0.46451612903225808</v>
      </c>
      <c r="R156" s="248">
        <v>235497.1</v>
      </c>
      <c r="S156" s="248">
        <f t="shared" si="57"/>
        <v>49825.369999999966</v>
      </c>
      <c r="T156" s="248"/>
      <c r="U156" s="248"/>
      <c r="V156" s="250">
        <f>STDEV(D$2:D156)*SQRT(252)</f>
        <v>0.19571630227727144</v>
      </c>
      <c r="W156" s="250">
        <f>STDEV(L$2:L156)*SQRT(252)</f>
        <v>0.4074274282139313</v>
      </c>
      <c r="X156" s="174">
        <f t="shared" si="59"/>
        <v>-1.1422884429345836</v>
      </c>
    </row>
    <row r="157" spans="1:24" ht="20.100000000000001" customHeight="1" x14ac:dyDescent="0.25">
      <c r="A157" s="163">
        <f t="shared" si="51"/>
        <v>226</v>
      </c>
      <c r="B157" s="242">
        <v>42459</v>
      </c>
      <c r="C157" s="243">
        <v>2063.9499999999998</v>
      </c>
      <c r="D157" s="171">
        <f t="shared" si="49"/>
        <v>4.3503437939472799E-3</v>
      </c>
      <c r="E157" s="244">
        <f t="shared" si="53"/>
        <v>-1.8307300089420026E-2</v>
      </c>
      <c r="F157" s="245">
        <v>4869.29</v>
      </c>
      <c r="G157" s="171">
        <f t="shared" si="47"/>
        <v>4.6774865782751845E-3</v>
      </c>
      <c r="H157" s="246">
        <f t="shared" si="54"/>
        <v>-4.3680892432782739E-2</v>
      </c>
      <c r="I157" s="247">
        <v>288126.49</v>
      </c>
      <c r="J157" s="248">
        <v>400000</v>
      </c>
      <c r="K157" s="248">
        <f t="shared" si="56"/>
        <v>2804.0200000000186</v>
      </c>
      <c r="L157" s="171">
        <f t="shared" si="48"/>
        <v>9.8275470557927635E-3</v>
      </c>
      <c r="M157" s="249">
        <f t="shared" si="43"/>
        <v>-111873.51000000001</v>
      </c>
      <c r="N157" s="250">
        <f t="shared" si="44"/>
        <v>-0.27968377500000002</v>
      </c>
      <c r="O157" s="183">
        <f t="shared" si="52"/>
        <v>-0.45201105672013281</v>
      </c>
      <c r="P157" s="249" t="b">
        <f t="shared" si="58"/>
        <v>1</v>
      </c>
      <c r="Q157" s="250">
        <f>COUNTIF(P$2:P157, TRUE)/(COUNTIF(P$2:P157,FALSE) + COUNTIF(P$2:P157, TRUE))</f>
        <v>0.46794871794871795</v>
      </c>
      <c r="R157" s="248">
        <v>216771.49</v>
      </c>
      <c r="S157" s="248">
        <f t="shared" si="57"/>
        <v>71355</v>
      </c>
      <c r="T157" s="248"/>
      <c r="U157" s="248"/>
      <c r="V157" s="250">
        <f>STDEV(D$2:D157)*SQRT(252)</f>
        <v>0.19516132328288105</v>
      </c>
      <c r="W157" s="250">
        <f>STDEV(L$2:L157)*SQRT(252)</f>
        <v>0.40634858436204313</v>
      </c>
      <c r="X157" s="174">
        <f t="shared" si="59"/>
        <v>-1.1123726625743722</v>
      </c>
    </row>
    <row r="158" spans="1:24" ht="20.100000000000001" customHeight="1" x14ac:dyDescent="0.25">
      <c r="A158" s="163">
        <f t="shared" si="51"/>
        <v>227</v>
      </c>
      <c r="B158" s="242">
        <v>42460</v>
      </c>
      <c r="C158" s="243">
        <v>2059.7399999999998</v>
      </c>
      <c r="D158" s="171">
        <f t="shared" si="49"/>
        <v>-2.0397780953996156E-3</v>
      </c>
      <c r="E158" s="244">
        <f t="shared" si="53"/>
        <v>-2.0309735355111335E-2</v>
      </c>
      <c r="F158" s="245">
        <v>4869.84</v>
      </c>
      <c r="G158" s="171">
        <f t="shared" si="47"/>
        <v>1.129528124223823E-4</v>
      </c>
      <c r="H158" s="246">
        <f t="shared" si="54"/>
        <v>-4.3572873500009754E-2</v>
      </c>
      <c r="I158" s="472">
        <v>295667.37</v>
      </c>
      <c r="J158" s="248">
        <v>400000</v>
      </c>
      <c r="K158" s="248">
        <f t="shared" si="56"/>
        <v>7540.8800000000047</v>
      </c>
      <c r="L158" s="171">
        <f t="shared" si="48"/>
        <v>2.6172116281290222E-2</v>
      </c>
      <c r="M158" s="249">
        <f t="shared" ref="M158:M191" si="60">I158-J158</f>
        <v>-104332.63</v>
      </c>
      <c r="N158" s="250">
        <f t="shared" ref="N158:N189" si="61">M158/J158</f>
        <v>-0.26083157500000004</v>
      </c>
      <c r="O158" s="183">
        <f t="shared" si="52"/>
        <v>-0.41968604743942739</v>
      </c>
      <c r="P158" s="249" t="b">
        <f t="shared" si="58"/>
        <v>1</v>
      </c>
      <c r="Q158" s="250">
        <f>COUNTIF(P$2:P158, TRUE)/(COUNTIF(P$2:P158,FALSE) + COUNTIF(P$2:P158, TRUE))</f>
        <v>0.4713375796178344</v>
      </c>
      <c r="R158" s="248">
        <v>202826.77</v>
      </c>
      <c r="S158" s="248">
        <f t="shared" si="57"/>
        <v>92840.6</v>
      </c>
      <c r="T158" s="248"/>
      <c r="U158" s="248"/>
      <c r="V158" s="250">
        <f>STDEV(D$2:D158)*SQRT(252)</f>
        <v>0.19454728889036682</v>
      </c>
      <c r="W158" s="250">
        <f>STDEV(L$2:L158)*SQRT(252)</f>
        <v>0.40652602523849884</v>
      </c>
      <c r="X158" s="174">
        <f t="shared" si="59"/>
        <v>-1.0323719058163814</v>
      </c>
    </row>
    <row r="159" spans="1:24" ht="20.100000000000001" customHeight="1" x14ac:dyDescent="0.25">
      <c r="A159" s="163">
        <f t="shared" si="51"/>
        <v>228</v>
      </c>
      <c r="B159" s="242">
        <v>42461</v>
      </c>
      <c r="C159" s="243">
        <v>2072.7800000000002</v>
      </c>
      <c r="D159" s="171">
        <f t="shared" si="49"/>
        <v>6.3308961325217843E-3</v>
      </c>
      <c r="E159" s="244">
        <f t="shared" si="53"/>
        <v>-1.4107418047601765E-2</v>
      </c>
      <c r="F159" s="245">
        <v>4914.54</v>
      </c>
      <c r="G159" s="171">
        <f t="shared" si="47"/>
        <v>9.1789463308855762E-3</v>
      </c>
      <c r="H159" s="246">
        <f t="shared" si="54"/>
        <v>-3.4793880236463237E-2</v>
      </c>
      <c r="I159" s="247">
        <v>293885.49</v>
      </c>
      <c r="J159" s="248">
        <v>400000</v>
      </c>
      <c r="K159" s="248">
        <f t="shared" si="56"/>
        <v>-1781.8800000000047</v>
      </c>
      <c r="L159" s="171">
        <f t="shared" si="48"/>
        <v>-6.026637298529103E-3</v>
      </c>
      <c r="M159" s="249">
        <f t="shared" si="60"/>
        <v>-106114.51000000001</v>
      </c>
      <c r="N159" s="250">
        <f t="shared" si="61"/>
        <v>-0.26528627500000002</v>
      </c>
      <c r="O159" s="183">
        <f t="shared" si="52"/>
        <v>-0.42498163133223682</v>
      </c>
      <c r="P159" s="249" t="b">
        <f t="shared" si="58"/>
        <v>0</v>
      </c>
      <c r="Q159" s="250">
        <f>COUNTIF(P$2:P159, TRUE)/(COUNTIF(P$2:P159,FALSE) + COUNTIF(P$2:P159, TRUE))</f>
        <v>0.46835443037974683</v>
      </c>
      <c r="R159" s="248">
        <v>199513.83</v>
      </c>
      <c r="S159" s="248">
        <f t="shared" si="57"/>
        <v>94371.66</v>
      </c>
      <c r="T159" s="248"/>
      <c r="U159" s="248"/>
      <c r="V159" s="250">
        <f>STDEV(D$2:D159)*SQRT(252)</f>
        <v>0.19409152607046717</v>
      </c>
      <c r="W159" s="250">
        <f>STDEV(L$2:L159)*SQRT(252)</f>
        <v>0.40527068703901437</v>
      </c>
      <c r="X159" s="174">
        <f t="shared" si="59"/>
        <v>-1.0486364914206709</v>
      </c>
    </row>
    <row r="160" spans="1:24" ht="20.100000000000001" customHeight="1" x14ac:dyDescent="0.25">
      <c r="A160" s="163">
        <f t="shared" si="51"/>
        <v>231</v>
      </c>
      <c r="B160" s="172">
        <v>42464</v>
      </c>
      <c r="C160" s="215">
        <v>2066.13</v>
      </c>
      <c r="D160" s="171">
        <f t="shared" si="49"/>
        <v>-3.2082517199124318E-3</v>
      </c>
      <c r="E160" s="209">
        <f t="shared" si="53"/>
        <v>-1.7270409619299456E-2</v>
      </c>
      <c r="F160" s="219">
        <v>4891.79</v>
      </c>
      <c r="G160" s="171">
        <f t="shared" si="47"/>
        <v>-4.6291209350213854E-3</v>
      </c>
      <c r="H160" s="203">
        <f t="shared" si="54"/>
        <v>-3.9261936092071383E-2</v>
      </c>
      <c r="I160" s="221">
        <v>291382.05</v>
      </c>
      <c r="J160" s="173">
        <v>400000</v>
      </c>
      <c r="K160" s="173">
        <f t="shared" si="56"/>
        <v>-2503.4400000000023</v>
      </c>
      <c r="L160" s="171">
        <f t="shared" si="48"/>
        <v>-8.5184198784363334E-3</v>
      </c>
      <c r="M160" s="182">
        <f t="shared" si="60"/>
        <v>-108617.95000000001</v>
      </c>
      <c r="N160" s="184">
        <f t="shared" si="61"/>
        <v>-0.27154487500000002</v>
      </c>
      <c r="O160" s="183">
        <f t="shared" si="52"/>
        <v>-0.42935829261363634</v>
      </c>
      <c r="P160" s="182" t="b">
        <f t="shared" si="58"/>
        <v>0</v>
      </c>
      <c r="Q160" s="184">
        <f>COUNTIF(P$2:P160, TRUE)/(COUNTIF(P$2:P160,FALSE) + COUNTIF(P$2:P160, TRUE))</f>
        <v>0.46540880503144655</v>
      </c>
      <c r="R160" s="173">
        <v>199541.39</v>
      </c>
      <c r="S160" s="173">
        <f t="shared" si="57"/>
        <v>91840.659999999974</v>
      </c>
      <c r="T160" s="173"/>
      <c r="U160" s="173"/>
      <c r="V160" s="184">
        <f>STDEV(D$2:D160)*SQRT(252)</f>
        <v>0.19351440870684267</v>
      </c>
      <c r="W160" s="184">
        <f>STDEV(L$2:L160)*SQRT(252)</f>
        <v>0.40408811296561892</v>
      </c>
      <c r="X160" s="174">
        <f t="shared" si="59"/>
        <v>-1.0625363103669607</v>
      </c>
    </row>
    <row r="161" spans="1:24" ht="20.100000000000001" customHeight="1" x14ac:dyDescent="0.25">
      <c r="A161" s="163">
        <f t="shared" si="51"/>
        <v>232</v>
      </c>
      <c r="B161" s="172">
        <v>42465</v>
      </c>
      <c r="C161" s="215">
        <v>2045.17</v>
      </c>
      <c r="D161" s="171">
        <f t="shared" si="49"/>
        <v>-1.0144569799577004E-2</v>
      </c>
      <c r="E161" s="209">
        <f t="shared" si="53"/>
        <v>-2.7239778543026189E-2</v>
      </c>
      <c r="F161" s="219">
        <v>4843.93</v>
      </c>
      <c r="G161" s="171">
        <f t="shared" si="47"/>
        <v>-9.7837396944676028E-3</v>
      </c>
      <c r="H161" s="203">
        <f t="shared" si="54"/>
        <v>-4.8661547223913339E-2</v>
      </c>
      <c r="I161" s="221">
        <v>289909.68</v>
      </c>
      <c r="J161" s="173">
        <v>400000</v>
      </c>
      <c r="K161" s="173">
        <f t="shared" si="56"/>
        <v>-1472.3699999999953</v>
      </c>
      <c r="L161" s="171">
        <f t="shared" si="48"/>
        <v>-5.0530566313195871E-3</v>
      </c>
      <c r="M161" s="182">
        <f t="shared" si="60"/>
        <v>-110090.32</v>
      </c>
      <c r="N161" s="184">
        <f t="shared" si="61"/>
        <v>-0.27522580000000002</v>
      </c>
      <c r="O161" s="183">
        <f t="shared" si="52"/>
        <v>-0.43330268728448279</v>
      </c>
      <c r="P161" s="182" t="b">
        <f t="shared" si="58"/>
        <v>1</v>
      </c>
      <c r="Q161" s="184">
        <f>COUNTIF(P$2:P161, TRUE)/(COUNTIF(P$2:P161,FALSE) + COUNTIF(P$2:P161, TRUE))</f>
        <v>0.46875</v>
      </c>
      <c r="R161" s="173">
        <v>198034.04</v>
      </c>
      <c r="S161" s="173">
        <f t="shared" si="57"/>
        <v>91875.639999999985</v>
      </c>
      <c r="T161" s="173"/>
      <c r="U161" s="173"/>
      <c r="V161" s="184">
        <f>STDEV(D$2:D161)*SQRT(252)</f>
        <v>0.19332034289533651</v>
      </c>
      <c r="W161" s="184">
        <f>STDEV(L$2:L161)*SQRT(252)</f>
        <v>0.40283814257892614</v>
      </c>
      <c r="X161" s="174">
        <f t="shared" si="59"/>
        <v>-1.0756247770147234</v>
      </c>
    </row>
    <row r="162" spans="1:24" ht="20.100000000000001" customHeight="1" x14ac:dyDescent="0.25">
      <c r="A162" s="163">
        <f t="shared" si="51"/>
        <v>233</v>
      </c>
      <c r="B162" s="172">
        <v>42466</v>
      </c>
      <c r="C162" s="215">
        <v>2066.66</v>
      </c>
      <c r="D162" s="171">
        <f t="shared" si="49"/>
        <v>1.0507683957812691E-2</v>
      </c>
      <c r="E162" s="209">
        <f t="shared" si="53"/>
        <v>-1.7018321569224424E-2</v>
      </c>
      <c r="F162" s="219">
        <v>4920.71</v>
      </c>
      <c r="G162" s="171">
        <f t="shared" si="47"/>
        <v>1.5850765803799755E-2</v>
      </c>
      <c r="H162" s="203">
        <f t="shared" si="54"/>
        <v>-3.3582104208810373E-2</v>
      </c>
      <c r="I162" s="221">
        <v>294800.27</v>
      </c>
      <c r="J162" s="173">
        <v>400000</v>
      </c>
      <c r="K162" s="173">
        <f t="shared" si="56"/>
        <v>4890.5900000000256</v>
      </c>
      <c r="L162" s="171">
        <f t="shared" si="48"/>
        <v>1.6869357380547022E-2</v>
      </c>
      <c r="M162" s="182">
        <f t="shared" si="60"/>
        <v>-105199.72999999998</v>
      </c>
      <c r="N162" s="184">
        <f t="shared" si="61"/>
        <v>-0.26299932499999995</v>
      </c>
      <c r="O162" s="183">
        <f t="shared" si="52"/>
        <v>-0.41227683886802569</v>
      </c>
      <c r="P162" s="182" t="b">
        <f t="shared" si="58"/>
        <v>1</v>
      </c>
      <c r="Q162" s="184">
        <f>COUNTIF(P$2:P162, TRUE)/(COUNTIF(P$2:P162,FALSE) + COUNTIF(P$2:P162, TRUE))</f>
        <v>0.47204968944099379</v>
      </c>
      <c r="R162" s="173">
        <v>206520.01</v>
      </c>
      <c r="S162" s="173">
        <f t="shared" si="57"/>
        <v>88280.260000000009</v>
      </c>
      <c r="T162" s="173"/>
      <c r="U162" s="173"/>
      <c r="V162" s="184">
        <f>STDEV(D$2:D162)*SQRT(252)</f>
        <v>0.19317071885367709</v>
      </c>
      <c r="W162" s="184">
        <f>STDEV(L$2:L162)*SQRT(252)</f>
        <v>0.40220348115797722</v>
      </c>
      <c r="X162" s="174">
        <f t="shared" si="59"/>
        <v>-1.0250454264618656</v>
      </c>
    </row>
    <row r="163" spans="1:24" ht="20.100000000000001" customHeight="1" x14ac:dyDescent="0.25">
      <c r="A163" s="163">
        <f t="shared" si="51"/>
        <v>234</v>
      </c>
      <c r="B163" s="172">
        <v>42467</v>
      </c>
      <c r="C163" s="215">
        <v>2041.91</v>
      </c>
      <c r="D163" s="171">
        <f t="shared" si="49"/>
        <v>-1.1975845083371128E-2</v>
      </c>
      <c r="E163" s="209">
        <f t="shared" si="53"/>
        <v>-2.8790357869903527E-2</v>
      </c>
      <c r="F163" s="219">
        <v>4848.3599999999997</v>
      </c>
      <c r="G163" s="171">
        <f t="shared" si="47"/>
        <v>-1.4703162754968361E-2</v>
      </c>
      <c r="H163" s="203">
        <f t="shared" si="54"/>
        <v>-4.7791503819942287E-2</v>
      </c>
      <c r="I163" s="221">
        <v>296412.12</v>
      </c>
      <c r="J163" s="173">
        <v>400000</v>
      </c>
      <c r="K163" s="173">
        <f t="shared" si="56"/>
        <v>1611.8499999999767</v>
      </c>
      <c r="L163" s="171">
        <f t="shared" si="48"/>
        <v>5.4676001483986991E-3</v>
      </c>
      <c r="M163" s="182">
        <f t="shared" si="60"/>
        <v>-103587.88</v>
      </c>
      <c r="N163" s="184">
        <f t="shared" si="61"/>
        <v>-0.25896970000000002</v>
      </c>
      <c r="O163" s="183">
        <f t="shared" si="52"/>
        <v>-0.40422514070512827</v>
      </c>
      <c r="P163" s="182" t="b">
        <f t="shared" si="58"/>
        <v>1</v>
      </c>
      <c r="Q163" s="184">
        <f>COUNTIF(P$2:P163, TRUE)/(COUNTIF(P$2:P163,FALSE) + COUNTIF(P$2:P163, TRUE))</f>
        <v>0.47530864197530864</v>
      </c>
      <c r="R163" s="173">
        <v>210406.8</v>
      </c>
      <c r="S163" s="173">
        <f t="shared" si="57"/>
        <v>86005.32</v>
      </c>
      <c r="T163" s="173"/>
      <c r="U163" s="173"/>
      <c r="V163" s="184">
        <f>STDEV(D$2:D163)*SQRT(252)</f>
        <v>0.19314485515344837</v>
      </c>
      <c r="W163" s="184">
        <f>STDEV(L$2:L163)*SQRT(252)</f>
        <v>0.40102645372059886</v>
      </c>
      <c r="X163" s="174">
        <f t="shared" si="59"/>
        <v>-1.0079762493343094</v>
      </c>
    </row>
    <row r="164" spans="1:24" ht="20.100000000000001" customHeight="1" x14ac:dyDescent="0.25">
      <c r="A164" s="163">
        <f t="shared" si="51"/>
        <v>235</v>
      </c>
      <c r="B164" s="172">
        <v>42468</v>
      </c>
      <c r="C164" s="215">
        <v>2047.6</v>
      </c>
      <c r="D164" s="171">
        <f t="shared" si="49"/>
        <v>2.7866066574921654E-3</v>
      </c>
      <c r="E164" s="209">
        <f t="shared" si="53"/>
        <v>-2.6083978615323217E-2</v>
      </c>
      <c r="F164" s="219">
        <v>4850.6899999999996</v>
      </c>
      <c r="G164" s="171">
        <f t="shared" si="47"/>
        <v>4.8057487480301122E-4</v>
      </c>
      <c r="H164" s="203">
        <f t="shared" si="54"/>
        <v>-4.7333896341104194E-2</v>
      </c>
      <c r="I164" s="221">
        <v>303561.17</v>
      </c>
      <c r="J164" s="173">
        <v>400000</v>
      </c>
      <c r="K164" s="173">
        <f t="shared" si="56"/>
        <v>7149.0499999999884</v>
      </c>
      <c r="L164" s="171">
        <f t="shared" si="48"/>
        <v>2.4118615662544394E-2</v>
      </c>
      <c r="M164" s="182">
        <f t="shared" si="60"/>
        <v>-96438.830000000016</v>
      </c>
      <c r="N164" s="184">
        <f t="shared" si="61"/>
        <v>-0.24109707500000005</v>
      </c>
      <c r="O164" s="183">
        <f t="shared" si="52"/>
        <v>-0.37472641125000006</v>
      </c>
      <c r="P164" s="182" t="b">
        <f t="shared" si="58"/>
        <v>1</v>
      </c>
      <c r="Q164" s="184">
        <f>COUNTIF(P$2:P164, TRUE)/(COUNTIF(P$2:P164,FALSE) + COUNTIF(P$2:P164, TRUE))</f>
        <v>0.4785276073619632</v>
      </c>
      <c r="R164" s="173">
        <v>199980.39</v>
      </c>
      <c r="S164" s="173">
        <f t="shared" si="57"/>
        <v>103580.77999999997</v>
      </c>
      <c r="T164" s="173"/>
      <c r="U164" s="173"/>
      <c r="V164" s="184">
        <f>STDEV(D$2:D164)*SQRT(252)</f>
        <v>0.19257792977422014</v>
      </c>
      <c r="W164" s="184">
        <f>STDEV(L$2:L164)*SQRT(252)</f>
        <v>0.40100153728117882</v>
      </c>
      <c r="X164" s="174">
        <f t="shared" si="59"/>
        <v>-0.93447624612781754</v>
      </c>
    </row>
    <row r="165" spans="1:24" ht="20.100000000000001" customHeight="1" x14ac:dyDescent="0.25">
      <c r="A165" s="163">
        <f t="shared" si="51"/>
        <v>238</v>
      </c>
      <c r="B165" s="242">
        <v>42471</v>
      </c>
      <c r="C165" s="243">
        <v>2041.99</v>
      </c>
      <c r="D165" s="171">
        <f t="shared" si="49"/>
        <v>-2.7397929283062613E-3</v>
      </c>
      <c r="E165" s="244">
        <f t="shared" si="53"/>
        <v>-2.8752306843477123E-2</v>
      </c>
      <c r="F165" s="245">
        <v>4833.3900000000003</v>
      </c>
      <c r="G165" s="171">
        <f t="shared" si="47"/>
        <v>-3.5665029098951436E-3</v>
      </c>
      <c r="H165" s="246">
        <f t="shared" si="54"/>
        <v>-5.0731582771962117E-2</v>
      </c>
      <c r="I165" s="247">
        <v>301374.21999999997</v>
      </c>
      <c r="J165" s="248">
        <v>400000</v>
      </c>
      <c r="K165" s="248">
        <f t="shared" si="56"/>
        <v>-2186.9500000000116</v>
      </c>
      <c r="L165" s="171">
        <f t="shared" si="48"/>
        <v>-7.2043140431960117E-3</v>
      </c>
      <c r="M165" s="249">
        <f t="shared" si="60"/>
        <v>-98625.780000000028</v>
      </c>
      <c r="N165" s="250">
        <f t="shared" si="61"/>
        <v>-0.24656445000000007</v>
      </c>
      <c r="O165" s="183">
        <f t="shared" si="52"/>
        <v>-0.3783935519432774</v>
      </c>
      <c r="P165" s="249" t="b">
        <f t="shared" si="58"/>
        <v>0</v>
      </c>
      <c r="Q165" s="250">
        <f>COUNTIF(P$2:P165, TRUE)/(COUNTIF(P$2:P165,FALSE) + COUNTIF(P$2:P165, TRUE))</f>
        <v>0.47560975609756095</v>
      </c>
      <c r="R165" s="248">
        <v>209823.35</v>
      </c>
      <c r="S165" s="248">
        <f t="shared" si="57"/>
        <v>91550.869999999966</v>
      </c>
      <c r="T165" s="248"/>
      <c r="U165" s="248"/>
      <c r="V165" s="250">
        <f>STDEV(D$2:D165)*SQRT(252)</f>
        <v>0.19201090434466217</v>
      </c>
      <c r="W165" s="250">
        <f>STDEV(L$2:L165)*SQRT(252)</f>
        <v>0.39984095752163645</v>
      </c>
      <c r="X165" s="174">
        <f t="shared" si="59"/>
        <v>-0.9463601585207827</v>
      </c>
    </row>
    <row r="166" spans="1:24" ht="20.100000000000001" customHeight="1" x14ac:dyDescent="0.25">
      <c r="A166" s="163">
        <f t="shared" si="51"/>
        <v>239</v>
      </c>
      <c r="B166" s="242">
        <v>42472</v>
      </c>
      <c r="C166" s="243">
        <v>2061.7199999999998</v>
      </c>
      <c r="D166" s="171">
        <f>(C166-C165)/C165</f>
        <v>9.6621433013872691E-3</v>
      </c>
      <c r="E166" s="244">
        <f t="shared" si="53"/>
        <v>-1.9367972451056988E-2</v>
      </c>
      <c r="F166" s="245">
        <v>4872.09</v>
      </c>
      <c r="G166" s="171">
        <f t="shared" ref="G166:G171" si="62">(F166-F165)/F165</f>
        <v>8.0068026788651069E-3</v>
      </c>
      <c r="H166" s="246">
        <f t="shared" si="54"/>
        <v>-4.313097786593862E-2</v>
      </c>
      <c r="I166" s="247">
        <v>314750.48</v>
      </c>
      <c r="J166" s="248">
        <v>400000</v>
      </c>
      <c r="K166" s="248">
        <f t="shared" si="56"/>
        <v>13376.260000000009</v>
      </c>
      <c r="L166" s="171">
        <f t="shared" si="48"/>
        <v>4.438422105248422E-2</v>
      </c>
      <c r="M166" s="249">
        <f t="shared" si="60"/>
        <v>-85249.520000000019</v>
      </c>
      <c r="N166" s="250">
        <f t="shared" si="61"/>
        <v>-0.21312380000000006</v>
      </c>
      <c r="O166" s="183">
        <f t="shared" si="52"/>
        <v>-0.32570488682008375</v>
      </c>
      <c r="P166" s="249" t="b">
        <f t="shared" si="58"/>
        <v>1</v>
      </c>
      <c r="Q166" s="250">
        <f>COUNTIF(P$2:P166, TRUE)/(COUNTIF(P$2:P166,FALSE) + COUNTIF(P$2:P166, TRUE))</f>
        <v>0.47878787878787876</v>
      </c>
      <c r="R166" s="248">
        <v>212987.96</v>
      </c>
      <c r="S166" s="248">
        <f t="shared" si="57"/>
        <v>101762.51999999999</v>
      </c>
      <c r="T166" s="248"/>
      <c r="U166" s="248"/>
      <c r="V166" s="250">
        <f>STDEV(D$2:D166)*SQRT(252)</f>
        <v>0.19180360559269574</v>
      </c>
      <c r="W166" s="250">
        <f>STDEV(L$2:L166)*SQRT(252)</f>
        <v>0.40253727965834457</v>
      </c>
      <c r="X166" s="174">
        <f t="shared" si="59"/>
        <v>-0.80912974593689146</v>
      </c>
    </row>
    <row r="167" spans="1:24" ht="20.100000000000001" customHeight="1" x14ac:dyDescent="0.25">
      <c r="A167" s="163">
        <f t="shared" si="51"/>
        <v>240</v>
      </c>
      <c r="B167" s="242">
        <v>42473</v>
      </c>
      <c r="C167" s="243">
        <v>2082.42</v>
      </c>
      <c r="D167" s="171">
        <f>(C167-C166)/C166</f>
        <v>1.0040160642570415E-2</v>
      </c>
      <c r="E167" s="244">
        <f t="shared" si="53"/>
        <v>-9.522269363216063E-3</v>
      </c>
      <c r="F167" s="245">
        <v>4947.42</v>
      </c>
      <c r="G167" s="171">
        <f t="shared" si="62"/>
        <v>1.5461537040571896E-2</v>
      </c>
      <c r="H167" s="246">
        <f t="shared" si="54"/>
        <v>-2.8336312037237021E-2</v>
      </c>
      <c r="I167" s="247">
        <v>317683.34999999998</v>
      </c>
      <c r="J167" s="248">
        <v>400000</v>
      </c>
      <c r="K167" s="248">
        <f t="shared" si="56"/>
        <v>2932.8699999999953</v>
      </c>
      <c r="L167" s="171">
        <f t="shared" si="48"/>
        <v>9.3180795149224102E-3</v>
      </c>
      <c r="M167" s="249">
        <f t="shared" si="60"/>
        <v>-82316.650000000023</v>
      </c>
      <c r="N167" s="250">
        <f t="shared" si="61"/>
        <v>-0.20579162500000006</v>
      </c>
      <c r="O167" s="183">
        <f t="shared" si="52"/>
        <v>-0.31318912929687509</v>
      </c>
      <c r="P167" s="249" t="b">
        <f t="shared" si="58"/>
        <v>0</v>
      </c>
      <c r="Q167" s="250">
        <f>COUNTIF(P$2:P167, TRUE)/(COUNTIF(P$2:P167,FALSE) + COUNTIF(P$2:P167, TRUE))</f>
        <v>0.4759036144578313</v>
      </c>
      <c r="R167" s="248">
        <v>219889.91</v>
      </c>
      <c r="S167" s="248">
        <f t="shared" si="57"/>
        <v>97793.439999999973</v>
      </c>
      <c r="T167" s="248"/>
      <c r="U167" s="248"/>
      <c r="V167" s="250">
        <f>STDEV(D$2:D167)*SQRT(252)</f>
        <v>0.19162382789500107</v>
      </c>
      <c r="W167" s="250">
        <f>STDEV(L$2:L167)*SQRT(252)</f>
        <v>0.40149438106382634</v>
      </c>
      <c r="X167" s="174">
        <f t="shared" si="59"/>
        <v>-0.78005856138516372</v>
      </c>
    </row>
    <row r="168" spans="1:24" ht="20.100000000000001" customHeight="1" x14ac:dyDescent="0.25">
      <c r="A168" s="163">
        <f t="shared" si="51"/>
        <v>241</v>
      </c>
      <c r="B168" s="242">
        <v>42474</v>
      </c>
      <c r="C168" s="243">
        <v>2082.7800000000002</v>
      </c>
      <c r="D168" s="171">
        <f>(C168-C167)/C167</f>
        <v>1.728757887458473E-4</v>
      </c>
      <c r="E168" s="244">
        <f t="shared" si="53"/>
        <v>-9.3510397442970322E-3</v>
      </c>
      <c r="F168" s="245">
        <v>4945.88</v>
      </c>
      <c r="G168" s="171">
        <f t="shared" si="62"/>
        <v>-3.1127335055442304E-4</v>
      </c>
      <c r="H168" s="246">
        <f t="shared" si="54"/>
        <v>-2.8638765049001261E-2</v>
      </c>
      <c r="I168" s="247">
        <v>317242.28999999998</v>
      </c>
      <c r="J168" s="248">
        <v>400000</v>
      </c>
      <c r="K168" s="248">
        <f t="shared" si="56"/>
        <v>-441.05999999999767</v>
      </c>
      <c r="L168" s="171">
        <f t="shared" si="48"/>
        <v>-1.3883636016807229E-3</v>
      </c>
      <c r="M168" s="249">
        <f t="shared" si="60"/>
        <v>-82757.710000000021</v>
      </c>
      <c r="N168" s="250">
        <f t="shared" si="61"/>
        <v>-0.20689427500000004</v>
      </c>
      <c r="O168" s="183">
        <f t="shared" si="52"/>
        <v>-0.3135607217582988</v>
      </c>
      <c r="P168" s="249" t="b">
        <f t="shared" si="58"/>
        <v>0</v>
      </c>
      <c r="Q168" s="250">
        <f>COUNTIF(P$2:P168, TRUE)/(COUNTIF(P$2:P168,FALSE) + COUNTIF(P$2:P168, TRUE))</f>
        <v>0.47305389221556887</v>
      </c>
      <c r="R168" s="248">
        <v>220158.43</v>
      </c>
      <c r="S168" s="248">
        <f t="shared" si="57"/>
        <v>97083.859999999986</v>
      </c>
      <c r="T168" s="248"/>
      <c r="U168" s="248"/>
      <c r="V168" s="250">
        <f>STDEV(D$2:D168)*SQRT(252)</f>
        <v>0.19104236676485162</v>
      </c>
      <c r="W168" s="250">
        <f>STDEV(L$2:L168)*SQRT(252)</f>
        <v>0.40027732610236538</v>
      </c>
      <c r="X168" s="174">
        <f t="shared" si="59"/>
        <v>-0.78335868986521107</v>
      </c>
    </row>
    <row r="169" spans="1:24" ht="20.100000000000001" customHeight="1" x14ac:dyDescent="0.25">
      <c r="A169" s="163">
        <f t="shared" si="51"/>
        <v>242</v>
      </c>
      <c r="B169" s="242">
        <v>42475</v>
      </c>
      <c r="C169" s="243">
        <v>2080.73</v>
      </c>
      <c r="D169" s="171">
        <f>(C169-C168)/C168</f>
        <v>-9.8426141983319485E-4</v>
      </c>
      <c r="E169" s="244">
        <f t="shared" si="53"/>
        <v>-1.0326097296474589E-2</v>
      </c>
      <c r="F169" s="245">
        <v>4938.21</v>
      </c>
      <c r="G169" s="171">
        <f t="shared" si="62"/>
        <v>-1.5507857044651453E-3</v>
      </c>
      <c r="H169" s="246">
        <f t="shared" si="54"/>
        <v>-3.0145138166034879E-2</v>
      </c>
      <c r="I169" s="247">
        <v>317721.64</v>
      </c>
      <c r="J169" s="248">
        <v>400000</v>
      </c>
      <c r="K169" s="248">
        <f t="shared" si="56"/>
        <v>479.35000000003492</v>
      </c>
      <c r="L169" s="171">
        <f t="shared" si="48"/>
        <v>1.5109902276901196E-3</v>
      </c>
      <c r="M169" s="249">
        <f t="shared" si="60"/>
        <v>-82278.359999999986</v>
      </c>
      <c r="N169" s="250">
        <f t="shared" si="61"/>
        <v>-0.20569589999999996</v>
      </c>
      <c r="O169" s="183">
        <f t="shared" si="52"/>
        <v>-0.3104563118801652</v>
      </c>
      <c r="P169" s="249" t="b">
        <f t="shared" si="58"/>
        <v>1</v>
      </c>
      <c r="Q169" s="250">
        <f>COUNTIF(P$2:P169, TRUE)/(COUNTIF(P$2:P169,FALSE) + COUNTIF(P$2:P169, TRUE))</f>
        <v>0.47619047619047616</v>
      </c>
      <c r="R169" s="248">
        <v>227146.03</v>
      </c>
      <c r="S169" s="248">
        <f t="shared" si="57"/>
        <v>90575.610000000015</v>
      </c>
      <c r="T169" s="248"/>
      <c r="U169" s="248"/>
      <c r="V169" s="250">
        <f>STDEV(D$2:D169)*SQRT(252)</f>
        <v>0.1904700278981748</v>
      </c>
      <c r="W169" s="250">
        <f>STDEV(L$2:L169)*SQRT(252)</f>
        <v>0.39907765714792898</v>
      </c>
      <c r="X169" s="174">
        <f t="shared" si="59"/>
        <v>-0.77793458571168805</v>
      </c>
    </row>
    <row r="170" spans="1:24" ht="20.100000000000001" customHeight="1" x14ac:dyDescent="0.25">
      <c r="A170" s="163">
        <f t="shared" si="51"/>
        <v>245</v>
      </c>
      <c r="B170" s="172">
        <v>42478</v>
      </c>
      <c r="C170" s="215">
        <v>2094.39</v>
      </c>
      <c r="D170" s="171">
        <f>(C170-C169)/C169</f>
        <v>6.5650036285341464E-3</v>
      </c>
      <c r="E170" s="209">
        <f t="shared" si="53"/>
        <v>-3.8288845341603954E-3</v>
      </c>
      <c r="F170" s="219">
        <v>4960.01</v>
      </c>
      <c r="G170" s="171">
        <f t="shared" si="62"/>
        <v>4.414555071574555E-3</v>
      </c>
      <c r="H170" s="203">
        <f t="shared" si="54"/>
        <v>-2.5863660467034508E-2</v>
      </c>
      <c r="I170" s="221">
        <v>322899.31</v>
      </c>
      <c r="J170" s="173">
        <v>400000</v>
      </c>
      <c r="K170" s="173">
        <f t="shared" si="56"/>
        <v>5177.6699999999837</v>
      </c>
      <c r="L170" s="171">
        <f t="shared" si="48"/>
        <v>1.6296245984377972E-2</v>
      </c>
      <c r="M170" s="182">
        <f t="shared" si="60"/>
        <v>-77100.69</v>
      </c>
      <c r="N170" s="184">
        <f t="shared" si="61"/>
        <v>-0.19275172500000001</v>
      </c>
      <c r="O170" s="183">
        <f t="shared" si="52"/>
        <v>-0.28735741859693881</v>
      </c>
      <c r="P170" s="182" t="b">
        <f t="shared" si="58"/>
        <v>1</v>
      </c>
      <c r="Q170" s="184">
        <f>COUNTIF(P$2:P170, TRUE)/(COUNTIF(P$2:P170,FALSE) + COUNTIF(P$2:P170, TRUE))</f>
        <v>0.47928994082840237</v>
      </c>
      <c r="R170" s="173">
        <v>221962.67</v>
      </c>
      <c r="S170" s="173">
        <f t="shared" si="57"/>
        <v>100936.63999999998</v>
      </c>
      <c r="T170" s="173"/>
      <c r="U170" s="173"/>
      <c r="V170" s="184">
        <f>STDEV(D$2:D170)*SQRT(252)</f>
        <v>0.19006855377528359</v>
      </c>
      <c r="W170" s="184">
        <f>STDEV(L$2:L170)*SQRT(252)</f>
        <v>0.39841300907192778</v>
      </c>
      <c r="X170" s="174">
        <f t="shared" si="59"/>
        <v>-0.72125510978247331</v>
      </c>
    </row>
    <row r="171" spans="1:24" ht="20.100000000000001" customHeight="1" x14ac:dyDescent="0.25">
      <c r="A171" s="163">
        <f t="shared" si="51"/>
        <v>246</v>
      </c>
      <c r="B171" s="172">
        <v>42479</v>
      </c>
      <c r="C171" s="215">
        <v>2100.8000000000002</v>
      </c>
      <c r="D171" s="171">
        <f t="shared" ref="D171:D190" si="63">(C171-C170)/C170</f>
        <v>3.0605570118269806E-3</v>
      </c>
      <c r="E171" s="209">
        <f t="shared" si="53"/>
        <v>-7.8004604174191543E-4</v>
      </c>
      <c r="F171" s="219">
        <v>4940.33</v>
      </c>
      <c r="G171" s="171">
        <f t="shared" si="62"/>
        <v>-3.9677339360203491E-3</v>
      </c>
      <c r="H171" s="203">
        <f t="shared" si="54"/>
        <v>-2.9728774279710095E-2</v>
      </c>
      <c r="I171" s="221">
        <v>328320.36</v>
      </c>
      <c r="J171" s="173">
        <v>400000</v>
      </c>
      <c r="K171" s="173">
        <f t="shared" si="56"/>
        <v>5421.0499999999884</v>
      </c>
      <c r="L171" s="171">
        <f t="shared" si="48"/>
        <v>1.6788670127539103E-2</v>
      </c>
      <c r="M171" s="182">
        <f t="shared" si="60"/>
        <v>-71679.640000000014</v>
      </c>
      <c r="N171" s="184">
        <f t="shared" si="61"/>
        <v>-0.17919910000000003</v>
      </c>
      <c r="O171" s="183">
        <f t="shared" si="52"/>
        <v>-0.26606695640243905</v>
      </c>
      <c r="P171" s="182" t="b">
        <f t="shared" si="58"/>
        <v>1</v>
      </c>
      <c r="Q171" s="184">
        <f>COUNTIF(P$2:P171, TRUE)/(COUNTIF(P$2:P171,FALSE) + COUNTIF(P$2:P171, TRUE))</f>
        <v>0.4823529411764706</v>
      </c>
      <c r="R171" s="173">
        <v>219508.9</v>
      </c>
      <c r="S171" s="173">
        <f t="shared" si="57"/>
        <v>108811.45999999999</v>
      </c>
      <c r="T171" s="173"/>
      <c r="U171" s="173"/>
      <c r="V171" s="184">
        <f>STDEV(D$2:D171)*SQRT(252)</f>
        <v>0.18953771970498626</v>
      </c>
      <c r="W171" s="184">
        <f>STDEV(L$2:L171)*SQRT(252)</f>
        <v>0.39778020996769808</v>
      </c>
      <c r="X171" s="174">
        <f t="shared" si="59"/>
        <v>-0.66887932012516438</v>
      </c>
    </row>
    <row r="172" spans="1:24" ht="20.100000000000001" customHeight="1" x14ac:dyDescent="0.25">
      <c r="A172" s="163">
        <f t="shared" si="51"/>
        <v>247</v>
      </c>
      <c r="B172" s="172">
        <v>42480</v>
      </c>
      <c r="C172" s="215">
        <v>2102.4</v>
      </c>
      <c r="D172" s="171">
        <f t="shared" si="63"/>
        <v>7.6161462300071826E-4</v>
      </c>
      <c r="E172" s="209">
        <f t="shared" ref="E172:E191" si="64">(C172-$C$2)/$C$2</f>
        <v>-1.9025513213201623E-5</v>
      </c>
      <c r="F172" s="219">
        <v>4948.13</v>
      </c>
      <c r="G172" s="171">
        <f t="shared" ref="G172:G190" si="65">(F172-F171)/F171</f>
        <v>1.5788418992253922E-3</v>
      </c>
      <c r="H172" s="203">
        <f t="shared" si="54"/>
        <v>-2.8196869414930124E-2</v>
      </c>
      <c r="I172" s="221">
        <v>329335.82</v>
      </c>
      <c r="J172" s="173">
        <v>400000</v>
      </c>
      <c r="K172" s="173">
        <f t="shared" si="56"/>
        <v>1015.460000000021</v>
      </c>
      <c r="L172" s="171">
        <f t="shared" si="48"/>
        <v>3.0928937821584411E-3</v>
      </c>
      <c r="M172" s="182">
        <f t="shared" si="60"/>
        <v>-70664.179999999993</v>
      </c>
      <c r="N172" s="184">
        <f t="shared" si="61"/>
        <v>-0.17666044999999997</v>
      </c>
      <c r="O172" s="183">
        <f t="shared" si="52"/>
        <v>-0.26123574640688257</v>
      </c>
      <c r="P172" s="182" t="b">
        <f t="shared" si="58"/>
        <v>1</v>
      </c>
      <c r="Q172" s="184">
        <f>COUNTIF(P$2:P172, TRUE)/(COUNTIF(P$2:P172,FALSE) + COUNTIF(P$2:P172, TRUE))</f>
        <v>0.4853801169590643</v>
      </c>
      <c r="R172" s="173">
        <v>225120.43</v>
      </c>
      <c r="S172" s="173">
        <f t="shared" si="57"/>
        <v>104215.39000000001</v>
      </c>
      <c r="T172" s="173"/>
      <c r="U172" s="173"/>
      <c r="V172" s="184">
        <f>STDEV(D$2:D172)*SQRT(252)</f>
        <v>0.18897802119908777</v>
      </c>
      <c r="W172" s="184">
        <f>STDEV(L$2:L172)*SQRT(252)</f>
        <v>0.39662320245584515</v>
      </c>
      <c r="X172" s="174">
        <f t="shared" si="59"/>
        <v>-0.65864968259380929</v>
      </c>
    </row>
    <row r="173" spans="1:24" ht="20.100000000000001" customHeight="1" x14ac:dyDescent="0.25">
      <c r="A173" s="163">
        <f t="shared" si="51"/>
        <v>248</v>
      </c>
      <c r="B173" s="172">
        <v>42481</v>
      </c>
      <c r="C173" s="215">
        <v>2091.48</v>
      </c>
      <c r="D173" s="171">
        <f t="shared" si="63"/>
        <v>-5.194063926940674E-3</v>
      </c>
      <c r="E173" s="209">
        <f t="shared" si="64"/>
        <v>-5.2129906204220026E-3</v>
      </c>
      <c r="F173" s="219">
        <v>4945.88</v>
      </c>
      <c r="G173" s="171">
        <f t="shared" si="65"/>
        <v>-4.547172366126193E-4</v>
      </c>
      <c r="H173" s="203">
        <f t="shared" si="54"/>
        <v>-2.8638765049001261E-2</v>
      </c>
      <c r="I173" s="221">
        <v>327169.02</v>
      </c>
      <c r="J173" s="173">
        <v>400000</v>
      </c>
      <c r="K173" s="173">
        <f t="shared" si="56"/>
        <v>-2166.7999999999884</v>
      </c>
      <c r="L173" s="171">
        <f t="shared" si="48"/>
        <v>-6.5793025489908393E-3</v>
      </c>
      <c r="M173" s="182">
        <f t="shared" si="60"/>
        <v>-72830.979999999981</v>
      </c>
      <c r="N173" s="184">
        <f t="shared" si="61"/>
        <v>-0.18207744999999995</v>
      </c>
      <c r="O173" s="183">
        <f t="shared" si="52"/>
        <v>-0.26816043795362893</v>
      </c>
      <c r="P173" s="182" t="b">
        <f t="shared" si="58"/>
        <v>0</v>
      </c>
      <c r="Q173" s="184">
        <f>COUNTIF(P$2:P173, TRUE)/(COUNTIF(P$2:P173,FALSE) + COUNTIF(P$2:P173, TRUE))</f>
        <v>0.48255813953488375</v>
      </c>
      <c r="R173" s="173">
        <v>222953.63</v>
      </c>
      <c r="S173" s="173">
        <f t="shared" si="57"/>
        <v>104215.39000000001</v>
      </c>
      <c r="T173" s="173"/>
      <c r="U173" s="173"/>
      <c r="V173" s="184">
        <f>STDEV(D$2:D173)*SQRT(252)</f>
        <v>0.18852973440522966</v>
      </c>
      <c r="W173" s="184">
        <f>STDEV(L$2:L173)*SQRT(252)</f>
        <v>0.39552870627175002</v>
      </c>
      <c r="X173" s="174">
        <f t="shared" si="59"/>
        <v>-0.67797971095778808</v>
      </c>
    </row>
    <row r="174" spans="1:24" ht="20.100000000000001" customHeight="1" x14ac:dyDescent="0.25">
      <c r="A174" s="163">
        <f t="shared" si="51"/>
        <v>249</v>
      </c>
      <c r="B174" s="172">
        <v>42482</v>
      </c>
      <c r="C174" s="215">
        <v>2091.58</v>
      </c>
      <c r="D174" s="171">
        <f t="shared" si="63"/>
        <v>4.7813031919936622E-5</v>
      </c>
      <c r="E174" s="209">
        <f t="shared" si="64"/>
        <v>-5.1654268373889992E-3</v>
      </c>
      <c r="F174" s="219">
        <v>4906.28</v>
      </c>
      <c r="G174" s="171">
        <f t="shared" si="65"/>
        <v>-8.006664132571022E-3</v>
      </c>
      <c r="H174" s="203">
        <f t="shared" ref="H174:H191" si="66">(F174-F$2)/F$2</f>
        <v>-3.6416128208653316E-2</v>
      </c>
      <c r="I174" s="221">
        <v>331471.71000000002</v>
      </c>
      <c r="J174" s="173">
        <v>400000</v>
      </c>
      <c r="K174" s="173">
        <f t="shared" si="56"/>
        <v>4302.6900000000023</v>
      </c>
      <c r="L174" s="171">
        <f t="shared" si="48"/>
        <v>1.3151275753431673E-2</v>
      </c>
      <c r="M174" s="182">
        <f t="shared" si="60"/>
        <v>-68528.289999999979</v>
      </c>
      <c r="N174" s="184">
        <f t="shared" si="61"/>
        <v>-0.17132072499999995</v>
      </c>
      <c r="O174" s="183">
        <f t="shared" si="52"/>
        <v>-0.25130479841867465</v>
      </c>
      <c r="P174" s="182" t="b">
        <f t="shared" si="58"/>
        <v>1</v>
      </c>
      <c r="Q174" s="184">
        <f>COUNTIF(P$2:P174, TRUE)/(COUNTIF(P$2:P174,FALSE) + COUNTIF(P$2:P174, TRUE))</f>
        <v>0.48554913294797686</v>
      </c>
      <c r="R174" s="173">
        <v>230600.27</v>
      </c>
      <c r="S174" s="173">
        <f t="shared" si="57"/>
        <v>100871.44000000003</v>
      </c>
      <c r="T174" s="173"/>
      <c r="U174" s="173"/>
      <c r="V174" s="184">
        <f>STDEV(D$2:D174)*SQRT(252)</f>
        <v>0.18797766983654679</v>
      </c>
      <c r="W174" s="184">
        <f>STDEV(L$2:L174)*SQRT(252)</f>
        <v>0.39470764282961784</v>
      </c>
      <c r="X174" s="174">
        <f t="shared" si="59"/>
        <v>-0.63668591927203844</v>
      </c>
    </row>
    <row r="175" spans="1:24" ht="20.100000000000001" customHeight="1" x14ac:dyDescent="0.25">
      <c r="A175" s="163">
        <f t="shared" si="51"/>
        <v>252</v>
      </c>
      <c r="B175" s="242">
        <v>42485</v>
      </c>
      <c r="C175" s="243">
        <v>2087.79</v>
      </c>
      <c r="D175" s="171">
        <f t="shared" si="63"/>
        <v>-1.8120272712494688E-3</v>
      </c>
      <c r="E175" s="244">
        <f t="shared" si="64"/>
        <v>-6.9680942143414753E-3</v>
      </c>
      <c r="F175" s="245">
        <v>4895.78</v>
      </c>
      <c r="G175" s="171">
        <f t="shared" si="65"/>
        <v>-2.140114302485794E-3</v>
      </c>
      <c r="H175" s="246">
        <f t="shared" si="66"/>
        <v>-3.8478307834318611E-2</v>
      </c>
      <c r="I175" s="247">
        <v>325541.03000000003</v>
      </c>
      <c r="J175" s="248">
        <v>400000</v>
      </c>
      <c r="K175" s="248">
        <f t="shared" si="56"/>
        <v>-5930.679999999993</v>
      </c>
      <c r="L175" s="171">
        <f t="shared" si="48"/>
        <v>-1.7891964294630129E-2</v>
      </c>
      <c r="M175" s="249">
        <f t="shared" si="60"/>
        <v>-74458.969999999972</v>
      </c>
      <c r="N175" s="250">
        <f t="shared" si="61"/>
        <v>-0.18614742499999992</v>
      </c>
      <c r="O175" s="183">
        <f t="shared" si="52"/>
        <v>-0.26980296421130939</v>
      </c>
      <c r="P175" s="249" t="b">
        <f t="shared" si="58"/>
        <v>0</v>
      </c>
      <c r="Q175" s="250">
        <f>COUNTIF(P$2:P175, TRUE)/(COUNTIF(P$2:P175,FALSE) + COUNTIF(P$2:P175, TRUE))</f>
        <v>0.48275862068965519</v>
      </c>
      <c r="R175" s="248">
        <v>238708.14</v>
      </c>
      <c r="S175" s="248">
        <f t="shared" si="57"/>
        <v>86832.890000000014</v>
      </c>
      <c r="T175" s="248"/>
      <c r="U175" s="248"/>
      <c r="V175" s="250">
        <f>STDEV(D$2:D175)*SQRT(252)</f>
        <v>0.18744374998531149</v>
      </c>
      <c r="W175" s="250">
        <f>STDEV(L$2:L175)*SQRT(252)</f>
        <v>0.39413441432117591</v>
      </c>
      <c r="X175" s="174">
        <f t="shared" si="59"/>
        <v>-0.68454556214279183</v>
      </c>
    </row>
    <row r="176" spans="1:24" ht="20.100000000000001" customHeight="1" x14ac:dyDescent="0.25">
      <c r="A176" s="163">
        <f t="shared" si="51"/>
        <v>253</v>
      </c>
      <c r="B176" s="242">
        <v>42486</v>
      </c>
      <c r="C176" s="332">
        <v>2091.6999999999998</v>
      </c>
      <c r="D176" s="171">
        <f t="shared" si="63"/>
        <v>1.8727937196748019E-3</v>
      </c>
      <c r="E176" s="244">
        <f t="shared" si="64"/>
        <v>-5.1083502977493939E-3</v>
      </c>
      <c r="F176" s="245">
        <v>4888.28</v>
      </c>
      <c r="G176" s="171">
        <f t="shared" si="65"/>
        <v>-1.5319315818929772E-3</v>
      </c>
      <c r="H176" s="246">
        <f t="shared" si="66"/>
        <v>-3.9951293281222398E-2</v>
      </c>
      <c r="I176" s="247">
        <v>336797.26</v>
      </c>
      <c r="J176" s="248">
        <v>400000</v>
      </c>
      <c r="K176" s="248">
        <f t="shared" si="56"/>
        <v>11256.229999999981</v>
      </c>
      <c r="L176" s="171">
        <f t="shared" si="48"/>
        <v>3.4576993259497826E-2</v>
      </c>
      <c r="M176" s="249">
        <f t="shared" si="60"/>
        <v>-63202.739999999991</v>
      </c>
      <c r="N176" s="250">
        <f t="shared" si="61"/>
        <v>-0.15800684999999998</v>
      </c>
      <c r="O176" s="183">
        <f t="shared" si="52"/>
        <v>-0.22811067969367585</v>
      </c>
      <c r="P176" s="249" t="b">
        <f t="shared" si="58"/>
        <v>1</v>
      </c>
      <c r="Q176" s="250">
        <f>COUNTIF(P$2:P176, TRUE)/(COUNTIF(P$2:P176,FALSE) + COUNTIF(P$2:P176, TRUE))</f>
        <v>0.48571428571428571</v>
      </c>
      <c r="R176" s="248">
        <v>231627.32</v>
      </c>
      <c r="S176" s="248">
        <f t="shared" si="57"/>
        <v>105169.94</v>
      </c>
      <c r="T176" s="248"/>
      <c r="U176" s="248"/>
      <c r="V176" s="250">
        <f>STDEV(D$2:D176)*SQRT(252)</f>
        <v>0.18691439115354258</v>
      </c>
      <c r="W176" s="250">
        <f>STDEV(L$2:L176)*SQRT(252)</f>
        <v>0.39523474671048564</v>
      </c>
      <c r="X176" s="174">
        <f t="shared" si="59"/>
        <v>-0.57715239257739082</v>
      </c>
    </row>
    <row r="177" spans="1:24" ht="20.100000000000001" customHeight="1" x14ac:dyDescent="0.25">
      <c r="A177" s="163">
        <f t="shared" si="51"/>
        <v>254</v>
      </c>
      <c r="B177" s="242">
        <v>42487</v>
      </c>
      <c r="C177" s="332">
        <v>2095.15</v>
      </c>
      <c r="D177" s="171">
        <f t="shared" si="63"/>
        <v>1.6493761055602013E-3</v>
      </c>
      <c r="E177" s="244">
        <f t="shared" si="64"/>
        <v>-3.4673997831091321E-3</v>
      </c>
      <c r="F177" s="245">
        <v>4863.1400000000003</v>
      </c>
      <c r="G177" s="171">
        <f t="shared" si="65"/>
        <v>-5.1429132537414834E-3</v>
      </c>
      <c r="H177" s="246">
        <f t="shared" si="66"/>
        <v>-4.4888740499243768E-2</v>
      </c>
      <c r="I177" s="247">
        <v>341540.33</v>
      </c>
      <c r="J177" s="248">
        <v>400000</v>
      </c>
      <c r="K177" s="248">
        <f t="shared" si="56"/>
        <v>4743.070000000007</v>
      </c>
      <c r="L177" s="171">
        <f t="shared" si="48"/>
        <v>1.4082863975793648E-2</v>
      </c>
      <c r="M177" s="249">
        <f t="shared" si="60"/>
        <v>-58459.669999999984</v>
      </c>
      <c r="N177" s="250">
        <f t="shared" si="61"/>
        <v>-0.14614917499999996</v>
      </c>
      <c r="O177" s="183">
        <f t="shared" si="52"/>
        <v>-0.21016136286909445</v>
      </c>
      <c r="P177" s="249" t="b">
        <f t="shared" si="58"/>
        <v>1</v>
      </c>
      <c r="Q177" s="250">
        <f>COUNTIF(P$2:P177, TRUE)/(COUNTIF(P$2:P177,FALSE) + COUNTIF(P$2:P177, TRUE))</f>
        <v>0.48863636363636365</v>
      </c>
      <c r="R177" s="248">
        <v>245489.82</v>
      </c>
      <c r="S177" s="248">
        <f t="shared" si="57"/>
        <v>96050.510000000009</v>
      </c>
      <c r="T177" s="248"/>
      <c r="U177" s="248"/>
      <c r="V177" s="250">
        <f>STDEV(D$2:D177)*SQRT(252)</f>
        <v>0.18638651777551687</v>
      </c>
      <c r="W177" s="250">
        <f>STDEV(L$2:L177)*SQRT(252)</f>
        <v>0.39446713655061666</v>
      </c>
      <c r="X177" s="174">
        <f t="shared" si="59"/>
        <v>-0.53277280512346881</v>
      </c>
    </row>
    <row r="178" spans="1:24" ht="20.100000000000001" customHeight="1" x14ac:dyDescent="0.25">
      <c r="A178" s="163">
        <f t="shared" si="51"/>
        <v>255</v>
      </c>
      <c r="B178" s="242">
        <v>42488</v>
      </c>
      <c r="C178" s="332">
        <v>2075.81</v>
      </c>
      <c r="D178" s="171">
        <f t="shared" si="63"/>
        <v>-9.2308426604301094E-3</v>
      </c>
      <c r="E178" s="244">
        <f t="shared" si="64"/>
        <v>-1.2666235421700553E-2</v>
      </c>
      <c r="F178" s="245">
        <v>4805.29</v>
      </c>
      <c r="G178" s="171">
        <f t="shared" si="65"/>
        <v>-1.1895606542275229E-2</v>
      </c>
      <c r="H178" s="246">
        <f t="shared" si="66"/>
        <v>-5.6250368246361697E-2</v>
      </c>
      <c r="I178" s="247">
        <v>336936.02</v>
      </c>
      <c r="J178" s="248">
        <v>400000</v>
      </c>
      <c r="K178" s="248">
        <f t="shared" si="56"/>
        <v>-4604.3099999999977</v>
      </c>
      <c r="L178" s="171">
        <f t="shared" si="48"/>
        <v>-1.3481014086974729E-2</v>
      </c>
      <c r="M178" s="249">
        <f t="shared" si="60"/>
        <v>-63063.979999999981</v>
      </c>
      <c r="N178" s="250">
        <f t="shared" si="61"/>
        <v>-0.15765994999999997</v>
      </c>
      <c r="O178" s="183">
        <f t="shared" si="52"/>
        <v>-0.22582469308823525</v>
      </c>
      <c r="P178" s="249" t="b">
        <f t="shared" si="58"/>
        <v>0</v>
      </c>
      <c r="Q178" s="250">
        <f>COUNTIF(P$2:P178, TRUE)/(COUNTIF(P$2:P178,FALSE) + COUNTIF(P$2:P178, TRUE))</f>
        <v>0.48587570621468928</v>
      </c>
      <c r="R178" s="248">
        <v>254190.85</v>
      </c>
      <c r="S178" s="248">
        <f t="shared" si="57"/>
        <v>82745.170000000013</v>
      </c>
      <c r="T178" s="248"/>
      <c r="U178" s="248"/>
      <c r="V178" s="250">
        <f>STDEV(D$2:D178)*SQRT(252)</f>
        <v>0.18618462851964468</v>
      </c>
      <c r="W178" s="250">
        <f>STDEV(L$2:L178)*SQRT(252)</f>
        <v>0.39366590594633838</v>
      </c>
      <c r="X178" s="174">
        <f t="shared" si="59"/>
        <v>-0.57364554480625507</v>
      </c>
    </row>
    <row r="179" spans="1:24" ht="20.100000000000001" customHeight="1" x14ac:dyDescent="0.25">
      <c r="A179" s="163">
        <f t="shared" si="51"/>
        <v>256</v>
      </c>
      <c r="B179" s="242">
        <v>42489</v>
      </c>
      <c r="C179" s="332">
        <v>2065.3000000000002</v>
      </c>
      <c r="D179" s="171">
        <f t="shared" si="63"/>
        <v>-5.0630838082482326E-3</v>
      </c>
      <c r="E179" s="244">
        <f t="shared" si="64"/>
        <v>-1.7665189018473713E-2</v>
      </c>
      <c r="F179" s="245">
        <v>4775.3599999999997</v>
      </c>
      <c r="G179" s="171">
        <f t="shared" si="65"/>
        <v>-6.2285522830048323E-3</v>
      </c>
      <c r="H179" s="246">
        <f t="shared" si="66"/>
        <v>-6.2128562169805793E-2</v>
      </c>
      <c r="I179" s="472">
        <v>329545.53999999998</v>
      </c>
      <c r="J179" s="248">
        <v>400000</v>
      </c>
      <c r="K179" s="248">
        <f t="shared" si="56"/>
        <v>-7390.4800000000396</v>
      </c>
      <c r="L179" s="171">
        <f t="shared" si="48"/>
        <v>-2.1934371991454163E-2</v>
      </c>
      <c r="M179" s="249">
        <f t="shared" si="60"/>
        <v>-70454.460000000021</v>
      </c>
      <c r="N179" s="250">
        <f t="shared" si="61"/>
        <v>-0.17613615000000005</v>
      </c>
      <c r="O179" s="183">
        <f t="shared" si="52"/>
        <v>-0.25130362807617196</v>
      </c>
      <c r="P179" s="249" t="b">
        <f t="shared" si="58"/>
        <v>0</v>
      </c>
      <c r="Q179" s="250">
        <f>COUNTIF(P$2:P179, TRUE)/(COUNTIF(P$2:P179,FALSE) + COUNTIF(P$2:P179, TRUE))</f>
        <v>0.48314606741573035</v>
      </c>
      <c r="R179" s="248">
        <v>264639.32</v>
      </c>
      <c r="S179" s="248">
        <f t="shared" si="57"/>
        <v>64906.219999999972</v>
      </c>
      <c r="T179" s="248"/>
      <c r="U179" s="248"/>
      <c r="V179" s="250">
        <f>STDEV(D$2:D179)*SQRT(252)</f>
        <v>0.18575305494733241</v>
      </c>
      <c r="W179" s="250">
        <f>STDEV(L$2:L179)*SQRT(252)</f>
        <v>0.39340624271023572</v>
      </c>
      <c r="X179" s="174">
        <f t="shared" si="59"/>
        <v>-0.6387891212526341</v>
      </c>
    </row>
    <row r="180" spans="1:24" ht="20.100000000000001" customHeight="1" x14ac:dyDescent="0.25">
      <c r="A180" s="163">
        <f t="shared" si="51"/>
        <v>259</v>
      </c>
      <c r="B180" s="172">
        <v>42492</v>
      </c>
      <c r="C180" s="215">
        <v>2081.4299999999998</v>
      </c>
      <c r="D180" s="171">
        <f t="shared" si="63"/>
        <v>7.8100033893379424E-3</v>
      </c>
      <c r="E180" s="209">
        <f t="shared" si="64"/>
        <v>-9.9931508152433443E-3</v>
      </c>
      <c r="F180" s="219">
        <v>4817.59</v>
      </c>
      <c r="G180" s="171">
        <f t="shared" si="65"/>
        <v>8.8433123366616281E-3</v>
      </c>
      <c r="H180" s="203">
        <f t="shared" si="66"/>
        <v>-5.3834672113439459E-2</v>
      </c>
      <c r="I180" s="221">
        <v>323730.93</v>
      </c>
      <c r="J180" s="173">
        <v>400000</v>
      </c>
      <c r="K180" s="173">
        <f t="shared" si="56"/>
        <v>-5814.609999999986</v>
      </c>
      <c r="L180" s="171">
        <f t="shared" si="48"/>
        <v>-1.7644329217746314E-2</v>
      </c>
      <c r="M180" s="182">
        <f t="shared" si="60"/>
        <v>-76269.070000000007</v>
      </c>
      <c r="N180" s="184">
        <f t="shared" si="61"/>
        <v>-0.19067267500000001</v>
      </c>
      <c r="O180" s="183">
        <f t="shared" si="52"/>
        <v>-0.26889264302606181</v>
      </c>
      <c r="P180" s="182" t="b">
        <f t="shared" si="58"/>
        <v>0</v>
      </c>
      <c r="Q180" s="184">
        <f>COUNTIF(P$2:P180, TRUE)/(COUNTIF(P$2:P180,FALSE) + COUNTIF(P$2:P180, TRUE))</f>
        <v>0.48044692737430167</v>
      </c>
      <c r="R180" s="173">
        <v>258410.3</v>
      </c>
      <c r="S180" s="173">
        <f t="shared" si="57"/>
        <v>65320.630000000005</v>
      </c>
      <c r="T180" s="173"/>
      <c r="U180" s="173"/>
      <c r="V180" s="184">
        <f>STDEV(D$2:D180)*SQRT(252)</f>
        <v>0.18546248521467029</v>
      </c>
      <c r="W180" s="184">
        <f>STDEV(L$2:L180)*SQRT(252)</f>
        <v>0.39283799176483652</v>
      </c>
      <c r="X180" s="174">
        <f t="shared" si="59"/>
        <v>-0.68448736798101806</v>
      </c>
    </row>
    <row r="181" spans="1:24" ht="20.100000000000001" customHeight="1" x14ac:dyDescent="0.25">
      <c r="A181" s="163">
        <f t="shared" si="51"/>
        <v>260</v>
      </c>
      <c r="B181" s="172">
        <v>42493</v>
      </c>
      <c r="C181" s="215">
        <v>2063.37</v>
      </c>
      <c r="D181" s="171">
        <f t="shared" si="63"/>
        <v>-8.6767270578400179E-3</v>
      </c>
      <c r="E181" s="209">
        <f t="shared" si="64"/>
        <v>-1.8583170031011665E-2</v>
      </c>
      <c r="F181" s="219">
        <v>4763.22</v>
      </c>
      <c r="G181" s="171">
        <f t="shared" si="65"/>
        <v>-1.1285725850477083E-2</v>
      </c>
      <c r="H181" s="203">
        <f t="shared" si="66"/>
        <v>-6.4512834613193945E-2</v>
      </c>
      <c r="I181" s="221">
        <v>314233.52</v>
      </c>
      <c r="J181" s="173">
        <v>400000</v>
      </c>
      <c r="K181" s="173">
        <f t="shared" si="56"/>
        <v>-9497.4099999999744</v>
      </c>
      <c r="L181" s="171">
        <f t="shared" si="48"/>
        <v>-2.9337357415925549E-2</v>
      </c>
      <c r="M181" s="182">
        <f t="shared" si="60"/>
        <v>-85766.479999999981</v>
      </c>
      <c r="N181" s="184">
        <f t="shared" si="61"/>
        <v>-0.21441619999999995</v>
      </c>
      <c r="O181" s="183">
        <f t="shared" si="52"/>
        <v>-0.30121352711538457</v>
      </c>
      <c r="P181" s="182" t="b">
        <f t="shared" si="58"/>
        <v>0</v>
      </c>
      <c r="Q181" s="184">
        <f>COUNTIF(P$2:P181, TRUE)/(COUNTIF(P$2:P181,FALSE) + COUNTIF(P$2:P181, TRUE))</f>
        <v>0.4777777777777778</v>
      </c>
      <c r="R181" s="173">
        <v>250705.72</v>
      </c>
      <c r="S181" s="173">
        <f t="shared" si="57"/>
        <v>63527.800000000017</v>
      </c>
      <c r="T181" s="173"/>
      <c r="U181" s="173"/>
      <c r="V181" s="184">
        <f>STDEV(D$2:D181)*SQRT(252)</f>
        <v>0.18522787612316166</v>
      </c>
      <c r="W181" s="184">
        <f>STDEV(L$2:L181)*SQRT(252)</f>
        <v>0.3932386492905699</v>
      </c>
      <c r="X181" s="174">
        <f t="shared" si="59"/>
        <v>-0.7659814915415738</v>
      </c>
    </row>
    <row r="182" spans="1:24" ht="20.100000000000001" customHeight="1" x14ac:dyDescent="0.25">
      <c r="A182" s="163">
        <f t="shared" si="51"/>
        <v>261</v>
      </c>
      <c r="B182" s="172">
        <v>42494</v>
      </c>
      <c r="C182" s="215">
        <v>2051.12</v>
      </c>
      <c r="D182" s="171">
        <f t="shared" si="63"/>
        <v>-5.9368896513955329E-3</v>
      </c>
      <c r="E182" s="209">
        <f t="shared" si="64"/>
        <v>-2.4409733452559961E-2</v>
      </c>
      <c r="F182" s="219">
        <v>4725.6400000000003</v>
      </c>
      <c r="G182" s="171">
        <f t="shared" si="65"/>
        <v>-7.8896208867110743E-3</v>
      </c>
      <c r="H182" s="203">
        <f t="shared" si="66"/>
        <v>-7.1893473692479823E-2</v>
      </c>
      <c r="I182" s="221">
        <v>304379.90999999997</v>
      </c>
      <c r="J182" s="173">
        <v>400000</v>
      </c>
      <c r="K182" s="173">
        <f t="shared" si="56"/>
        <v>-9853.6100000000442</v>
      </c>
      <c r="L182" s="171">
        <f t="shared" si="48"/>
        <v>-3.135760309721268E-2</v>
      </c>
      <c r="M182" s="182">
        <f t="shared" si="60"/>
        <v>-95620.090000000026</v>
      </c>
      <c r="N182" s="184">
        <f t="shared" si="61"/>
        <v>-0.23905022500000006</v>
      </c>
      <c r="O182" s="183">
        <f t="shared" si="52"/>
        <v>-0.33453292981321847</v>
      </c>
      <c r="P182" s="182" t="b">
        <f t="shared" si="58"/>
        <v>0</v>
      </c>
      <c r="Q182" s="184">
        <f>COUNTIF(P$2:P182, TRUE)/(COUNTIF(P$2:P182,FALSE) + COUNTIF(P$2:P182, TRUE))</f>
        <v>0.47513812154696133</v>
      </c>
      <c r="R182" s="173">
        <v>275717.40999999997</v>
      </c>
      <c r="S182" s="173">
        <f t="shared" si="57"/>
        <v>28662.5</v>
      </c>
      <c r="T182" s="173"/>
      <c r="U182" s="173"/>
      <c r="V182" s="184">
        <f>STDEV(D$2:D182)*SQRT(252)</f>
        <v>0.18484162325464118</v>
      </c>
      <c r="W182" s="184">
        <f>STDEV(L$2:L182)*SQRT(252)</f>
        <v>0.39383207665570702</v>
      </c>
      <c r="X182" s="174">
        <f t="shared" si="59"/>
        <v>-0.84943037818037204</v>
      </c>
    </row>
    <row r="183" spans="1:24" ht="20.100000000000001" customHeight="1" x14ac:dyDescent="0.25">
      <c r="A183" s="163">
        <f t="shared" si="51"/>
        <v>262</v>
      </c>
      <c r="B183" s="172">
        <v>42495</v>
      </c>
      <c r="C183" s="215">
        <v>2050.63</v>
      </c>
      <c r="D183" s="171">
        <f t="shared" si="63"/>
        <v>-2.3889387261583024E-4</v>
      </c>
      <c r="E183" s="209">
        <f t="shared" si="64"/>
        <v>-2.464279598942179E-2</v>
      </c>
      <c r="F183" s="219">
        <v>4717.09</v>
      </c>
      <c r="G183" s="171">
        <f t="shared" si="65"/>
        <v>-1.8092787431967271E-3</v>
      </c>
      <c r="H183" s="203">
        <f t="shared" si="66"/>
        <v>-7.3572677101950174E-2</v>
      </c>
      <c r="I183" s="221">
        <v>304854.58</v>
      </c>
      <c r="J183" s="173">
        <v>400000</v>
      </c>
      <c r="K183" s="173">
        <f t="shared" si="56"/>
        <v>474.67000000004191</v>
      </c>
      <c r="L183" s="171">
        <f t="shared" si="48"/>
        <v>1.5594656033640392E-3</v>
      </c>
      <c r="M183" s="182">
        <f t="shared" si="60"/>
        <v>-95145.419999999984</v>
      </c>
      <c r="N183" s="184">
        <f t="shared" si="61"/>
        <v>-0.23786354999999995</v>
      </c>
      <c r="O183" s="183">
        <f t="shared" si="52"/>
        <v>-0.33160176197519076</v>
      </c>
      <c r="P183" s="182" t="b">
        <f t="shared" si="58"/>
        <v>1</v>
      </c>
      <c r="Q183" s="184">
        <f>COUNTIF(P$2:P183, TRUE)/(COUNTIF(P$2:P183,FALSE) + COUNTIF(P$2:P183, TRUE))</f>
        <v>0.47802197802197804</v>
      </c>
      <c r="R183" s="173">
        <v>244688.61</v>
      </c>
      <c r="S183" s="173">
        <f t="shared" si="57"/>
        <v>60165.97000000003</v>
      </c>
      <c r="T183" s="173"/>
      <c r="U183" s="173"/>
      <c r="V183" s="184">
        <f>STDEV(D$2:D183)*SQRT(252)</f>
        <v>0.18432756719124724</v>
      </c>
      <c r="W183" s="184">
        <f>STDEV(L$2:L183)*SQRT(252)</f>
        <v>0.39274558948509919</v>
      </c>
      <c r="X183" s="174">
        <f t="shared" si="59"/>
        <v>-0.84431695951043073</v>
      </c>
    </row>
    <row r="184" spans="1:24" ht="20.100000000000001" customHeight="1" x14ac:dyDescent="0.25">
      <c r="A184" s="163">
        <f t="shared" si="51"/>
        <v>263</v>
      </c>
      <c r="B184" s="172">
        <v>42496</v>
      </c>
      <c r="C184" s="215">
        <v>2057.14</v>
      </c>
      <c r="D184" s="171">
        <f t="shared" si="63"/>
        <v>3.1746341368261281E-3</v>
      </c>
      <c r="E184" s="209">
        <f t="shared" si="64"/>
        <v>-2.1546393713970519E-2</v>
      </c>
      <c r="F184" s="219">
        <v>4736.1499999999996</v>
      </c>
      <c r="G184" s="171">
        <f t="shared" si="65"/>
        <v>4.0406267423346784E-3</v>
      </c>
      <c r="H184" s="203">
        <f t="shared" si="66"/>
        <v>-6.9829330086218791E-2</v>
      </c>
      <c r="I184" s="221">
        <v>304553.01</v>
      </c>
      <c r="J184" s="173">
        <v>400000</v>
      </c>
      <c r="K184" s="173">
        <f t="shared" ref="K184:K191" si="67">I184-I183-J184+J183</f>
        <v>-301.57000000000698</v>
      </c>
      <c r="L184" s="171">
        <f t="shared" si="48"/>
        <v>-9.8922574822397935E-4</v>
      </c>
      <c r="M184" s="182">
        <f t="shared" si="60"/>
        <v>-95446.989999999991</v>
      </c>
      <c r="N184" s="184">
        <f t="shared" si="61"/>
        <v>-0.23861747499999997</v>
      </c>
      <c r="O184" s="183">
        <f t="shared" si="52"/>
        <v>-0.33138795720057029</v>
      </c>
      <c r="P184" s="182" t="b">
        <f t="shared" si="58"/>
        <v>0</v>
      </c>
      <c r="Q184" s="184">
        <f>COUNTIF(P$2:P184, TRUE)/(COUNTIF(P$2:P184,FALSE) + COUNTIF(P$2:P184, TRUE))</f>
        <v>0.47540983606557374</v>
      </c>
      <c r="R184" s="173">
        <v>244387.04</v>
      </c>
      <c r="S184" s="173">
        <f t="shared" si="57"/>
        <v>60165.97</v>
      </c>
      <c r="T184" s="173"/>
      <c r="U184" s="173"/>
      <c r="V184" s="184">
        <f>STDEV(D$2:D184)*SQRT(252)</f>
        <v>0.18385733310568392</v>
      </c>
      <c r="W184" s="184">
        <f>STDEV(L$2:L184)*SQRT(252)</f>
        <v>0.39165931974206192</v>
      </c>
      <c r="X184" s="174">
        <f t="shared" si="59"/>
        <v>-0.8461127834742066</v>
      </c>
    </row>
    <row r="185" spans="1:24" ht="20.100000000000001" customHeight="1" x14ac:dyDescent="0.25">
      <c r="A185" s="163">
        <f t="shared" si="51"/>
        <v>266</v>
      </c>
      <c r="B185" s="242">
        <v>42499</v>
      </c>
      <c r="C185" s="243">
        <v>2058.69</v>
      </c>
      <c r="D185" s="171">
        <f t="shared" si="63"/>
        <v>7.5347326871296166E-4</v>
      </c>
      <c r="E185" s="244">
        <f t="shared" si="64"/>
        <v>-2.08091550769582E-2</v>
      </c>
      <c r="F185" s="245">
        <v>4750.2</v>
      </c>
      <c r="G185" s="171">
        <f t="shared" si="65"/>
        <v>2.9665445562324214E-3</v>
      </c>
      <c r="H185" s="246">
        <f t="shared" si="66"/>
        <v>-6.706993734901899E-2</v>
      </c>
      <c r="I185" s="247">
        <v>298140.64</v>
      </c>
      <c r="J185" s="248">
        <v>400000</v>
      </c>
      <c r="K185" s="248">
        <f t="shared" si="67"/>
        <v>-6412.3699999999953</v>
      </c>
      <c r="L185" s="171">
        <f t="shared" si="48"/>
        <v>-2.1055020930510572E-2</v>
      </c>
      <c r="M185" s="249">
        <f t="shared" si="60"/>
        <v>-101859.35999999999</v>
      </c>
      <c r="N185" s="250">
        <f t="shared" si="61"/>
        <v>-0.25464839999999994</v>
      </c>
      <c r="O185" s="183">
        <f t="shared" si="52"/>
        <v>-0.34966288759398489</v>
      </c>
      <c r="P185" s="249" t="b">
        <f t="shared" si="58"/>
        <v>0</v>
      </c>
      <c r="Q185" s="250">
        <f>COUNTIF(P$2:P185, TRUE)/(COUNTIF(P$2:P185,FALSE) + COUNTIF(P$2:P185, TRUE))</f>
        <v>0.47282608695652173</v>
      </c>
      <c r="R185" s="248">
        <v>244388.04</v>
      </c>
      <c r="S185" s="248">
        <f t="shared" si="57"/>
        <v>53752.600000000006</v>
      </c>
      <c r="T185" s="248"/>
      <c r="U185" s="248"/>
      <c r="V185" s="250">
        <f>STDEV(D$2:D185)*SQRT(252)</f>
        <v>0.18335397650588192</v>
      </c>
      <c r="W185" s="250">
        <f>STDEV(L$2:L185)*SQRT(252)</f>
        <v>0.39131263252933984</v>
      </c>
      <c r="X185" s="174">
        <f t="shared" si="59"/>
        <v>-0.89356401640769378</v>
      </c>
    </row>
    <row r="186" spans="1:24" ht="20.100000000000001" customHeight="1" x14ac:dyDescent="0.25">
      <c r="A186" s="163">
        <f t="shared" si="51"/>
        <v>267</v>
      </c>
      <c r="B186" s="242">
        <v>42500</v>
      </c>
      <c r="C186" s="243">
        <v>2084.39</v>
      </c>
      <c r="D186" s="171">
        <f t="shared" si="63"/>
        <v>1.2483666797817941E-2</v>
      </c>
      <c r="E186" s="244">
        <f t="shared" si="64"/>
        <v>-8.5852628374651265E-3</v>
      </c>
      <c r="F186" s="245">
        <v>4809.88</v>
      </c>
      <c r="G186" s="171">
        <f t="shared" si="65"/>
        <v>1.2563681529198832E-2</v>
      </c>
      <c r="H186" s="246">
        <f t="shared" si="66"/>
        <v>-5.5348901152856553E-2</v>
      </c>
      <c r="I186" s="247">
        <v>304800.26</v>
      </c>
      <c r="J186" s="248">
        <v>400000</v>
      </c>
      <c r="K186" s="248">
        <f t="shared" si="67"/>
        <v>6659.6199999999953</v>
      </c>
      <c r="L186" s="171">
        <f t="shared" si="48"/>
        <v>2.2337176172963186E-2</v>
      </c>
      <c r="M186" s="249">
        <f t="shared" si="60"/>
        <v>-95199.739999999991</v>
      </c>
      <c r="N186" s="250">
        <f t="shared" si="61"/>
        <v>-0.23799934999999997</v>
      </c>
      <c r="O186" s="183">
        <f t="shared" si="52"/>
        <v>-0.32557776249999998</v>
      </c>
      <c r="P186" s="249" t="b">
        <f t="shared" si="58"/>
        <v>1</v>
      </c>
      <c r="Q186" s="250">
        <f>COUNTIF(P$2:P186, TRUE)/(COUNTIF(P$2:P186,FALSE) + COUNTIF(P$2:P186, TRUE))</f>
        <v>0.4756756756756757</v>
      </c>
      <c r="R186" s="248">
        <v>245950.62</v>
      </c>
      <c r="S186" s="248">
        <f t="shared" si="57"/>
        <v>58849.640000000014</v>
      </c>
      <c r="T186" s="248"/>
      <c r="U186" s="248"/>
      <c r="V186" s="250">
        <f>STDEV(D$2:D186)*SQRT(252)</f>
        <v>0.1834395508093867</v>
      </c>
      <c r="W186" s="250">
        <f>STDEV(L$2:L186)*SQRT(252)</f>
        <v>0.39117995017069312</v>
      </c>
      <c r="X186" s="174">
        <f t="shared" si="59"/>
        <v>-0.83229665108841255</v>
      </c>
    </row>
    <row r="187" spans="1:24" ht="20.100000000000001" customHeight="1" x14ac:dyDescent="0.25">
      <c r="A187" s="163">
        <f t="shared" si="51"/>
        <v>268</v>
      </c>
      <c r="B187" s="242">
        <v>42501</v>
      </c>
      <c r="C187" s="243">
        <v>2064.46</v>
      </c>
      <c r="D187" s="171">
        <f t="shared" si="63"/>
        <v>-9.5615503816463502E-3</v>
      </c>
      <c r="E187" s="244">
        <f t="shared" si="64"/>
        <v>-1.8064724795951378E-2</v>
      </c>
      <c r="F187" s="245">
        <v>4760.68</v>
      </c>
      <c r="G187" s="171">
        <f t="shared" si="65"/>
        <v>-1.0228945420675737E-2</v>
      </c>
      <c r="H187" s="246">
        <f t="shared" si="66"/>
        <v>-6.5011685684545351E-2</v>
      </c>
      <c r="I187" s="247">
        <v>308835.23</v>
      </c>
      <c r="J187" s="248">
        <v>400000</v>
      </c>
      <c r="K187" s="248">
        <f t="shared" si="67"/>
        <v>4034.9699999999721</v>
      </c>
      <c r="L187" s="171">
        <f t="shared" si="48"/>
        <v>1.3238079258856183E-2</v>
      </c>
      <c r="M187" s="249">
        <f t="shared" si="60"/>
        <v>-91164.770000000019</v>
      </c>
      <c r="N187" s="250">
        <f t="shared" si="61"/>
        <v>-0.22791192500000004</v>
      </c>
      <c r="O187" s="183">
        <f t="shared" si="52"/>
        <v>-0.31061503957555975</v>
      </c>
      <c r="P187" s="249" t="b">
        <f t="shared" si="58"/>
        <v>1</v>
      </c>
      <c r="Q187" s="250">
        <f>COUNTIF(P$2:P187, TRUE)/(COUNTIF(P$2:P187,FALSE) + COUNTIF(P$2:P187, TRUE))</f>
        <v>0.478494623655914</v>
      </c>
      <c r="R187" s="248">
        <v>248232.13</v>
      </c>
      <c r="S187" s="248">
        <f t="shared" si="57"/>
        <v>60603.099999999977</v>
      </c>
      <c r="T187" s="248"/>
      <c r="U187" s="248"/>
      <c r="V187" s="250">
        <f>STDEV(D$2:D187)*SQRT(252)</f>
        <v>0.18328184052807739</v>
      </c>
      <c r="W187" s="250">
        <f>STDEV(L$2:L187)*SQRT(252)</f>
        <v>0.39045309819153251</v>
      </c>
      <c r="X187" s="174">
        <f t="shared" si="59"/>
        <v>-0.7955245867281886</v>
      </c>
    </row>
    <row r="188" spans="1:24" ht="20.100000000000001" customHeight="1" x14ac:dyDescent="0.25">
      <c r="A188" s="163">
        <f t="shared" si="51"/>
        <v>269</v>
      </c>
      <c r="B188" s="242">
        <v>42502</v>
      </c>
      <c r="C188" s="243">
        <v>2064.11</v>
      </c>
      <c r="D188" s="171">
        <f t="shared" si="63"/>
        <v>-1.6953585925612947E-4</v>
      </c>
      <c r="E188" s="244">
        <f t="shared" si="64"/>
        <v>-1.8231198036567E-2</v>
      </c>
      <c r="F188" s="245">
        <v>4737.33</v>
      </c>
      <c r="G188" s="171">
        <f t="shared" si="65"/>
        <v>-4.9047615046590746E-3</v>
      </c>
      <c r="H188" s="246">
        <f t="shared" si="66"/>
        <v>-6.9597580375905868E-2</v>
      </c>
      <c r="I188" s="247">
        <v>304301.34000000003</v>
      </c>
      <c r="J188" s="248">
        <v>400000</v>
      </c>
      <c r="K188" s="248">
        <f t="shared" si="67"/>
        <v>-4533.8899999999558</v>
      </c>
      <c r="L188" s="171">
        <f t="shared" si="48"/>
        <v>-1.4680611405635154E-2</v>
      </c>
      <c r="M188" s="249">
        <f t="shared" si="60"/>
        <v>-95698.659999999974</v>
      </c>
      <c r="N188" s="250">
        <f t="shared" si="61"/>
        <v>-0.23924664999999995</v>
      </c>
      <c r="O188" s="183">
        <f t="shared" si="52"/>
        <v>-0.32485070227695162</v>
      </c>
      <c r="P188" s="249" t="b">
        <f t="shared" si="58"/>
        <v>0</v>
      </c>
      <c r="Q188" s="250">
        <f>COUNTIF(P$2:P188, TRUE)/(COUNTIF(P$2:P188,FALSE) + COUNTIF(P$2:P188, TRUE))</f>
        <v>0.47593582887700536</v>
      </c>
      <c r="R188" s="248">
        <v>280165.89</v>
      </c>
      <c r="S188" s="248">
        <f t="shared" si="57"/>
        <v>24135.450000000012</v>
      </c>
      <c r="T188" s="248"/>
      <c r="U188" s="248"/>
      <c r="V188" s="250">
        <f>STDEV(D$2:D188)*SQRT(252)</f>
        <v>0.1827858829252009</v>
      </c>
      <c r="W188" s="250">
        <f>STDEV(L$2:L188)*SQRT(252)</f>
        <v>0.38974137838139039</v>
      </c>
      <c r="X188" s="174">
        <f t="shared" si="59"/>
        <v>-0.83350324162671152</v>
      </c>
    </row>
    <row r="189" spans="1:24" ht="20.100000000000001" customHeight="1" x14ac:dyDescent="0.25">
      <c r="A189" s="163">
        <f t="shared" si="51"/>
        <v>270</v>
      </c>
      <c r="B189" s="242">
        <v>42503</v>
      </c>
      <c r="C189" s="243">
        <v>2046.61</v>
      </c>
      <c r="D189" s="171">
        <f t="shared" si="63"/>
        <v>-8.4782303268722235E-3</v>
      </c>
      <c r="E189" s="244">
        <f t="shared" si="64"/>
        <v>-2.6554860067350389E-2</v>
      </c>
      <c r="F189" s="245">
        <v>4717.68</v>
      </c>
      <c r="G189" s="171">
        <f t="shared" si="65"/>
        <v>-4.1479060990050592E-3</v>
      </c>
      <c r="H189" s="246">
        <f t="shared" si="66"/>
        <v>-7.3456802246793712E-2</v>
      </c>
      <c r="I189" s="247">
        <v>303736.26</v>
      </c>
      <c r="J189" s="248">
        <v>400000</v>
      </c>
      <c r="K189" s="248">
        <f t="shared" si="67"/>
        <v>-565.0800000000163</v>
      </c>
      <c r="L189" s="171">
        <f t="shared" si="48"/>
        <v>-1.8569750629425959E-3</v>
      </c>
      <c r="M189" s="249">
        <f t="shared" si="60"/>
        <v>-96263.739999999991</v>
      </c>
      <c r="N189" s="250">
        <f t="shared" si="61"/>
        <v>-0.24065934999999997</v>
      </c>
      <c r="O189" s="183">
        <f t="shared" si="52"/>
        <v>-0.32555862069444441</v>
      </c>
      <c r="P189" s="249" t="b">
        <f t="shared" si="58"/>
        <v>1</v>
      </c>
      <c r="Q189" s="250">
        <f>COUNTIF(P$2:P189, TRUE)/(COUNTIF(P$2:P189,FALSE) + COUNTIF(P$2:P189, TRUE))</f>
        <v>0.47872340425531917</v>
      </c>
      <c r="R189" s="248">
        <v>251738</v>
      </c>
      <c r="S189" s="248">
        <f t="shared" si="57"/>
        <v>51998.260000000009</v>
      </c>
      <c r="T189" s="248"/>
      <c r="U189" s="248"/>
      <c r="V189" s="250">
        <f>STDEV(D$2:D189)*SQRT(252)</f>
        <v>0.18255729754579855</v>
      </c>
      <c r="W189" s="250">
        <f>STDEV(L$2:L189)*SQRT(252)</f>
        <v>0.38869471253740751</v>
      </c>
      <c r="X189" s="174">
        <f t="shared" si="59"/>
        <v>-0.83756894599669407</v>
      </c>
    </row>
    <row r="190" spans="1:24" ht="20.100000000000001" customHeight="1" x14ac:dyDescent="0.25">
      <c r="A190" s="163">
        <f t="shared" si="51"/>
        <v>273</v>
      </c>
      <c r="B190" s="172">
        <v>42506</v>
      </c>
      <c r="C190" s="215">
        <v>2066.66</v>
      </c>
      <c r="D190" s="171">
        <f t="shared" si="63"/>
        <v>9.7966881819203239E-3</v>
      </c>
      <c r="E190" s="209">
        <f t="shared" si="64"/>
        <v>-1.7018321569224424E-2</v>
      </c>
      <c r="F190" s="219">
        <v>4775.45</v>
      </c>
      <c r="G190" s="171">
        <f t="shared" si="65"/>
        <v>1.224542571772556E-2</v>
      </c>
      <c r="H190" s="203">
        <f t="shared" si="66"/>
        <v>-6.2110886344442916E-2</v>
      </c>
      <c r="I190" s="221">
        <v>310136.52</v>
      </c>
      <c r="J190" s="173">
        <v>400000</v>
      </c>
      <c r="K190" s="173">
        <f t="shared" si="67"/>
        <v>6400.2600000000093</v>
      </c>
      <c r="L190" s="171">
        <f t="shared" si="48"/>
        <v>2.1071767987134657E-2</v>
      </c>
      <c r="M190" s="182">
        <f t="shared" si="60"/>
        <v>-89863.479999999981</v>
      </c>
      <c r="N190" s="184">
        <f t="shared" ref="N190:N221" si="68">M190/J190</f>
        <v>-0.22465869999999996</v>
      </c>
      <c r="O190" s="183">
        <f t="shared" si="52"/>
        <v>-0.30057359038461534</v>
      </c>
      <c r="P190" s="182" t="b">
        <f t="shared" si="58"/>
        <v>1</v>
      </c>
      <c r="Q190" s="184">
        <f>COUNTIF(P$2:P190, TRUE)/(COUNTIF(P$2:P190,FALSE) + COUNTIF(P$2:P190, TRUE))</f>
        <v>0.48148148148148145</v>
      </c>
      <c r="R190" s="173">
        <v>258123.64</v>
      </c>
      <c r="S190" s="173">
        <f t="shared" si="57"/>
        <v>52012.880000000005</v>
      </c>
      <c r="T190" s="173"/>
      <c r="U190" s="173"/>
      <c r="V190" s="184">
        <f>STDEV(D$2:D190)*SQRT(252)</f>
        <v>0.18242711588099725</v>
      </c>
      <c r="W190" s="184">
        <f>STDEV(L$2:L190)*SQRT(252)</f>
        <v>0.38847097955636578</v>
      </c>
      <c r="X190" s="174">
        <f t="shared" si="59"/>
        <v>-0.77373499232264575</v>
      </c>
    </row>
    <row r="191" spans="1:24" ht="20.100000000000001" customHeight="1" x14ac:dyDescent="0.25">
      <c r="A191" s="163">
        <f t="shared" si="51"/>
        <v>274</v>
      </c>
      <c r="B191" s="172">
        <v>42507</v>
      </c>
      <c r="C191" s="215">
        <v>2047.21</v>
      </c>
      <c r="D191" s="171">
        <f>(C191-C190)/C190</f>
        <v>-9.4113206816795313E-3</v>
      </c>
      <c r="E191" s="209">
        <f t="shared" si="64"/>
        <v>-2.6269477369152042E-2</v>
      </c>
      <c r="F191" s="219">
        <v>4715.7299999999996</v>
      </c>
      <c r="G191" s="171">
        <f>(F191-F190)/F190</f>
        <v>-1.2505627741888252E-2</v>
      </c>
      <c r="H191" s="203">
        <f t="shared" si="66"/>
        <v>-7.3839778462988837E-2</v>
      </c>
      <c r="I191" s="221">
        <v>311039.01</v>
      </c>
      <c r="J191" s="173">
        <v>400000</v>
      </c>
      <c r="K191" s="173">
        <f t="shared" si="67"/>
        <v>902.48999999999069</v>
      </c>
      <c r="L191" s="171">
        <f t="shared" si="48"/>
        <v>2.9099765483922711E-3</v>
      </c>
      <c r="M191" s="182">
        <f t="shared" si="60"/>
        <v>-88960.989999999991</v>
      </c>
      <c r="N191" s="184">
        <f t="shared" si="68"/>
        <v>-0.22240247499999999</v>
      </c>
      <c r="O191" s="183">
        <f t="shared" si="52"/>
        <v>-0.29646899267791965</v>
      </c>
      <c r="P191" s="182" t="b">
        <f t="shared" si="58"/>
        <v>1</v>
      </c>
      <c r="Q191" s="184">
        <f>COUNTIF(P$2:P191, TRUE)/(COUNTIF(P$2:P191,FALSE) + COUNTIF(P$2:P191, TRUE))</f>
        <v>0.48421052631578948</v>
      </c>
      <c r="R191" s="173">
        <v>255974.63</v>
      </c>
      <c r="S191" s="173">
        <f t="shared" si="57"/>
        <v>55064.380000000005</v>
      </c>
      <c r="T191" s="173"/>
      <c r="U191" s="173"/>
      <c r="V191" s="184">
        <f>STDEV(D$2:D191)*SQRT(252)</f>
        <v>0.18226379341821147</v>
      </c>
      <c r="W191" s="184">
        <f>STDEV(L$2:L191)*SQRT(252)</f>
        <v>0.38745717293573728</v>
      </c>
      <c r="X191" s="174">
        <f t="shared" si="59"/>
        <v>-0.76516583866958454</v>
      </c>
    </row>
    <row r="192" spans="1:24" ht="20.100000000000001" customHeight="1" x14ac:dyDescent="0.25">
      <c r="A192" s="163">
        <f t="shared" si="51"/>
        <v>275</v>
      </c>
      <c r="B192" s="172">
        <v>42508</v>
      </c>
      <c r="C192" s="215">
        <v>2047.63</v>
      </c>
      <c r="D192" s="171">
        <f>(C192-C191)/C191</f>
        <v>2.051572628113739E-4</v>
      </c>
      <c r="E192" s="209">
        <f t="shared" ref="E192:E223" si="69">(C192-$C$2)/$C$2</f>
        <v>-2.6069709480413209E-2</v>
      </c>
      <c r="F192" s="219">
        <v>4739.1099999999997</v>
      </c>
      <c r="G192" s="171">
        <f t="shared" ref="G192:G255" si="70">(F192-F191)/F191</f>
        <v>4.9578750267721249E-3</v>
      </c>
      <c r="H192" s="203">
        <f t="shared" ref="H192:H223" si="71">(F192-F$2)/F$2</f>
        <v>-6.9247991829840747E-2</v>
      </c>
      <c r="I192" s="221">
        <v>310817.56</v>
      </c>
      <c r="J192" s="173">
        <v>400000</v>
      </c>
      <c r="K192" s="173">
        <f t="shared" ref="K192:K223" si="72">I192-I191-J192+J191</f>
        <v>-221.45000000001164</v>
      </c>
      <c r="L192" s="171">
        <f t="shared" si="48"/>
        <v>-7.1196857268807415E-4</v>
      </c>
      <c r="M192" s="182">
        <f t="shared" ref="M192:M223" si="73">I192-J192</f>
        <v>-89182.44</v>
      </c>
      <c r="N192" s="184">
        <f t="shared" si="68"/>
        <v>-0.22295610000000002</v>
      </c>
      <c r="O192" s="183">
        <f t="shared" si="52"/>
        <v>-0.29612623827272727</v>
      </c>
      <c r="P192" s="182" t="b">
        <f t="shared" ref="P192:P223" si="74">L192&gt;D192</f>
        <v>0</v>
      </c>
      <c r="Q192" s="184">
        <f>COUNTIF(P$2:P192, TRUE)/(COUNTIF(P$2:P192,FALSE) + COUNTIF(P$2:P192, TRUE))</f>
        <v>0.48167539267015708</v>
      </c>
      <c r="R192" s="173">
        <v>257102.48</v>
      </c>
      <c r="S192" s="173">
        <f t="shared" ref="S192:S236" si="75">I192-R192</f>
        <v>53715.079999999987</v>
      </c>
      <c r="T192" s="173"/>
      <c r="U192" s="173"/>
      <c r="V192" s="184">
        <f>STDEV(D$2:D192)*SQRT(252)</f>
        <v>0.18178126131382988</v>
      </c>
      <c r="W192" s="184">
        <f>STDEV(L$2:L192)*SQRT(252)</f>
        <v>0.38643084331736716</v>
      </c>
      <c r="X192" s="174">
        <f t="shared" si="59"/>
        <v>-0.76631108358378452</v>
      </c>
    </row>
    <row r="193" spans="1:24" ht="20.100000000000001" customHeight="1" x14ac:dyDescent="0.25">
      <c r="A193" s="163">
        <f t="shared" si="51"/>
        <v>276</v>
      </c>
      <c r="B193" s="172">
        <v>42509</v>
      </c>
      <c r="C193" s="215">
        <v>2040.04</v>
      </c>
      <c r="D193" s="171">
        <f t="shared" ref="D193:D256" si="76">(C193-C192)/C192</f>
        <v>-3.7067243593814046E-3</v>
      </c>
      <c r="E193" s="209">
        <f t="shared" si="69"/>
        <v>-2.9679800612621567E-2</v>
      </c>
      <c r="F193" s="219">
        <v>4712.53</v>
      </c>
      <c r="G193" s="171">
        <f t="shared" si="70"/>
        <v>-5.6086480372896869E-3</v>
      </c>
      <c r="H193" s="203">
        <f t="shared" si="71"/>
        <v>-7.4468252253667752E-2</v>
      </c>
      <c r="I193" s="221">
        <v>311569.3</v>
      </c>
      <c r="J193" s="173">
        <v>400000</v>
      </c>
      <c r="K193" s="173">
        <f t="shared" si="72"/>
        <v>751.73999999999069</v>
      </c>
      <c r="L193" s="171">
        <f t="shared" si="48"/>
        <v>2.4185892199912731E-3</v>
      </c>
      <c r="M193" s="182">
        <f t="shared" si="73"/>
        <v>-88430.700000000012</v>
      </c>
      <c r="N193" s="184">
        <f t="shared" si="68"/>
        <v>-0.22107675000000002</v>
      </c>
      <c r="O193" s="183">
        <f t="shared" si="52"/>
        <v>-0.29256624252717395</v>
      </c>
      <c r="P193" s="182" t="b">
        <f t="shared" si="74"/>
        <v>1</v>
      </c>
      <c r="Q193" s="184">
        <f>COUNTIF(P$2:P193, TRUE)/(COUNTIF(P$2:P193,FALSE) + COUNTIF(P$2:P193, TRUE))</f>
        <v>0.484375</v>
      </c>
      <c r="R193" s="173">
        <v>263424.27</v>
      </c>
      <c r="S193" s="173">
        <f t="shared" si="75"/>
        <v>48145.02999999997</v>
      </c>
      <c r="T193" s="173"/>
      <c r="U193" s="173"/>
      <c r="V193" s="184">
        <f>STDEV(D$2:D193)*SQRT(252)</f>
        <v>0.18135027686058963</v>
      </c>
      <c r="W193" s="184">
        <f>STDEV(L$2:L193)*SQRT(252)</f>
        <v>0.38542760333105391</v>
      </c>
      <c r="X193" s="174">
        <f t="shared" si="59"/>
        <v>-0.75906925191313057</v>
      </c>
    </row>
    <row r="194" spans="1:24" ht="20.100000000000001" customHeight="1" x14ac:dyDescent="0.25">
      <c r="A194" s="163">
        <f t="shared" si="51"/>
        <v>277</v>
      </c>
      <c r="B194" s="172">
        <v>42510</v>
      </c>
      <c r="C194" s="215">
        <v>2052.3200000000002</v>
      </c>
      <c r="D194" s="171">
        <f t="shared" si="76"/>
        <v>6.0194898139253154E-3</v>
      </c>
      <c r="E194" s="209">
        <f t="shared" si="69"/>
        <v>-2.3838968056163264E-2</v>
      </c>
      <c r="F194" s="219">
        <v>4769.55</v>
      </c>
      <c r="G194" s="171">
        <f t="shared" si="70"/>
        <v>1.209965772101195E-2</v>
      </c>
      <c r="H194" s="203">
        <f t="shared" si="71"/>
        <v>-6.3269634896007163E-2</v>
      </c>
      <c r="I194" s="221">
        <v>320418.83</v>
      </c>
      <c r="J194" s="173">
        <v>400000</v>
      </c>
      <c r="K194" s="173">
        <f t="shared" si="72"/>
        <v>8849.5300000000279</v>
      </c>
      <c r="L194" s="171">
        <f t="shared" si="48"/>
        <v>2.8403087210453752E-2</v>
      </c>
      <c r="M194" s="182">
        <f t="shared" si="73"/>
        <v>-79581.169999999984</v>
      </c>
      <c r="N194" s="184">
        <f t="shared" si="68"/>
        <v>-0.19895292499999995</v>
      </c>
      <c r="O194" s="183">
        <f t="shared" si="52"/>
        <v>-0.26233774677346566</v>
      </c>
      <c r="P194" s="182" t="b">
        <f t="shared" si="74"/>
        <v>1</v>
      </c>
      <c r="Q194" s="184">
        <f>COUNTIF(P$2:P194, TRUE)/(COUNTIF(P$2:P194,FALSE) + COUNTIF(P$2:P194, TRUE))</f>
        <v>0.48704663212435234</v>
      </c>
      <c r="R194" s="173">
        <v>264120.78000000003</v>
      </c>
      <c r="S194" s="173">
        <f t="shared" si="75"/>
        <v>56298.049999999988</v>
      </c>
      <c r="T194" s="173"/>
      <c r="U194" s="173"/>
      <c r="V194" s="184">
        <f>STDEV(D$2:D194)*SQRT(252)</f>
        <v>0.18101041145584279</v>
      </c>
      <c r="W194" s="184">
        <f>STDEV(L$2:L194)*SQRT(252)</f>
        <v>0.38584361102495252</v>
      </c>
      <c r="X194" s="174">
        <f t="shared" si="59"/>
        <v>-0.67990693451316542</v>
      </c>
    </row>
    <row r="195" spans="1:24" ht="20.100000000000001" customHeight="1" x14ac:dyDescent="0.25">
      <c r="A195" s="163">
        <f t="shared" si="51"/>
        <v>280</v>
      </c>
      <c r="B195" s="242">
        <v>42513</v>
      </c>
      <c r="C195" s="243">
        <v>2048.04</v>
      </c>
      <c r="D195" s="171">
        <f t="shared" si="76"/>
        <v>-2.085444764949033E-3</v>
      </c>
      <c r="E195" s="244">
        <f t="shared" si="69"/>
        <v>-2.5874697969977784E-2</v>
      </c>
      <c r="F195" s="245">
        <v>4765.78</v>
      </c>
      <c r="G195" s="171">
        <f t="shared" si="70"/>
        <v>-7.9043096308885254E-4</v>
      </c>
      <c r="H195" s="246">
        <f t="shared" si="71"/>
        <v>-6.4010055580650885E-2</v>
      </c>
      <c r="I195" s="247">
        <v>322945.12</v>
      </c>
      <c r="J195" s="248">
        <v>400000</v>
      </c>
      <c r="K195" s="248">
        <f t="shared" si="72"/>
        <v>2526.289999999979</v>
      </c>
      <c r="L195" s="171">
        <f t="shared" si="48"/>
        <v>7.8843368849451784E-3</v>
      </c>
      <c r="M195" s="249">
        <f t="shared" si="73"/>
        <v>-77054.880000000005</v>
      </c>
      <c r="N195" s="250">
        <f t="shared" si="68"/>
        <v>-0.19263720000000001</v>
      </c>
      <c r="O195" s="183">
        <f t="shared" si="52"/>
        <v>-0.25128834750000001</v>
      </c>
      <c r="P195" s="249" t="b">
        <f t="shared" si="74"/>
        <v>1</v>
      </c>
      <c r="Q195" s="250">
        <f>COUNTIF(P$2:P195, TRUE)/(COUNTIF(P$2:P195,FALSE) + COUNTIF(P$2:P195, TRUE))</f>
        <v>0.48969072164948452</v>
      </c>
      <c r="R195" s="248">
        <v>257529.17</v>
      </c>
      <c r="S195" s="248">
        <f t="shared" si="75"/>
        <v>65415.949999999983</v>
      </c>
      <c r="T195" s="248"/>
      <c r="U195" s="248"/>
      <c r="V195" s="250">
        <f>STDEV(D$2:D195)*SQRT(252)</f>
        <v>0.18055323575964988</v>
      </c>
      <c r="W195" s="250">
        <f>STDEV(L$2:L195)*SQRT(252)</f>
        <v>0.38495329027119468</v>
      </c>
      <c r="X195" s="174">
        <f t="shared" si="59"/>
        <v>-0.65277620389468705</v>
      </c>
    </row>
    <row r="196" spans="1:24" ht="20.100000000000001" customHeight="1" x14ac:dyDescent="0.25">
      <c r="A196" s="163">
        <f t="shared" si="51"/>
        <v>281</v>
      </c>
      <c r="B196" s="242">
        <v>42514</v>
      </c>
      <c r="C196" s="243">
        <v>2076.06</v>
      </c>
      <c r="D196" s="171">
        <f t="shared" si="76"/>
        <v>1.3681373410675565E-2</v>
      </c>
      <c r="E196" s="244">
        <f t="shared" si="69"/>
        <v>-1.2547325964117933E-2</v>
      </c>
      <c r="F196" s="245">
        <v>4861.05</v>
      </c>
      <c r="G196" s="171">
        <f t="shared" si="70"/>
        <v>1.9990431786612146E-2</v>
      </c>
      <c r="H196" s="246">
        <f t="shared" si="71"/>
        <v>-4.5299212443780983E-2</v>
      </c>
      <c r="I196" s="247">
        <v>324441.06</v>
      </c>
      <c r="J196" s="248">
        <v>400000</v>
      </c>
      <c r="K196" s="248">
        <f t="shared" si="72"/>
        <v>1495.9400000000023</v>
      </c>
      <c r="L196" s="171">
        <f t="shared" ref="L196:L219" si="77">K196/I195</f>
        <v>4.6321802292600125E-3</v>
      </c>
      <c r="M196" s="249">
        <f t="shared" si="73"/>
        <v>-75558.94</v>
      </c>
      <c r="N196" s="250">
        <f t="shared" si="68"/>
        <v>-0.18889735000000002</v>
      </c>
      <c r="O196" s="183">
        <f t="shared" si="52"/>
        <v>-0.24553294337188614</v>
      </c>
      <c r="P196" s="249" t="b">
        <f t="shared" si="74"/>
        <v>0</v>
      </c>
      <c r="Q196" s="250">
        <f>COUNTIF(P$2:P196, TRUE)/(COUNTIF(P$2:P196,FALSE) + COUNTIF(P$2:P196, TRUE))</f>
        <v>0.48717948717948717</v>
      </c>
      <c r="R196" s="248">
        <v>256296.81</v>
      </c>
      <c r="S196" s="248">
        <f t="shared" si="75"/>
        <v>68144.25</v>
      </c>
      <c r="T196" s="248"/>
      <c r="U196" s="248"/>
      <c r="V196" s="250">
        <f>STDEV(D$2:D196)*SQRT(252)</f>
        <v>0.18076572452731524</v>
      </c>
      <c r="W196" s="250">
        <f>STDEV(L$2:L196)*SQRT(252)</f>
        <v>0.38399644388523335</v>
      </c>
      <c r="X196" s="174">
        <f t="shared" si="59"/>
        <v>-0.63941462813460226</v>
      </c>
    </row>
    <row r="197" spans="1:24" ht="20.100000000000001" customHeight="1" x14ac:dyDescent="0.25">
      <c r="A197" s="163">
        <f t="shared" si="51"/>
        <v>282</v>
      </c>
      <c r="B197" s="242">
        <v>42515</v>
      </c>
      <c r="C197" s="243">
        <v>2090.54</v>
      </c>
      <c r="D197" s="171">
        <f t="shared" si="76"/>
        <v>6.9747502480660573E-3</v>
      </c>
      <c r="E197" s="244">
        <f t="shared" si="69"/>
        <v>-5.6600901809326738E-3</v>
      </c>
      <c r="F197" s="245">
        <v>4894.8900000000003</v>
      </c>
      <c r="G197" s="171">
        <f t="shared" si="70"/>
        <v>6.9614589440553263E-3</v>
      </c>
      <c r="H197" s="246">
        <f t="shared" si="71"/>
        <v>-3.8653102107351081E-2</v>
      </c>
      <c r="I197" s="247">
        <v>329556.86</v>
      </c>
      <c r="J197" s="248">
        <v>400000</v>
      </c>
      <c r="K197" s="248">
        <f t="shared" si="72"/>
        <v>5115.7999999999884</v>
      </c>
      <c r="L197" s="171">
        <f t="shared" si="77"/>
        <v>1.5768041196758474E-2</v>
      </c>
      <c r="M197" s="249">
        <f t="shared" si="73"/>
        <v>-70443.140000000014</v>
      </c>
      <c r="N197" s="250">
        <f t="shared" si="68"/>
        <v>-0.17610785000000004</v>
      </c>
      <c r="O197" s="183">
        <f t="shared" si="52"/>
        <v>-0.22809713550531921</v>
      </c>
      <c r="P197" s="249" t="b">
        <f t="shared" si="74"/>
        <v>1</v>
      </c>
      <c r="Q197" s="250">
        <f>COUNTIF(P$2:P197, TRUE)/(COUNTIF(P$2:P197,FALSE) + COUNTIF(P$2:P197, TRUE))</f>
        <v>0.48979591836734693</v>
      </c>
      <c r="R197" s="248">
        <v>253103.72</v>
      </c>
      <c r="S197" s="248">
        <f t="shared" si="75"/>
        <v>76453.139999999985</v>
      </c>
      <c r="T197" s="248"/>
      <c r="U197" s="248"/>
      <c r="V197" s="250">
        <f>STDEV(D$2:D197)*SQRT(252)</f>
        <v>0.18047351369657114</v>
      </c>
      <c r="W197" s="250">
        <f>STDEV(L$2:L197)*SQRT(252)</f>
        <v>0.38344132562048239</v>
      </c>
      <c r="X197" s="174">
        <f t="shared" si="59"/>
        <v>-0.59486841992373629</v>
      </c>
    </row>
    <row r="198" spans="1:24" ht="20.100000000000001" customHeight="1" x14ac:dyDescent="0.25">
      <c r="A198" s="163">
        <f t="shared" si="51"/>
        <v>283</v>
      </c>
      <c r="B198" s="242">
        <v>42516</v>
      </c>
      <c r="C198" s="243">
        <v>2090.1</v>
      </c>
      <c r="D198" s="171">
        <f t="shared" si="76"/>
        <v>-2.1047193548081098E-4</v>
      </c>
      <c r="E198" s="244">
        <f t="shared" si="69"/>
        <v>-5.8693708262781081E-3</v>
      </c>
      <c r="F198" s="245">
        <v>4901.76</v>
      </c>
      <c r="G198" s="171">
        <f t="shared" si="70"/>
        <v>1.4035044709891111E-3</v>
      </c>
      <c r="H198" s="246">
        <f t="shared" si="71"/>
        <v>-3.7303847437987238E-2</v>
      </c>
      <c r="I198" s="247">
        <v>327477.31</v>
      </c>
      <c r="J198" s="248">
        <v>400000</v>
      </c>
      <c r="K198" s="248">
        <f t="shared" si="72"/>
        <v>-2079.5499999999884</v>
      </c>
      <c r="L198" s="171">
        <f t="shared" si="77"/>
        <v>-6.3101402289122083E-3</v>
      </c>
      <c r="M198" s="249">
        <f t="shared" si="73"/>
        <v>-72522.69</v>
      </c>
      <c r="N198" s="250">
        <f t="shared" si="68"/>
        <v>-0.181306725</v>
      </c>
      <c r="O198" s="183">
        <f t="shared" si="52"/>
        <v>-0.23400099401501767</v>
      </c>
      <c r="P198" s="249" t="b">
        <f t="shared" si="74"/>
        <v>0</v>
      </c>
      <c r="Q198" s="250">
        <f>COUNTIF(P$2:P198, TRUE)/(COUNTIF(P$2:P198,FALSE) + COUNTIF(P$2:P198, TRUE))</f>
        <v>0.48730964467005078</v>
      </c>
      <c r="R198" s="248">
        <v>253608.16</v>
      </c>
      <c r="S198" s="248">
        <f t="shared" si="75"/>
        <v>73869.149999999994</v>
      </c>
      <c r="T198" s="248"/>
      <c r="U198" s="248"/>
      <c r="V198" s="250">
        <f>STDEV(D$2:D198)*SQRT(252)</f>
        <v>0.18001038194737823</v>
      </c>
      <c r="W198" s="250">
        <f>STDEV(L$2:L198)*SQRT(252)</f>
        <v>0.38251907030209392</v>
      </c>
      <c r="X198" s="174">
        <f t="shared" si="59"/>
        <v>-0.6117368052531752</v>
      </c>
    </row>
    <row r="199" spans="1:24" ht="20.100000000000001" customHeight="1" x14ac:dyDescent="0.25">
      <c r="A199" s="163">
        <f t="shared" ref="A199:A250" si="78">B199-$B$2</f>
        <v>284</v>
      </c>
      <c r="B199" s="242">
        <v>42517</v>
      </c>
      <c r="C199" s="243">
        <v>2099.06</v>
      </c>
      <c r="D199" s="171">
        <f t="shared" si="76"/>
        <v>4.2868762260179112E-3</v>
      </c>
      <c r="E199" s="244">
        <f t="shared" si="69"/>
        <v>-1.6076558665170512E-3</v>
      </c>
      <c r="F199" s="245">
        <v>4933.5</v>
      </c>
      <c r="G199" s="171">
        <f t="shared" si="70"/>
        <v>6.4752252252251808E-3</v>
      </c>
      <c r="H199" s="246">
        <f t="shared" si="71"/>
        <v>-3.1070173026690462E-2</v>
      </c>
      <c r="I199" s="247">
        <v>327126.28999999998</v>
      </c>
      <c r="J199" s="248">
        <v>400000</v>
      </c>
      <c r="K199" s="248">
        <f t="shared" si="72"/>
        <v>-351.02000000001863</v>
      </c>
      <c r="L199" s="171">
        <f t="shared" si="77"/>
        <v>-1.0718910571239841E-3</v>
      </c>
      <c r="M199" s="249">
        <f t="shared" si="73"/>
        <v>-72873.710000000021</v>
      </c>
      <c r="N199" s="250">
        <f t="shared" si="68"/>
        <v>-0.18218427500000006</v>
      </c>
      <c r="O199" s="183">
        <f t="shared" ref="O199:O262" si="79">N199/(A199/365.25)</f>
        <v>-0.23430565649207752</v>
      </c>
      <c r="P199" s="249" t="b">
        <f t="shared" si="74"/>
        <v>0</v>
      </c>
      <c r="Q199" s="250">
        <f>COUNTIF(P$2:P199, TRUE)/(COUNTIF(P$2:P199,FALSE) + COUNTIF(P$2:P199, TRUE))</f>
        <v>0.48484848484848486</v>
      </c>
      <c r="R199" s="248">
        <v>252103.35</v>
      </c>
      <c r="S199" s="248">
        <f t="shared" si="75"/>
        <v>75022.939999999973</v>
      </c>
      <c r="T199" s="248">
        <v>-82653.611999999514</v>
      </c>
      <c r="U199" s="248">
        <f t="shared" ref="U199:U204" si="80">M199-T199</f>
        <v>9779.9019999994925</v>
      </c>
      <c r="V199" s="250">
        <f>STDEV(D$2:D199)*SQRT(252)</f>
        <v>0.17961500199880534</v>
      </c>
      <c r="W199" s="250">
        <f>STDEV(L$2:L199)*SQRT(252)</f>
        <v>0.38154311840719901</v>
      </c>
      <c r="X199" s="174">
        <f t="shared" si="59"/>
        <v>-0.61410007201864025</v>
      </c>
    </row>
    <row r="200" spans="1:24" ht="20.100000000000001" customHeight="1" x14ac:dyDescent="0.25">
      <c r="A200" s="163">
        <f t="shared" si="78"/>
        <v>288</v>
      </c>
      <c r="B200" s="172">
        <v>42521</v>
      </c>
      <c r="C200" s="215">
        <v>2096.9499999999998</v>
      </c>
      <c r="D200" s="171">
        <f t="shared" si="76"/>
        <v>-1.0052118567359328E-3</v>
      </c>
      <c r="E200" s="209">
        <f t="shared" si="69"/>
        <v>-2.6112516885144102E-3</v>
      </c>
      <c r="F200" s="219">
        <v>4948.05</v>
      </c>
      <c r="G200" s="171">
        <f t="shared" si="70"/>
        <v>2.9492246883551601E-3</v>
      </c>
      <c r="H200" s="203">
        <f t="shared" si="71"/>
        <v>-2.8212581259697084E-2</v>
      </c>
      <c r="I200" s="473">
        <v>330773</v>
      </c>
      <c r="J200" s="173">
        <v>400000</v>
      </c>
      <c r="K200" s="173">
        <f t="shared" si="72"/>
        <v>3646.710000000021</v>
      </c>
      <c r="L200" s="171">
        <f t="shared" si="77"/>
        <v>1.1147713013221962E-2</v>
      </c>
      <c r="M200" s="182">
        <f t="shared" si="73"/>
        <v>-69227</v>
      </c>
      <c r="N200" s="184">
        <f t="shared" si="68"/>
        <v>-0.17306750000000001</v>
      </c>
      <c r="O200" s="183">
        <f t="shared" si="79"/>
        <v>-0.21948925130208335</v>
      </c>
      <c r="P200" s="182" t="b">
        <f t="shared" si="74"/>
        <v>1</v>
      </c>
      <c r="Q200" s="184">
        <f>COUNTIF(P$2:P200, TRUE)/(COUNTIF(P$2:P200,FALSE) + COUNTIF(P$2:P200, TRUE))</f>
        <v>0.48743718592964824</v>
      </c>
      <c r="R200" s="173">
        <v>253849.33</v>
      </c>
      <c r="S200" s="173">
        <f t="shared" si="75"/>
        <v>76923.670000000013</v>
      </c>
      <c r="T200" s="173">
        <v>-78775</v>
      </c>
      <c r="U200" s="173">
        <f t="shared" si="80"/>
        <v>9548</v>
      </c>
      <c r="V200" s="184">
        <f>STDEV(D$2:D200)*SQRT(252)</f>
        <v>0.17916254338672621</v>
      </c>
      <c r="W200" s="184">
        <f>STDEV(L$2:L200)*SQRT(252)</f>
        <v>0.38079113185082497</v>
      </c>
      <c r="X200" s="174">
        <f t="shared" si="59"/>
        <v>-0.57640326400266151</v>
      </c>
    </row>
    <row r="201" spans="1:24" ht="20.100000000000001" customHeight="1" x14ac:dyDescent="0.25">
      <c r="A201" s="163">
        <f t="shared" si="78"/>
        <v>289</v>
      </c>
      <c r="B201" s="172">
        <v>42522</v>
      </c>
      <c r="C201" s="215">
        <v>2099.33</v>
      </c>
      <c r="D201" s="171">
        <f t="shared" si="76"/>
        <v>1.1349817592217789E-3</v>
      </c>
      <c r="E201" s="209">
        <f t="shared" si="69"/>
        <v>-1.4792336523278321E-3</v>
      </c>
      <c r="F201" s="219">
        <v>4952.25</v>
      </c>
      <c r="G201" s="171">
        <f t="shared" si="70"/>
        <v>8.4881923181855839E-4</v>
      </c>
      <c r="H201" s="203">
        <f t="shared" si="71"/>
        <v>-2.7387709409430999E-2</v>
      </c>
      <c r="I201" s="221">
        <v>334317.64</v>
      </c>
      <c r="J201" s="173">
        <v>400000</v>
      </c>
      <c r="K201" s="173">
        <f t="shared" si="72"/>
        <v>3544.640000000014</v>
      </c>
      <c r="L201" s="171">
        <f t="shared" si="77"/>
        <v>1.0716231373177417E-2</v>
      </c>
      <c r="M201" s="182">
        <f t="shared" si="73"/>
        <v>-65682.359999999986</v>
      </c>
      <c r="N201" s="184">
        <f t="shared" si="68"/>
        <v>-0.16420589999999996</v>
      </c>
      <c r="O201" s="183">
        <f t="shared" si="79"/>
        <v>-0.20753012102076121</v>
      </c>
      <c r="P201" s="182" t="b">
        <f t="shared" si="74"/>
        <v>1</v>
      </c>
      <c r="Q201" s="184">
        <f>COUNTIF(P$2:P201, TRUE)/(COUNTIF(P$2:P201,FALSE) + COUNTIF(P$2:P201, TRUE))</f>
        <v>0.49</v>
      </c>
      <c r="R201" s="173">
        <v>248634.19</v>
      </c>
      <c r="S201" s="173">
        <f t="shared" si="75"/>
        <v>85683.450000000012</v>
      </c>
      <c r="T201" s="173">
        <v>-75736.72</v>
      </c>
      <c r="U201" s="173">
        <f t="shared" si="80"/>
        <v>10054.360000000015</v>
      </c>
      <c r="V201" s="184">
        <f>STDEV(D$2:D201)*SQRT(252)</f>
        <v>0.17871370889489749</v>
      </c>
      <c r="W201" s="184">
        <f>STDEV(L$2:L201)*SQRT(252)</f>
        <v>0.3800270839694988</v>
      </c>
      <c r="X201" s="174">
        <f t="shared" si="59"/>
        <v>-0.54609297540860979</v>
      </c>
    </row>
    <row r="202" spans="1:24" ht="20.100000000000001" customHeight="1" x14ac:dyDescent="0.25">
      <c r="A202" s="163">
        <f t="shared" si="78"/>
        <v>290</v>
      </c>
      <c r="B202" s="172">
        <v>42523</v>
      </c>
      <c r="C202" s="215">
        <v>2105.2600000000002</v>
      </c>
      <c r="D202" s="171">
        <f t="shared" si="76"/>
        <v>2.8247107410460915E-3</v>
      </c>
      <c r="E202" s="209">
        <f t="shared" si="69"/>
        <v>1.3412986815320121E-3</v>
      </c>
      <c r="F202" s="219">
        <v>4971.3599999999997</v>
      </c>
      <c r="G202" s="171">
        <f t="shared" si="70"/>
        <v>3.8588520369528339E-3</v>
      </c>
      <c r="H202" s="203">
        <f t="shared" si="71"/>
        <v>-2.3634542490720223E-2</v>
      </c>
      <c r="I202" s="221">
        <v>335688.99</v>
      </c>
      <c r="J202" s="173">
        <v>400000</v>
      </c>
      <c r="K202" s="173">
        <f t="shared" si="72"/>
        <v>1371.3499999999767</v>
      </c>
      <c r="L202" s="171">
        <f t="shared" si="77"/>
        <v>4.1019373072864974E-3</v>
      </c>
      <c r="M202" s="182">
        <f t="shared" si="73"/>
        <v>-64311.010000000009</v>
      </c>
      <c r="N202" s="184">
        <f t="shared" si="68"/>
        <v>-0.16077752500000003</v>
      </c>
      <c r="O202" s="183">
        <f t="shared" si="79"/>
        <v>-0.20249652071120694</v>
      </c>
      <c r="P202" s="182" t="b">
        <f t="shared" si="74"/>
        <v>1</v>
      </c>
      <c r="Q202" s="184">
        <f>COUNTIF(P$2:P202, TRUE)/(COUNTIF(P$2:P202,FALSE) + COUNTIF(P$2:P202, TRUE))</f>
        <v>0.4925373134328358</v>
      </c>
      <c r="R202" s="173">
        <v>250005.54</v>
      </c>
      <c r="S202" s="173">
        <f t="shared" si="75"/>
        <v>85683.449999999983</v>
      </c>
      <c r="T202" s="173">
        <v>-74052.52</v>
      </c>
      <c r="U202" s="173">
        <f t="shared" si="80"/>
        <v>9741.5099999999948</v>
      </c>
      <c r="V202" s="184">
        <f>STDEV(D$2:D202)*SQRT(252)</f>
        <v>0.17829120938366202</v>
      </c>
      <c r="W202" s="184">
        <f>STDEV(L$2:L202)*SQRT(252)</f>
        <v>0.37910108221879157</v>
      </c>
      <c r="X202" s="174">
        <f t="shared" si="59"/>
        <v>-0.53414914968335436</v>
      </c>
    </row>
    <row r="203" spans="1:24" ht="20.100000000000001" customHeight="1" x14ac:dyDescent="0.25">
      <c r="A203" s="163">
        <f t="shared" si="78"/>
        <v>291</v>
      </c>
      <c r="B203" s="172">
        <v>42524</v>
      </c>
      <c r="C203" s="215">
        <v>2099.13</v>
      </c>
      <c r="D203" s="171">
        <f t="shared" si="76"/>
        <v>-2.911754367631603E-3</v>
      </c>
      <c r="E203" s="209">
        <f t="shared" si="69"/>
        <v>-1.5743612183938402E-3</v>
      </c>
      <c r="F203" s="219">
        <v>4942.51</v>
      </c>
      <c r="G203" s="171">
        <f t="shared" si="70"/>
        <v>-5.8032409642430755E-3</v>
      </c>
      <c r="H203" s="203">
        <f t="shared" si="71"/>
        <v>-2.9300626509810006E-2</v>
      </c>
      <c r="I203" s="221">
        <v>333931.11</v>
      </c>
      <c r="J203" s="173">
        <v>400000</v>
      </c>
      <c r="K203" s="173">
        <f t="shared" si="72"/>
        <v>-1757.8800000000047</v>
      </c>
      <c r="L203" s="171">
        <f t="shared" si="77"/>
        <v>-5.2366328725884179E-3</v>
      </c>
      <c r="M203" s="182">
        <f t="shared" si="73"/>
        <v>-66068.890000000014</v>
      </c>
      <c r="N203" s="184">
        <f t="shared" si="68"/>
        <v>-0.16517222500000003</v>
      </c>
      <c r="O203" s="183">
        <f t="shared" si="79"/>
        <v>-0.20731668447164953</v>
      </c>
      <c r="P203" s="182" t="b">
        <f t="shared" si="74"/>
        <v>0</v>
      </c>
      <c r="Q203" s="184">
        <f>COUNTIF(P$2:P203, TRUE)/(COUNTIF(P$2:P203,FALSE) + COUNTIF(P$2:P203, TRUE))</f>
        <v>0.49009900990099009</v>
      </c>
      <c r="R203" s="173">
        <v>260288.76</v>
      </c>
      <c r="S203" s="173">
        <f t="shared" si="75"/>
        <v>73642.349999999977</v>
      </c>
      <c r="T203" s="173">
        <v>-75134.75</v>
      </c>
      <c r="U203" s="173">
        <f t="shared" si="80"/>
        <v>9065.859999999986</v>
      </c>
      <c r="V203" s="184">
        <f>STDEV(D$2:D203)*SQRT(252)</f>
        <v>0.17787624865882645</v>
      </c>
      <c r="W203" s="184">
        <f>STDEV(L$2:L203)*SQRT(252)</f>
        <v>0.37819539294836535</v>
      </c>
      <c r="X203" s="174">
        <f t="shared" si="59"/>
        <v>-0.54817347946899575</v>
      </c>
    </row>
    <row r="204" spans="1:24" ht="20.100000000000001" customHeight="1" x14ac:dyDescent="0.25">
      <c r="A204" s="163">
        <f t="shared" si="78"/>
        <v>294</v>
      </c>
      <c r="B204" s="242">
        <v>42527</v>
      </c>
      <c r="C204" s="243">
        <v>2109.41</v>
      </c>
      <c r="D204" s="171">
        <f t="shared" si="76"/>
        <v>4.8972669629797792E-3</v>
      </c>
      <c r="E204" s="244">
        <f t="shared" si="69"/>
        <v>3.3151956774033027E-3</v>
      </c>
      <c r="F204" s="245">
        <v>4968.71</v>
      </c>
      <c r="G204" s="171">
        <f t="shared" si="70"/>
        <v>5.300950326858179E-3</v>
      </c>
      <c r="H204" s="246">
        <f t="shared" si="71"/>
        <v>-2.4154997348626153E-2</v>
      </c>
      <c r="I204" s="247">
        <v>340934.25</v>
      </c>
      <c r="J204" s="248">
        <v>400000</v>
      </c>
      <c r="K204" s="248">
        <f t="shared" si="72"/>
        <v>7003.140000000014</v>
      </c>
      <c r="L204" s="171">
        <f t="shared" si="77"/>
        <v>2.0971810622855757E-2</v>
      </c>
      <c r="M204" s="249">
        <f t="shared" si="73"/>
        <v>-59065.75</v>
      </c>
      <c r="N204" s="250">
        <f t="shared" si="68"/>
        <v>-0.14766437499999999</v>
      </c>
      <c r="O204" s="183">
        <f t="shared" si="79"/>
        <v>-0.18345038424744894</v>
      </c>
      <c r="P204" s="249" t="b">
        <f t="shared" si="74"/>
        <v>1</v>
      </c>
      <c r="Q204" s="250">
        <f>COUNTIF(P$2:P204, TRUE)/(COUNTIF(P$2:P204,FALSE) + COUNTIF(P$2:P204, TRUE))</f>
        <v>0.49261083743842365</v>
      </c>
      <c r="R204" s="248">
        <v>226096.58</v>
      </c>
      <c r="S204" s="248">
        <f t="shared" si="75"/>
        <v>114837.67000000001</v>
      </c>
      <c r="T204" s="248">
        <v>-68552.800000000003</v>
      </c>
      <c r="U204" s="248">
        <f t="shared" si="80"/>
        <v>9487.0500000000029</v>
      </c>
      <c r="V204" s="250">
        <f>STDEV(D$2:D204)*SQRT(252)</f>
        <v>0.17751563901521938</v>
      </c>
      <c r="W204" s="250">
        <f>STDEV(L$2:L204)*SQRT(252)</f>
        <v>0.3779906391006832</v>
      </c>
      <c r="X204" s="174">
        <f t="shared" si="59"/>
        <v>-0.48533049570728737</v>
      </c>
    </row>
    <row r="205" spans="1:24" ht="20.100000000000001" customHeight="1" x14ac:dyDescent="0.25">
      <c r="A205" s="163">
        <f t="shared" si="78"/>
        <v>295</v>
      </c>
      <c r="B205" s="242">
        <v>42528</v>
      </c>
      <c r="C205" s="243">
        <v>2112.13</v>
      </c>
      <c r="D205" s="171">
        <f t="shared" si="76"/>
        <v>1.289460085995731E-3</v>
      </c>
      <c r="E205" s="244">
        <f t="shared" si="69"/>
        <v>4.6089305759023109E-3</v>
      </c>
      <c r="F205" s="245">
        <v>4961.75</v>
      </c>
      <c r="G205" s="171">
        <f t="shared" si="70"/>
        <v>-1.4007659935878802E-3</v>
      </c>
      <c r="H205" s="246">
        <f t="shared" si="71"/>
        <v>-2.5521927843352873E-2</v>
      </c>
      <c r="I205" s="247">
        <v>347691.97</v>
      </c>
      <c r="J205" s="248">
        <v>400000</v>
      </c>
      <c r="K205" s="248">
        <f t="shared" si="72"/>
        <v>6757.7199999999721</v>
      </c>
      <c r="L205" s="171">
        <f t="shared" si="77"/>
        <v>1.9821182530062532E-2</v>
      </c>
      <c r="M205" s="249">
        <f t="shared" si="73"/>
        <v>-52308.030000000028</v>
      </c>
      <c r="N205" s="250">
        <f t="shared" si="68"/>
        <v>-0.13077007500000007</v>
      </c>
      <c r="O205" s="183">
        <f t="shared" si="79"/>
        <v>-0.16191108438559329</v>
      </c>
      <c r="P205" s="249" t="b">
        <f t="shared" si="74"/>
        <v>1</v>
      </c>
      <c r="Q205" s="250">
        <f>COUNTIF(P$2:P205, TRUE)/(COUNTIF(P$2:P205,FALSE) + COUNTIF(P$2:P205, TRUE))</f>
        <v>0.49509803921568629</v>
      </c>
      <c r="R205" s="248">
        <v>221341.46</v>
      </c>
      <c r="S205" s="248">
        <f t="shared" si="75"/>
        <v>126350.50999999998</v>
      </c>
      <c r="T205" s="248">
        <v>-62220.480000000003</v>
      </c>
      <c r="U205" s="248">
        <f t="shared" ref="U205:U236" si="81">M205-T205</f>
        <v>9912.4499999999753</v>
      </c>
      <c r="V205" s="250">
        <f>STDEV(D$2:D205)*SQRT(252)</f>
        <v>0.1770808372915795</v>
      </c>
      <c r="W205" s="250">
        <f>STDEV(L$2:L205)*SQRT(252)</f>
        <v>0.37770326655936998</v>
      </c>
      <c r="X205" s="174">
        <f t="shared" si="59"/>
        <v>-0.42867271406068974</v>
      </c>
    </row>
    <row r="206" spans="1:24" ht="20.100000000000001" customHeight="1" x14ac:dyDescent="0.25">
      <c r="A206" s="163">
        <f t="shared" si="78"/>
        <v>296</v>
      </c>
      <c r="B206" s="242">
        <v>42529</v>
      </c>
      <c r="C206" s="243">
        <v>2119.12</v>
      </c>
      <c r="D206" s="171">
        <f t="shared" si="76"/>
        <v>3.3094553839014555E-3</v>
      </c>
      <c r="E206" s="244">
        <f t="shared" si="69"/>
        <v>7.9336390099122144E-3</v>
      </c>
      <c r="F206" s="245">
        <v>4974.6400000000003</v>
      </c>
      <c r="G206" s="171">
        <f t="shared" si="70"/>
        <v>2.5978737340656677E-3</v>
      </c>
      <c r="H206" s="246">
        <f t="shared" si="71"/>
        <v>-2.2990356855274171E-2</v>
      </c>
      <c r="I206" s="247">
        <v>345415.56</v>
      </c>
      <c r="J206" s="248">
        <v>400000</v>
      </c>
      <c r="K206" s="248">
        <f t="shared" si="72"/>
        <v>-2276.4099999999744</v>
      </c>
      <c r="L206" s="171">
        <f t="shared" si="77"/>
        <v>-6.5472032615535372E-3</v>
      </c>
      <c r="M206" s="249">
        <f t="shared" si="73"/>
        <v>-54584.44</v>
      </c>
      <c r="N206" s="250">
        <f t="shared" si="68"/>
        <v>-0.1364611</v>
      </c>
      <c r="O206" s="183">
        <f t="shared" si="79"/>
        <v>-0.16838654315878379</v>
      </c>
      <c r="P206" s="249" t="b">
        <f t="shared" si="74"/>
        <v>0</v>
      </c>
      <c r="Q206" s="250">
        <f>COUNTIF(P$2:P206, TRUE)/(COUNTIF(P$2:P206,FALSE) + COUNTIF(P$2:P206, TRUE))</f>
        <v>0.49268292682926829</v>
      </c>
      <c r="R206" s="248">
        <v>224599.69</v>
      </c>
      <c r="S206" s="248">
        <f t="shared" si="75"/>
        <v>120815.87</v>
      </c>
      <c r="T206" s="248">
        <v>-64591.5</v>
      </c>
      <c r="U206" s="248">
        <f t="shared" si="81"/>
        <v>10007.059999999998</v>
      </c>
      <c r="V206" s="250">
        <f>STDEV(D$2:D206)*SQRT(252)</f>
        <v>0.1766804976423699</v>
      </c>
      <c r="W206" s="250">
        <f>STDEV(L$2:L206)*SQRT(252)</f>
        <v>0.37684312307903423</v>
      </c>
      <c r="X206" s="174">
        <f t="shared" si="59"/>
        <v>-0.44683459202589337</v>
      </c>
    </row>
    <row r="207" spans="1:24" ht="20.100000000000001" customHeight="1" x14ac:dyDescent="0.25">
      <c r="A207" s="163">
        <f t="shared" si="78"/>
        <v>297</v>
      </c>
      <c r="B207" s="242">
        <v>42530</v>
      </c>
      <c r="C207" s="243">
        <v>2115.48</v>
      </c>
      <c r="D207" s="171">
        <f t="shared" si="76"/>
        <v>-1.7176941371889619E-3</v>
      </c>
      <c r="E207" s="244">
        <f t="shared" si="69"/>
        <v>6.2023173075093528E-3</v>
      </c>
      <c r="F207" s="245">
        <v>4958.6099999999997</v>
      </c>
      <c r="G207" s="171">
        <f t="shared" si="70"/>
        <v>-3.2223437273854296E-3</v>
      </c>
      <c r="H207" s="246">
        <f t="shared" si="71"/>
        <v>-2.6138617750456655E-2</v>
      </c>
      <c r="I207" s="247">
        <v>343338.01</v>
      </c>
      <c r="J207" s="248">
        <v>400000</v>
      </c>
      <c r="K207" s="248">
        <f t="shared" si="72"/>
        <v>-2077.5499999999884</v>
      </c>
      <c r="L207" s="171">
        <f t="shared" si="77"/>
        <v>-6.0146392941881031E-3</v>
      </c>
      <c r="M207" s="249">
        <f t="shared" si="73"/>
        <v>-56661.989999999991</v>
      </c>
      <c r="N207" s="250">
        <f t="shared" si="68"/>
        <v>-0.14165497499999999</v>
      </c>
      <c r="O207" s="183">
        <f t="shared" si="79"/>
        <v>-0.17420700208333334</v>
      </c>
      <c r="P207" s="249" t="b">
        <f t="shared" si="74"/>
        <v>0</v>
      </c>
      <c r="Q207" s="250">
        <f>COUNTIF(P$2:P207, TRUE)/(COUNTIF(P$2:P207,FALSE) + COUNTIF(P$2:P207, TRUE))</f>
        <v>0.49029126213592233</v>
      </c>
      <c r="R207" s="248">
        <v>224600.69</v>
      </c>
      <c r="S207" s="248">
        <f t="shared" si="75"/>
        <v>118737.32</v>
      </c>
      <c r="T207" s="248">
        <v>-66856.5</v>
      </c>
      <c r="U207" s="248">
        <f t="shared" si="81"/>
        <v>10194.510000000009</v>
      </c>
      <c r="V207" s="250">
        <f>STDEV(D$2:D207)*SQRT(252)</f>
        <v>0.17625845275295093</v>
      </c>
      <c r="W207" s="250">
        <f>STDEV(L$2:L207)*SQRT(252)</f>
        <v>0.37597781518957712</v>
      </c>
      <c r="X207" s="174">
        <f t="shared" si="59"/>
        <v>-0.46334383318732236</v>
      </c>
    </row>
    <row r="208" spans="1:24" ht="20.100000000000001" customHeight="1" x14ac:dyDescent="0.25">
      <c r="A208" s="163">
        <f t="shared" si="78"/>
        <v>298</v>
      </c>
      <c r="B208" s="242">
        <v>42531</v>
      </c>
      <c r="C208" s="243">
        <v>2096.0700000000002</v>
      </c>
      <c r="D208" s="171">
        <f t="shared" si="76"/>
        <v>-9.1752226445061431E-3</v>
      </c>
      <c r="E208" s="244">
        <f t="shared" si="69"/>
        <v>-3.0298129792050619E-3</v>
      </c>
      <c r="F208" s="245">
        <v>4894.54</v>
      </c>
      <c r="G208" s="171">
        <f t="shared" si="70"/>
        <v>-1.2920959704433242E-2</v>
      </c>
      <c r="H208" s="246">
        <f t="shared" si="71"/>
        <v>-3.8721841428206664E-2</v>
      </c>
      <c r="I208" s="247">
        <v>332939.06</v>
      </c>
      <c r="J208" s="248">
        <v>400000</v>
      </c>
      <c r="K208" s="248">
        <f t="shared" si="72"/>
        <v>-10398.950000000012</v>
      </c>
      <c r="L208" s="171">
        <f t="shared" si="77"/>
        <v>-3.0287791322609493E-2</v>
      </c>
      <c r="M208" s="249">
        <f t="shared" si="73"/>
        <v>-67060.94</v>
      </c>
      <c r="N208" s="250">
        <f t="shared" si="68"/>
        <v>-0.16765235000000001</v>
      </c>
      <c r="O208" s="183">
        <f t="shared" si="79"/>
        <v>-0.20548664710570469</v>
      </c>
      <c r="P208" s="249" t="b">
        <f t="shared" si="74"/>
        <v>0</v>
      </c>
      <c r="Q208" s="250">
        <f>COUNTIF(P$2:P208, TRUE)/(COUNTIF(P$2:P208,FALSE) + COUNTIF(P$2:P208, TRUE))</f>
        <v>0.48792270531400966</v>
      </c>
      <c r="R208" s="248">
        <v>258667.11</v>
      </c>
      <c r="S208" s="248">
        <f t="shared" si="75"/>
        <v>74271.950000000012</v>
      </c>
      <c r="T208" s="248">
        <v>-76706.92</v>
      </c>
      <c r="U208" s="248">
        <f t="shared" si="81"/>
        <v>9645.9799999999959</v>
      </c>
      <c r="V208" s="250">
        <f>STDEV(D$2:D208)*SQRT(252)</f>
        <v>0.17612650252391751</v>
      </c>
      <c r="W208" s="250">
        <f>STDEV(L$2:L208)*SQRT(252)</f>
        <v>0.37655142178170292</v>
      </c>
      <c r="X208" s="174">
        <f t="shared" si="59"/>
        <v>-0.54570673543979042</v>
      </c>
    </row>
    <row r="209" spans="1:24" ht="20.100000000000001" customHeight="1" x14ac:dyDescent="0.25">
      <c r="A209" s="163">
        <f t="shared" si="78"/>
        <v>301</v>
      </c>
      <c r="B209" s="172">
        <v>42534</v>
      </c>
      <c r="C209" s="215">
        <v>2079.06</v>
      </c>
      <c r="D209" s="171">
        <f t="shared" si="76"/>
        <v>-8.1151869928009161E-3</v>
      </c>
      <c r="E209" s="209">
        <f t="shared" si="69"/>
        <v>-1.1120412473126515E-2</v>
      </c>
      <c r="F209" s="219">
        <v>4848.4399999999996</v>
      </c>
      <c r="G209" s="171">
        <f t="shared" si="70"/>
        <v>-9.4186583417441398E-3</v>
      </c>
      <c r="H209" s="203">
        <f t="shared" si="71"/>
        <v>-4.7775791975175327E-2</v>
      </c>
      <c r="I209" s="221">
        <v>329797.69</v>
      </c>
      <c r="J209" s="173">
        <v>400000</v>
      </c>
      <c r="K209" s="173">
        <f t="shared" si="72"/>
        <v>-3141.3699999999953</v>
      </c>
      <c r="L209" s="171">
        <f t="shared" si="77"/>
        <v>-9.4352702263290934E-3</v>
      </c>
      <c r="M209" s="182">
        <f t="shared" si="73"/>
        <v>-70202.31</v>
      </c>
      <c r="N209" s="184">
        <f t="shared" si="68"/>
        <v>-0.175505775</v>
      </c>
      <c r="O209" s="183">
        <f t="shared" si="79"/>
        <v>-0.21296838644102989</v>
      </c>
      <c r="P209" s="182" t="b">
        <f t="shared" si="74"/>
        <v>0</v>
      </c>
      <c r="Q209" s="184">
        <f>COUNTIF(P$2:P209, TRUE)/(COUNTIF(P$2:P209,FALSE) + COUNTIF(P$2:P209, TRUE))</f>
        <v>0.48557692307692307</v>
      </c>
      <c r="R209" s="173">
        <v>255528.93</v>
      </c>
      <c r="S209" s="173">
        <f t="shared" si="75"/>
        <v>74268.760000000009</v>
      </c>
      <c r="T209" s="173">
        <v>-78829.440000000002</v>
      </c>
      <c r="U209" s="173">
        <f t="shared" si="81"/>
        <v>8627.1300000000047</v>
      </c>
      <c r="V209" s="184">
        <f>STDEV(D$2:D209)*SQRT(252)</f>
        <v>0.17592912166326158</v>
      </c>
      <c r="W209" s="184">
        <f>STDEV(L$2:L209)*SQRT(252)</f>
        <v>0.3757757250288794</v>
      </c>
      <c r="X209" s="174">
        <f t="shared" si="59"/>
        <v>-0.56674333187611492</v>
      </c>
    </row>
    <row r="210" spans="1:24" ht="20.100000000000001" customHeight="1" x14ac:dyDescent="0.25">
      <c r="A210" s="163">
        <f t="shared" si="78"/>
        <v>302</v>
      </c>
      <c r="B210" s="172">
        <v>42535</v>
      </c>
      <c r="C210" s="215">
        <v>2075.3200000000002</v>
      </c>
      <c r="D210" s="171">
        <f t="shared" si="76"/>
        <v>-1.7988898829277566E-3</v>
      </c>
      <c r="E210" s="209">
        <f t="shared" si="69"/>
        <v>-1.2899297958562379E-2</v>
      </c>
      <c r="F210" s="219">
        <v>4843.55</v>
      </c>
      <c r="G210" s="171">
        <f t="shared" si="70"/>
        <v>-1.0085718292893008E-3</v>
      </c>
      <c r="H210" s="203">
        <f t="shared" si="71"/>
        <v>-4.8736178486556481E-2</v>
      </c>
      <c r="I210" s="221">
        <v>327192.19</v>
      </c>
      <c r="J210" s="173">
        <v>400000</v>
      </c>
      <c r="K210" s="173">
        <f t="shared" si="72"/>
        <v>-2605.5</v>
      </c>
      <c r="L210" s="171">
        <f t="shared" si="77"/>
        <v>-7.9002979068773949E-3</v>
      </c>
      <c r="M210" s="182">
        <f t="shared" si="73"/>
        <v>-72807.81</v>
      </c>
      <c r="N210" s="184">
        <f t="shared" si="68"/>
        <v>-0.18201952499999999</v>
      </c>
      <c r="O210" s="183">
        <f t="shared" si="79"/>
        <v>-0.22014116392798011</v>
      </c>
      <c r="P210" s="182" t="b">
        <f t="shared" si="74"/>
        <v>0</v>
      </c>
      <c r="Q210" s="184">
        <f>COUNTIF(P$2:P210, TRUE)/(COUNTIF(P$2:P210,FALSE) + COUNTIF(P$2:P210, TRUE))</f>
        <v>0.48325358851674644</v>
      </c>
      <c r="R210" s="173">
        <v>272585.19</v>
      </c>
      <c r="S210" s="173">
        <f t="shared" si="75"/>
        <v>54607</v>
      </c>
      <c r="T210" s="173">
        <v>-80356</v>
      </c>
      <c r="U210" s="173">
        <f t="shared" si="81"/>
        <v>7548.1900000000023</v>
      </c>
      <c r="V210" s="184">
        <f>STDEV(D$2:D210)*SQRT(252)</f>
        <v>0.17551491583407813</v>
      </c>
      <c r="W210" s="184">
        <f>STDEV(L$2:L210)*SQRT(252)</f>
        <v>0.37496263559037396</v>
      </c>
      <c r="X210" s="174">
        <f t="shared" si="59"/>
        <v>-0.58710160168724712</v>
      </c>
    </row>
    <row r="211" spans="1:24" ht="20.100000000000001" customHeight="1" x14ac:dyDescent="0.25">
      <c r="A211" s="163">
        <f t="shared" si="78"/>
        <v>303</v>
      </c>
      <c r="B211" s="172">
        <v>42536</v>
      </c>
      <c r="C211" s="215">
        <v>2071.5</v>
      </c>
      <c r="D211" s="171">
        <f t="shared" si="76"/>
        <v>-1.8406799915194588E-3</v>
      </c>
      <c r="E211" s="209">
        <f t="shared" si="69"/>
        <v>-1.4716234470424866E-2</v>
      </c>
      <c r="F211" s="219">
        <v>4834.93</v>
      </c>
      <c r="G211" s="171">
        <f t="shared" si="70"/>
        <v>-1.7796863870507976E-3</v>
      </c>
      <c r="H211" s="203">
        <f t="shared" si="71"/>
        <v>-5.042912976019788E-2</v>
      </c>
      <c r="I211" s="221">
        <v>325610.21000000002</v>
      </c>
      <c r="J211" s="173">
        <v>400000</v>
      </c>
      <c r="K211" s="173">
        <f t="shared" si="72"/>
        <v>-1581.9799999999814</v>
      </c>
      <c r="L211" s="171">
        <f t="shared" si="77"/>
        <v>-4.8350176084581403E-3</v>
      </c>
      <c r="M211" s="182">
        <f t="shared" si="73"/>
        <v>-74389.789999999979</v>
      </c>
      <c r="N211" s="184">
        <f t="shared" si="68"/>
        <v>-0.18597447499999994</v>
      </c>
      <c r="O211" s="183">
        <f t="shared" si="79"/>
        <v>-0.22418210228960389</v>
      </c>
      <c r="P211" s="182" t="b">
        <f t="shared" si="74"/>
        <v>0</v>
      </c>
      <c r="Q211" s="184">
        <f>COUNTIF(P$2:P211, TRUE)/(COUNTIF(P$2:P211,FALSE) + COUNTIF(P$2:P211, TRUE))</f>
        <v>0.48095238095238096</v>
      </c>
      <c r="R211" s="173">
        <v>269122.73</v>
      </c>
      <c r="S211" s="173">
        <f t="shared" si="75"/>
        <v>56487.48000000004</v>
      </c>
      <c r="T211" s="173">
        <v>-82018</v>
      </c>
      <c r="U211" s="173">
        <f t="shared" si="81"/>
        <v>7628.210000000021</v>
      </c>
      <c r="V211" s="184">
        <f>STDEV(D$2:D211)*SQRT(252)</f>
        <v>0.17510414280535444</v>
      </c>
      <c r="W211" s="184">
        <f>STDEV(L$2:L211)*SQRT(252)</f>
        <v>0.37409419523712373</v>
      </c>
      <c r="X211" s="174">
        <f t="shared" si="59"/>
        <v>-0.59926645519720934</v>
      </c>
    </row>
    <row r="212" spans="1:24" ht="20.100000000000001" customHeight="1" x14ac:dyDescent="0.25">
      <c r="A212" s="163">
        <f t="shared" si="78"/>
        <v>304</v>
      </c>
      <c r="B212" s="172">
        <v>42537</v>
      </c>
      <c r="C212" s="215">
        <v>2077.9899999999998</v>
      </c>
      <c r="D212" s="171">
        <f t="shared" si="76"/>
        <v>3.1329954139511377E-3</v>
      </c>
      <c r="E212" s="209">
        <f t="shared" si="69"/>
        <v>-1.1629344951580198E-2</v>
      </c>
      <c r="F212" s="219">
        <v>4844.91</v>
      </c>
      <c r="G212" s="171">
        <f t="shared" si="70"/>
        <v>2.0641457063493292E-3</v>
      </c>
      <c r="H212" s="203">
        <f t="shared" si="71"/>
        <v>-4.8469077125517991E-2</v>
      </c>
      <c r="I212" s="221">
        <v>321688.28999999998</v>
      </c>
      <c r="J212" s="173">
        <v>400000</v>
      </c>
      <c r="K212" s="173">
        <f t="shared" si="72"/>
        <v>-3921.9200000000419</v>
      </c>
      <c r="L212" s="171">
        <f t="shared" si="77"/>
        <v>-1.2044831149490188E-2</v>
      </c>
      <c r="M212" s="182">
        <f t="shared" si="73"/>
        <v>-78311.710000000021</v>
      </c>
      <c r="N212" s="184">
        <f t="shared" si="68"/>
        <v>-0.19577927500000006</v>
      </c>
      <c r="O212" s="183">
        <f t="shared" si="79"/>
        <v>-0.23522493484786189</v>
      </c>
      <c r="P212" s="182" t="b">
        <f t="shared" si="74"/>
        <v>0</v>
      </c>
      <c r="Q212" s="184">
        <f>COUNTIF(P$2:P212, TRUE)/(COUNTIF(P$2:P212,FALSE) + COUNTIF(P$2:P212, TRUE))</f>
        <v>0.47867298578199052</v>
      </c>
      <c r="R212" s="173">
        <v>270659.01</v>
      </c>
      <c r="S212" s="173">
        <f t="shared" si="75"/>
        <v>51029.27999999997</v>
      </c>
      <c r="T212" s="173">
        <v>-85365</v>
      </c>
      <c r="U212" s="173">
        <f t="shared" si="81"/>
        <v>7053.289999999979</v>
      </c>
      <c r="V212" s="184">
        <f>STDEV(D$2:D212)*SQRT(252)</f>
        <v>0.17471866463196331</v>
      </c>
      <c r="W212" s="184">
        <f>STDEV(L$2:L212)*SQRT(252)</f>
        <v>0.37342122618774559</v>
      </c>
      <c r="X212" s="174">
        <f t="shared" si="59"/>
        <v>-0.62991848976897058</v>
      </c>
    </row>
    <row r="213" spans="1:24" ht="20.100000000000001" customHeight="1" x14ac:dyDescent="0.25">
      <c r="A213" s="163">
        <f t="shared" si="78"/>
        <v>305</v>
      </c>
      <c r="B213" s="172">
        <v>42538</v>
      </c>
      <c r="C213" s="215">
        <v>2071.2199999999998</v>
      </c>
      <c r="D213" s="171">
        <f t="shared" si="76"/>
        <v>-3.2579560055630598E-3</v>
      </c>
      <c r="E213" s="209">
        <f t="shared" si="69"/>
        <v>-1.4849413062917493E-2</v>
      </c>
      <c r="F213" s="219">
        <v>4800.34</v>
      </c>
      <c r="G213" s="171">
        <f t="shared" si="70"/>
        <v>-9.1993452922757516E-3</v>
      </c>
      <c r="H213" s="203">
        <f t="shared" si="71"/>
        <v>-5.7222538641318162E-2</v>
      </c>
      <c r="I213" s="221">
        <v>328584.48</v>
      </c>
      <c r="J213" s="173">
        <v>400000</v>
      </c>
      <c r="K213" s="173">
        <f t="shared" si="72"/>
        <v>6896.1900000000023</v>
      </c>
      <c r="L213" s="171">
        <f t="shared" si="77"/>
        <v>2.1437491554324228E-2</v>
      </c>
      <c r="M213" s="182">
        <f t="shared" si="73"/>
        <v>-71415.520000000019</v>
      </c>
      <c r="N213" s="184">
        <f t="shared" si="68"/>
        <v>-0.17853880000000005</v>
      </c>
      <c r="O213" s="183">
        <f t="shared" si="79"/>
        <v>-0.21380753016393447</v>
      </c>
      <c r="P213" s="182" t="b">
        <f t="shared" si="74"/>
        <v>1</v>
      </c>
      <c r="Q213" s="184">
        <f>COUNTIF(P$2:P213, TRUE)/(COUNTIF(P$2:P213,FALSE) + COUNTIF(P$2:P213, TRUE))</f>
        <v>0.48113207547169812</v>
      </c>
      <c r="R213" s="173">
        <v>269293.38</v>
      </c>
      <c r="S213" s="173">
        <f t="shared" si="75"/>
        <v>59291.099999999977</v>
      </c>
      <c r="T213" s="173">
        <v>-78578</v>
      </c>
      <c r="U213" s="173">
        <f t="shared" si="81"/>
        <v>7162.4799999999814</v>
      </c>
      <c r="V213" s="184">
        <f>STDEV(D$2:D213)*SQRT(252)</f>
        <v>0.1743386358196137</v>
      </c>
      <c r="W213" s="184">
        <f>STDEV(L$2:L213)*SQRT(252)</f>
        <v>0.37328913049687473</v>
      </c>
      <c r="X213" s="174">
        <f t="shared" si="59"/>
        <v>-0.5727665573314209</v>
      </c>
    </row>
    <row r="214" spans="1:24" ht="20.100000000000001" customHeight="1" x14ac:dyDescent="0.25">
      <c r="A214" s="163">
        <f t="shared" si="78"/>
        <v>308</v>
      </c>
      <c r="B214" s="242">
        <v>42541</v>
      </c>
      <c r="C214" s="243">
        <v>2083.25</v>
      </c>
      <c r="D214" s="171">
        <f t="shared" si="76"/>
        <v>5.808171029634805E-3</v>
      </c>
      <c r="E214" s="244">
        <f t="shared" si="69"/>
        <v>-9.1274899640418055E-3</v>
      </c>
      <c r="F214" s="245">
        <v>4837.21</v>
      </c>
      <c r="G214" s="171">
        <f t="shared" si="70"/>
        <v>7.6807059499951853E-3</v>
      </c>
      <c r="H214" s="246">
        <f t="shared" si="71"/>
        <v>-4.9981342184339181E-2</v>
      </c>
      <c r="I214" s="247">
        <v>341742.75</v>
      </c>
      <c r="J214" s="248">
        <v>400000</v>
      </c>
      <c r="K214" s="248">
        <f t="shared" si="72"/>
        <v>13158.270000000019</v>
      </c>
      <c r="L214" s="171">
        <f t="shared" si="77"/>
        <v>4.0045318025976211E-2</v>
      </c>
      <c r="M214" s="249">
        <f t="shared" si="73"/>
        <v>-58257.25</v>
      </c>
      <c r="N214" s="250">
        <f t="shared" si="68"/>
        <v>-0.14564312500000001</v>
      </c>
      <c r="O214" s="183">
        <f t="shared" si="79"/>
        <v>-0.17271477729301948</v>
      </c>
      <c r="P214" s="249" t="b">
        <f t="shared" si="74"/>
        <v>1</v>
      </c>
      <c r="Q214" s="250">
        <f>COUNTIF(P$2:P214, TRUE)/(COUNTIF(P$2:P214,FALSE) + COUNTIF(P$2:P214, TRUE))</f>
        <v>0.48356807511737088</v>
      </c>
      <c r="R214" s="248">
        <v>253651.64</v>
      </c>
      <c r="S214" s="248">
        <f t="shared" si="75"/>
        <v>88091.109999999986</v>
      </c>
      <c r="T214" s="248">
        <v>-65989</v>
      </c>
      <c r="U214" s="248">
        <f t="shared" si="81"/>
        <v>7731.75</v>
      </c>
      <c r="V214" s="250">
        <f>STDEV(D$2:D214)*SQRT(252)</f>
        <v>0.1740406908760673</v>
      </c>
      <c r="W214" s="250">
        <f>STDEV(L$2:L214)*SQRT(252)</f>
        <v>0.37498171296802196</v>
      </c>
      <c r="X214" s="174">
        <f t="shared" si="59"/>
        <v>-0.46059520056581643</v>
      </c>
    </row>
    <row r="215" spans="1:24" ht="20.100000000000001" customHeight="1" x14ac:dyDescent="0.25">
      <c r="A215" s="163">
        <f t="shared" si="78"/>
        <v>309</v>
      </c>
      <c r="B215" s="242">
        <v>42542</v>
      </c>
      <c r="C215" s="243">
        <v>2088.9</v>
      </c>
      <c r="D215" s="171">
        <f t="shared" si="76"/>
        <v>2.7121084843394171E-3</v>
      </c>
      <c r="E215" s="244">
        <f t="shared" si="69"/>
        <v>-6.4401362226745888E-3</v>
      </c>
      <c r="F215" s="245">
        <v>4843.76</v>
      </c>
      <c r="G215" s="171">
        <f t="shared" si="70"/>
        <v>1.3540863431606611E-3</v>
      </c>
      <c r="H215" s="246">
        <f t="shared" si="71"/>
        <v>-4.8694934894043168E-2</v>
      </c>
      <c r="I215" s="247">
        <v>348811.35</v>
      </c>
      <c r="J215" s="248">
        <v>400000</v>
      </c>
      <c r="K215" s="248">
        <f t="shared" si="72"/>
        <v>7068.5999999999767</v>
      </c>
      <c r="L215" s="171">
        <f t="shared" si="77"/>
        <v>2.0683979396783039E-2</v>
      </c>
      <c r="M215" s="249">
        <f t="shared" si="73"/>
        <v>-51188.650000000023</v>
      </c>
      <c r="N215" s="250">
        <f t="shared" si="68"/>
        <v>-0.12797162500000006</v>
      </c>
      <c r="O215" s="183">
        <f t="shared" si="79"/>
        <v>-0.15126743052184474</v>
      </c>
      <c r="P215" s="249" t="b">
        <f t="shared" si="74"/>
        <v>1</v>
      </c>
      <c r="Q215" s="250">
        <f>COUNTIF(P$2:P215, TRUE)/(COUNTIF(P$2:P215,FALSE) + COUNTIF(P$2:P215, TRUE))</f>
        <v>0.48598130841121495</v>
      </c>
      <c r="R215" s="248">
        <v>239827.20000000001</v>
      </c>
      <c r="S215" s="248">
        <f t="shared" si="75"/>
        <v>108984.14999999997</v>
      </c>
      <c r="T215" s="248">
        <v>-59378</v>
      </c>
      <c r="U215" s="248">
        <f t="shared" si="81"/>
        <v>8189.3499999999767</v>
      </c>
      <c r="V215" s="250">
        <f>STDEV(D$2:D215)*SQRT(252)</f>
        <v>0.17365448408627729</v>
      </c>
      <c r="W215" s="250">
        <f>STDEV(L$2:L215)*SQRT(252)</f>
        <v>0.37477394701034494</v>
      </c>
      <c r="X215" s="174">
        <f t="shared" si="59"/>
        <v>-0.40362312196068761</v>
      </c>
    </row>
    <row r="216" spans="1:24" ht="20.100000000000001" customHeight="1" x14ac:dyDescent="0.25">
      <c r="A216" s="163">
        <f t="shared" si="78"/>
        <v>310</v>
      </c>
      <c r="B216" s="242">
        <v>42543</v>
      </c>
      <c r="C216" s="243">
        <v>2085.4499999999998</v>
      </c>
      <c r="D216" s="171">
        <f t="shared" si="76"/>
        <v>-1.6515869596439622E-3</v>
      </c>
      <c r="E216" s="244">
        <f t="shared" si="69"/>
        <v>-8.081086737314851E-3</v>
      </c>
      <c r="F216" s="245">
        <v>4833.3100000000004</v>
      </c>
      <c r="G216" s="171">
        <f t="shared" si="70"/>
        <v>-2.1574149008208123E-3</v>
      </c>
      <c r="H216" s="246">
        <f t="shared" si="71"/>
        <v>-5.0747294616729076E-2</v>
      </c>
      <c r="I216" s="247">
        <v>345838.5</v>
      </c>
      <c r="J216" s="248">
        <v>400000</v>
      </c>
      <c r="K216" s="248">
        <f t="shared" si="72"/>
        <v>-2972.8499999999767</v>
      </c>
      <c r="L216" s="171">
        <f t="shared" si="77"/>
        <v>-8.5228017952970192E-3</v>
      </c>
      <c r="M216" s="249">
        <f t="shared" si="73"/>
        <v>-54161.5</v>
      </c>
      <c r="N216" s="250">
        <f t="shared" si="68"/>
        <v>-0.13540374999999999</v>
      </c>
      <c r="O216" s="183">
        <f t="shared" si="79"/>
        <v>-0.15953619254032259</v>
      </c>
      <c r="P216" s="249" t="b">
        <f t="shared" si="74"/>
        <v>0</v>
      </c>
      <c r="Q216" s="250">
        <f>COUNTIF(P$2:P216, TRUE)/(COUNTIF(P$2:P216,FALSE) + COUNTIF(P$2:P216, TRUE))</f>
        <v>0.48372093023255813</v>
      </c>
      <c r="R216" s="248">
        <v>250911.65</v>
      </c>
      <c r="S216" s="248">
        <f t="shared" si="75"/>
        <v>94926.85</v>
      </c>
      <c r="T216" s="248">
        <v>-62340</v>
      </c>
      <c r="U216" s="248">
        <f t="shared" si="81"/>
        <v>8178.5</v>
      </c>
      <c r="V216" s="250">
        <f>STDEV(D$2:D216)*SQRT(252)</f>
        <v>0.17325596668423277</v>
      </c>
      <c r="W216" s="250">
        <f>STDEV(L$2:L216)*SQRT(252)</f>
        <v>0.37400942044017926</v>
      </c>
      <c r="X216" s="174">
        <f t="shared" si="59"/>
        <v>-0.42655661547926044</v>
      </c>
    </row>
    <row r="217" spans="1:24" ht="20.100000000000001" customHeight="1" x14ac:dyDescent="0.25">
      <c r="A217" s="163">
        <f t="shared" si="78"/>
        <v>311</v>
      </c>
      <c r="B217" s="242">
        <v>42544</v>
      </c>
      <c r="C217" s="243">
        <v>2113.3200000000002</v>
      </c>
      <c r="D217" s="171">
        <f t="shared" si="76"/>
        <v>1.3364022153492219E-2</v>
      </c>
      <c r="E217" s="244">
        <f t="shared" si="69"/>
        <v>5.1749395939956E-3</v>
      </c>
      <c r="F217" s="245">
        <v>4910.04</v>
      </c>
      <c r="G217" s="171">
        <f t="shared" si="70"/>
        <v>1.5875249052926369E-2</v>
      </c>
      <c r="H217" s="246">
        <f t="shared" si="71"/>
        <v>-3.5677671504605504E-2</v>
      </c>
      <c r="I217" s="247">
        <v>355595.65</v>
      </c>
      <c r="J217" s="248">
        <v>400000</v>
      </c>
      <c r="K217" s="248">
        <f t="shared" si="72"/>
        <v>9757.1500000000233</v>
      </c>
      <c r="L217" s="171">
        <f t="shared" si="77"/>
        <v>2.8213024287348065E-2</v>
      </c>
      <c r="M217" s="249">
        <f t="shared" si="73"/>
        <v>-44404.349999999977</v>
      </c>
      <c r="N217" s="250">
        <f t="shared" si="68"/>
        <v>-0.11101087499999994</v>
      </c>
      <c r="O217" s="183">
        <f t="shared" si="79"/>
        <v>-0.13037531219855297</v>
      </c>
      <c r="P217" s="249" t="b">
        <f t="shared" si="74"/>
        <v>1</v>
      </c>
      <c r="Q217" s="250">
        <f>COUNTIF(P$2:P217, TRUE)/(COUNTIF(P$2:P217,FALSE) + COUNTIF(P$2:P217, TRUE))</f>
        <v>0.4861111111111111</v>
      </c>
      <c r="R217" s="248">
        <v>222188.6</v>
      </c>
      <c r="S217" s="248">
        <f t="shared" si="75"/>
        <v>133407.05000000002</v>
      </c>
      <c r="T217" s="248">
        <v>-52883</v>
      </c>
      <c r="U217" s="248">
        <f t="shared" si="81"/>
        <v>8478.6500000000233</v>
      </c>
      <c r="V217" s="250">
        <f>STDEV(D$2:D217)*SQRT(252)</f>
        <v>0.17345322733352617</v>
      </c>
      <c r="W217" s="250">
        <f>STDEV(L$2:L217)*SQRT(252)</f>
        <v>0.37437996728891731</v>
      </c>
      <c r="X217" s="174">
        <f t="shared" si="59"/>
        <v>-0.34824329181571689</v>
      </c>
    </row>
    <row r="218" spans="1:24" ht="20.100000000000001" customHeight="1" x14ac:dyDescent="0.25">
      <c r="A218" s="163">
        <f t="shared" si="78"/>
        <v>312</v>
      </c>
      <c r="B218" s="242">
        <v>42545</v>
      </c>
      <c r="C218" s="243">
        <v>2037.3</v>
      </c>
      <c r="D218" s="171">
        <f t="shared" si="76"/>
        <v>-3.5971835784452996E-2</v>
      </c>
      <c r="E218" s="244">
        <f t="shared" si="69"/>
        <v>-3.0983048267727069E-2</v>
      </c>
      <c r="F218" s="245">
        <v>4707.9799999999996</v>
      </c>
      <c r="G218" s="171">
        <f t="shared" si="70"/>
        <v>-4.1152414236951311E-2</v>
      </c>
      <c r="H218" s="246">
        <f t="shared" si="71"/>
        <v>-7.5361863424789413E-2</v>
      </c>
      <c r="I218" s="247">
        <v>344597.21</v>
      </c>
      <c r="J218" s="248">
        <v>400000</v>
      </c>
      <c r="K218" s="248">
        <f t="shared" si="72"/>
        <v>-10998.440000000002</v>
      </c>
      <c r="L218" s="171">
        <f t="shared" si="77"/>
        <v>-3.092962470153952E-2</v>
      </c>
      <c r="M218" s="249">
        <f t="shared" si="73"/>
        <v>-55402.789999999979</v>
      </c>
      <c r="N218" s="250">
        <f t="shared" si="68"/>
        <v>-0.13850697499999995</v>
      </c>
      <c r="O218" s="183">
        <f t="shared" si="79"/>
        <v>-0.16214638659855762</v>
      </c>
      <c r="P218" s="249" t="b">
        <f t="shared" si="74"/>
        <v>1</v>
      </c>
      <c r="Q218" s="250">
        <f>COUNTIF(P$2:P218, TRUE)/(COUNTIF(P$2:P218,FALSE) + COUNTIF(P$2:P218, TRUE))</f>
        <v>0.48847926267281105</v>
      </c>
      <c r="R218" s="248">
        <v>292212.87</v>
      </c>
      <c r="S218" s="248">
        <f t="shared" si="75"/>
        <v>52384.340000000026</v>
      </c>
      <c r="T218" s="248">
        <v>-60319</v>
      </c>
      <c r="U218" s="248">
        <f t="shared" si="81"/>
        <v>4916.210000000021</v>
      </c>
      <c r="V218" s="250">
        <f>STDEV(D$2:D218)*SQRT(252)</f>
        <v>0.17737738991567559</v>
      </c>
      <c r="W218" s="250">
        <f>STDEV(L$2:L218)*SQRT(252)</f>
        <v>0.37501491948250398</v>
      </c>
      <c r="X218" s="174">
        <f t="shared" si="59"/>
        <v>-0.43237316217261174</v>
      </c>
    </row>
    <row r="219" spans="1:24" ht="20.100000000000001" customHeight="1" x14ac:dyDescent="0.25">
      <c r="A219" s="163">
        <f t="shared" si="78"/>
        <v>315</v>
      </c>
      <c r="B219" s="172">
        <v>42548</v>
      </c>
      <c r="C219" s="215">
        <v>2000.54</v>
      </c>
      <c r="D219" s="171">
        <f t="shared" si="76"/>
        <v>-1.8043488931428847E-2</v>
      </c>
      <c r="E219" s="209">
        <f t="shared" si="69"/>
        <v>-4.8467494910675257E-2</v>
      </c>
      <c r="F219" s="219">
        <v>4594.4399999999996</v>
      </c>
      <c r="G219" s="171">
        <f t="shared" si="70"/>
        <v>-2.4116500070093749E-2</v>
      </c>
      <c r="H219" s="203">
        <f t="shared" si="71"/>
        <v>-9.7660899110316834E-2</v>
      </c>
      <c r="I219" s="221">
        <v>328090.52</v>
      </c>
      <c r="J219" s="173">
        <v>400000</v>
      </c>
      <c r="K219" s="173">
        <f t="shared" si="72"/>
        <v>-16506.690000000002</v>
      </c>
      <c r="L219" s="171">
        <f t="shared" si="77"/>
        <v>-4.7901403496563424E-2</v>
      </c>
      <c r="M219" s="182">
        <f t="shared" si="73"/>
        <v>-71909.479999999981</v>
      </c>
      <c r="N219" s="184">
        <f t="shared" si="68"/>
        <v>-0.17977369999999995</v>
      </c>
      <c r="O219" s="183">
        <f t="shared" si="79"/>
        <v>-0.20845188547619042</v>
      </c>
      <c r="P219" s="182" t="b">
        <f t="shared" si="74"/>
        <v>0</v>
      </c>
      <c r="Q219" s="184">
        <f>COUNTIF(P$2:P219, TRUE)/(COUNTIF(P$2:P219,FALSE) + COUNTIF(P$2:P219, TRUE))</f>
        <v>0.48623853211009177</v>
      </c>
      <c r="R219" s="173">
        <v>330827.23</v>
      </c>
      <c r="S219" s="173">
        <f t="shared" si="75"/>
        <v>-2736.7099999999627</v>
      </c>
      <c r="T219" s="173">
        <v>-73004</v>
      </c>
      <c r="U219" s="173">
        <f t="shared" si="81"/>
        <v>1094.5200000000186</v>
      </c>
      <c r="V219" s="184">
        <f>STDEV(D$2:D219)*SQRT(252)</f>
        <v>0.17802153758815042</v>
      </c>
      <c r="W219" s="184">
        <f>STDEV(L$2:L219)*SQRT(252)</f>
        <v>0.37769251793384978</v>
      </c>
      <c r="X219" s="174">
        <f t="shared" ref="X219:X282" si="82">O219/W219</f>
        <v>-0.55190896186272698</v>
      </c>
    </row>
    <row r="220" spans="1:24" ht="20.100000000000001" customHeight="1" x14ac:dyDescent="0.25">
      <c r="A220" s="163">
        <f t="shared" si="78"/>
        <v>316</v>
      </c>
      <c r="B220" s="172">
        <v>42549</v>
      </c>
      <c r="C220" s="215">
        <v>2036.09</v>
      </c>
      <c r="D220" s="171">
        <f t="shared" si="76"/>
        <v>1.7770202045447707E-2</v>
      </c>
      <c r="E220" s="209">
        <f t="shared" si="69"/>
        <v>-3.1558570042426959E-2</v>
      </c>
      <c r="F220" s="219">
        <v>4691.8599999999997</v>
      </c>
      <c r="G220" s="171">
        <f t="shared" si="70"/>
        <v>2.1203889919119649E-2</v>
      </c>
      <c r="H220" s="203">
        <f t="shared" si="71"/>
        <v>-7.85278001453346E-2</v>
      </c>
      <c r="I220" s="221">
        <v>347315.97</v>
      </c>
      <c r="J220" s="173">
        <v>400000</v>
      </c>
      <c r="K220" s="173">
        <f t="shared" si="72"/>
        <v>19225.449999999953</v>
      </c>
      <c r="L220" s="171">
        <f t="shared" ref="L220:L247" si="83">K220/I219</f>
        <v>5.8598005209050091E-2</v>
      </c>
      <c r="M220" s="182">
        <f t="shared" si="73"/>
        <v>-52684.030000000028</v>
      </c>
      <c r="N220" s="184">
        <f t="shared" si="68"/>
        <v>-0.13171007500000007</v>
      </c>
      <c r="O220" s="183">
        <f t="shared" si="79"/>
        <v>-0.15223767371439881</v>
      </c>
      <c r="P220" s="182" t="b">
        <f t="shared" si="74"/>
        <v>1</v>
      </c>
      <c r="Q220" s="184">
        <f>COUNTIF(P$2:P220, TRUE)/(COUNTIF(P$2:P220,FALSE) + COUNTIF(P$2:P220, TRUE))</f>
        <v>0.48858447488584472</v>
      </c>
      <c r="R220" s="173">
        <v>324005.03999999998</v>
      </c>
      <c r="S220" s="173">
        <f t="shared" si="75"/>
        <v>23310.929999999993</v>
      </c>
      <c r="T220" s="173">
        <v>-57120</v>
      </c>
      <c r="U220" s="173">
        <f t="shared" si="81"/>
        <v>4435.9699999999721</v>
      </c>
      <c r="V220" s="184">
        <f>STDEV(D$2:D220)*SQRT(252)</f>
        <v>0.17865473175577545</v>
      </c>
      <c r="W220" s="184">
        <f>STDEV(L$2:L220)*SQRT(252)</f>
        <v>0.38208789279178124</v>
      </c>
      <c r="X220" s="174">
        <f t="shared" si="82"/>
        <v>-0.39843626711658386</v>
      </c>
    </row>
    <row r="221" spans="1:24" ht="20.100000000000001" customHeight="1" x14ac:dyDescent="0.25">
      <c r="A221" s="163">
        <f t="shared" si="78"/>
        <v>317</v>
      </c>
      <c r="B221" s="172">
        <v>42550</v>
      </c>
      <c r="C221" s="215">
        <v>2070.77</v>
      </c>
      <c r="D221" s="171">
        <f t="shared" si="76"/>
        <v>1.7032645904650614E-2</v>
      </c>
      <c r="E221" s="209">
        <f t="shared" si="69"/>
        <v>-1.506345008656612E-2</v>
      </c>
      <c r="F221" s="219">
        <v>4779.24</v>
      </c>
      <c r="G221" s="171">
        <f t="shared" si="70"/>
        <v>1.8623744101486428E-2</v>
      </c>
      <c r="H221" s="203">
        <f t="shared" si="71"/>
        <v>-6.1366537698607546E-2</v>
      </c>
      <c r="I221" s="221">
        <v>354799.59</v>
      </c>
      <c r="J221" s="173">
        <v>400000</v>
      </c>
      <c r="K221" s="173">
        <f t="shared" si="72"/>
        <v>7483.6200000000536</v>
      </c>
      <c r="L221" s="171">
        <f t="shared" si="83"/>
        <v>2.154700804572866E-2</v>
      </c>
      <c r="M221" s="182">
        <f t="shared" si="73"/>
        <v>-45200.409999999974</v>
      </c>
      <c r="N221" s="184">
        <f t="shared" si="68"/>
        <v>-0.11300102499999994</v>
      </c>
      <c r="O221" s="183">
        <f t="shared" si="79"/>
        <v>-0.13020070782728699</v>
      </c>
      <c r="P221" s="182" t="b">
        <f t="shared" si="74"/>
        <v>1</v>
      </c>
      <c r="Q221" s="184">
        <f>COUNTIF(P$2:P221, TRUE)/(COUNTIF(P$2:P221,FALSE) + COUNTIF(P$2:P221, TRUE))</f>
        <v>0.49090909090909091</v>
      </c>
      <c r="R221" s="173">
        <v>321658.87</v>
      </c>
      <c r="S221" s="173">
        <f t="shared" si="75"/>
        <v>33140.72000000003</v>
      </c>
      <c r="T221" s="173">
        <v>-52035</v>
      </c>
      <c r="U221" s="173">
        <f t="shared" si="81"/>
        <v>6834.5900000000256</v>
      </c>
      <c r="V221" s="184">
        <f>STDEV(D$2:D221)*SQRT(252)</f>
        <v>0.17918768492627107</v>
      </c>
      <c r="W221" s="184">
        <f>STDEV(L$2:L221)*SQRT(252)</f>
        <v>0.38190631702856759</v>
      </c>
      <c r="X221" s="174">
        <f t="shared" si="82"/>
        <v>-0.34092315843402937</v>
      </c>
    </row>
    <row r="222" spans="1:24" ht="20.100000000000001" customHeight="1" x14ac:dyDescent="0.25">
      <c r="A222" s="163">
        <f t="shared" si="78"/>
        <v>318</v>
      </c>
      <c r="B222" s="172">
        <v>42551</v>
      </c>
      <c r="C222" s="215">
        <v>2098.86</v>
      </c>
      <c r="D222" s="171">
        <f t="shared" si="76"/>
        <v>1.3565002390415229E-2</v>
      </c>
      <c r="E222" s="209">
        <f t="shared" si="69"/>
        <v>-1.7027834325830592E-3</v>
      </c>
      <c r="F222" s="219">
        <v>4842.67</v>
      </c>
      <c r="G222" s="171">
        <f t="shared" si="70"/>
        <v>1.3271984667018248E-2</v>
      </c>
      <c r="H222" s="203">
        <f t="shared" si="71"/>
        <v>-4.8909008778993214E-2</v>
      </c>
      <c r="I222" s="473">
        <v>358404.16</v>
      </c>
      <c r="J222" s="173">
        <v>400000</v>
      </c>
      <c r="K222" s="173">
        <f t="shared" si="72"/>
        <v>3604.5699999999488</v>
      </c>
      <c r="L222" s="171">
        <f t="shared" si="83"/>
        <v>1.0159453679188154E-2</v>
      </c>
      <c r="M222" s="182">
        <f t="shared" si="73"/>
        <v>-41595.840000000026</v>
      </c>
      <c r="N222" s="184">
        <f t="shared" ref="N222:N253" si="84">M222/J222</f>
        <v>-0.10398960000000007</v>
      </c>
      <c r="O222" s="183">
        <f t="shared" si="79"/>
        <v>-0.11944088490566046</v>
      </c>
      <c r="P222" s="182" t="b">
        <f t="shared" si="74"/>
        <v>0</v>
      </c>
      <c r="Q222" s="184">
        <f>COUNTIF(P$2:P222, TRUE)/(COUNTIF(P$2:P222,FALSE) + COUNTIF(P$2:P222, TRUE))</f>
        <v>0.48868778280542985</v>
      </c>
      <c r="R222" s="173">
        <v>320795.08</v>
      </c>
      <c r="S222" s="173">
        <f t="shared" si="75"/>
        <v>37609.079999999958</v>
      </c>
      <c r="T222" s="173">
        <v>-50056</v>
      </c>
      <c r="U222" s="173">
        <f t="shared" si="81"/>
        <v>8460.1599999999744</v>
      </c>
      <c r="V222" s="184">
        <f>STDEV(D$2:D222)*SQRT(252)</f>
        <v>0.17936712847918884</v>
      </c>
      <c r="W222" s="184">
        <f>STDEV(L$2:L222)*SQRT(252)</f>
        <v>0.38118352520471832</v>
      </c>
      <c r="X222" s="174">
        <f t="shared" si="82"/>
        <v>-0.31334220134911017</v>
      </c>
    </row>
    <row r="223" spans="1:24" ht="20.100000000000001" customHeight="1" x14ac:dyDescent="0.25">
      <c r="A223" s="163">
        <f t="shared" si="78"/>
        <v>319</v>
      </c>
      <c r="B223" s="172">
        <v>42552</v>
      </c>
      <c r="C223" s="215">
        <v>2102.9499999999998</v>
      </c>
      <c r="D223" s="171">
        <f t="shared" si="76"/>
        <v>1.9486769007936169E-3</v>
      </c>
      <c r="E223" s="209">
        <f t="shared" si="69"/>
        <v>2.4257529346842884E-4</v>
      </c>
      <c r="F223" s="219">
        <v>4862.59</v>
      </c>
      <c r="G223" s="171">
        <f t="shared" si="70"/>
        <v>4.1134332919649848E-3</v>
      </c>
      <c r="H223" s="203">
        <f t="shared" si="71"/>
        <v>-4.4996759432016746E-2</v>
      </c>
      <c r="I223" s="221">
        <v>358860.97</v>
      </c>
      <c r="J223" s="173">
        <v>400000</v>
      </c>
      <c r="K223" s="173">
        <f t="shared" si="72"/>
        <v>456.80999999999767</v>
      </c>
      <c r="L223" s="171">
        <f t="shared" si="83"/>
        <v>1.2745666791367535E-3</v>
      </c>
      <c r="M223" s="182">
        <f t="shared" si="73"/>
        <v>-41139.030000000028</v>
      </c>
      <c r="N223" s="184">
        <f t="shared" si="84"/>
        <v>-0.10284757500000007</v>
      </c>
      <c r="O223" s="183">
        <f t="shared" si="79"/>
        <v>-0.11775886134404397</v>
      </c>
      <c r="P223" s="182" t="b">
        <f t="shared" si="74"/>
        <v>0</v>
      </c>
      <c r="Q223" s="184">
        <f>COUNTIF(P$2:P223, TRUE)/(COUNTIF(P$2:P223,FALSE) + COUNTIF(P$2:P223, TRUE))</f>
        <v>0.48648648648648651</v>
      </c>
      <c r="R223" s="173">
        <v>272845.65000000002</v>
      </c>
      <c r="S223" s="173">
        <f t="shared" si="75"/>
        <v>86015.319999999949</v>
      </c>
      <c r="T223" s="173">
        <v>-51775</v>
      </c>
      <c r="U223" s="173">
        <f t="shared" si="81"/>
        <v>10635.969999999972</v>
      </c>
      <c r="V223" s="184">
        <f>STDEV(D$2:D223)*SQRT(252)</f>
        <v>0.17897042454940121</v>
      </c>
      <c r="W223" s="184">
        <f>STDEV(L$2:L223)*SQRT(252)</f>
        <v>0.3803179125579893</v>
      </c>
      <c r="X223" s="174">
        <f t="shared" si="82"/>
        <v>-0.30963269795000409</v>
      </c>
    </row>
    <row r="224" spans="1:24" ht="20.100000000000001" customHeight="1" x14ac:dyDescent="0.25">
      <c r="A224" s="163">
        <f t="shared" si="78"/>
        <v>323</v>
      </c>
      <c r="B224" s="242">
        <v>42556</v>
      </c>
      <c r="C224" s="243">
        <v>2088.5500000000002</v>
      </c>
      <c r="D224" s="171">
        <f t="shared" si="76"/>
        <v>-6.847523716683534E-3</v>
      </c>
      <c r="E224" s="244">
        <f t="shared" ref="E224:E255" si="85">(C224-$C$2)/$C$2</f>
        <v>-6.6066094632902111E-3</v>
      </c>
      <c r="F224" s="245">
        <v>4822.8999999999996</v>
      </c>
      <c r="G224" s="171">
        <f t="shared" si="70"/>
        <v>-8.1623167900235286E-3</v>
      </c>
      <c r="H224" s="246">
        <f t="shared" ref="H224:H255" si="86">(F224-F$2)/F$2</f>
        <v>-5.2791798417031674E-2</v>
      </c>
      <c r="I224" s="247">
        <v>346939.19</v>
      </c>
      <c r="J224" s="248">
        <v>400000</v>
      </c>
      <c r="K224" s="248">
        <f t="shared" ref="K224:K255" si="87">I224-I223-J224+J223</f>
        <v>-11921.77999999997</v>
      </c>
      <c r="L224" s="171">
        <f t="shared" si="83"/>
        <v>-3.3221166403245163E-2</v>
      </c>
      <c r="M224" s="249">
        <f t="shared" ref="M224:M253" si="88">I224-J224</f>
        <v>-53060.81</v>
      </c>
      <c r="N224" s="250">
        <f t="shared" si="84"/>
        <v>-0.13265202500000001</v>
      </c>
      <c r="O224" s="183">
        <f t="shared" si="79"/>
        <v>-0.15000356696981426</v>
      </c>
      <c r="P224" s="249" t="b">
        <f t="shared" ref="P224:P255" si="89">L224&gt;D224</f>
        <v>0</v>
      </c>
      <c r="Q224" s="250">
        <f>COUNTIF(P$2:P224, TRUE)/(COUNTIF(P$2:P224,FALSE) + COUNTIF(P$2:P224, TRUE))</f>
        <v>0.48430493273542602</v>
      </c>
      <c r="R224" s="248">
        <v>313798.31</v>
      </c>
      <c r="S224" s="248">
        <f t="shared" si="75"/>
        <v>33140.880000000005</v>
      </c>
      <c r="T224" s="248">
        <v>-60102</v>
      </c>
      <c r="U224" s="248">
        <f t="shared" si="81"/>
        <v>7041.1900000000023</v>
      </c>
      <c r="V224" s="250">
        <f>STDEV(D$2:D224)*SQRT(252)</f>
        <v>0.1787168459746149</v>
      </c>
      <c r="W224" s="250">
        <f>STDEV(L$2:L224)*SQRT(252)</f>
        <v>0.38112496311245453</v>
      </c>
      <c r="X224" s="174">
        <f t="shared" si="82"/>
        <v>-0.39358105998833326</v>
      </c>
    </row>
    <row r="225" spans="1:24" ht="20.100000000000001" customHeight="1" x14ac:dyDescent="0.25">
      <c r="A225" s="163">
        <f t="shared" si="78"/>
        <v>324</v>
      </c>
      <c r="B225" s="242">
        <v>42557</v>
      </c>
      <c r="C225" s="243">
        <v>2088.5500000000002</v>
      </c>
      <c r="D225" s="171">
        <f t="shared" si="76"/>
        <v>0</v>
      </c>
      <c r="E225" s="244">
        <f t="shared" si="85"/>
        <v>-6.6066094632902111E-3</v>
      </c>
      <c r="F225" s="245">
        <v>4859.16</v>
      </c>
      <c r="G225" s="171">
        <f t="shared" si="70"/>
        <v>7.5182981193887954E-3</v>
      </c>
      <c r="H225" s="246">
        <f t="shared" si="86"/>
        <v>-4.5670404776400803E-2</v>
      </c>
      <c r="I225" s="247">
        <v>347494.51</v>
      </c>
      <c r="J225" s="248">
        <v>400000</v>
      </c>
      <c r="K225" s="248">
        <f t="shared" si="87"/>
        <v>555.32000000000698</v>
      </c>
      <c r="L225" s="171">
        <f t="shared" si="83"/>
        <v>1.6006263230164543E-3</v>
      </c>
      <c r="M225" s="249">
        <f t="shared" si="88"/>
        <v>-52505.489999999991</v>
      </c>
      <c r="N225" s="250">
        <f t="shared" si="84"/>
        <v>-0.13126372499999997</v>
      </c>
      <c r="O225" s="183">
        <f t="shared" si="79"/>
        <v>-0.14797554184027772</v>
      </c>
      <c r="P225" s="249" t="b">
        <f t="shared" si="89"/>
        <v>1</v>
      </c>
      <c r="Q225" s="250">
        <f>COUNTIF(P$2:P225, TRUE)/(COUNTIF(P$2:P225,FALSE) + COUNTIF(P$2:P225, TRUE))</f>
        <v>0.48660714285714285</v>
      </c>
      <c r="R225" s="248">
        <v>315793.82</v>
      </c>
      <c r="S225" s="248">
        <f t="shared" si="75"/>
        <v>31700.690000000002</v>
      </c>
      <c r="T225" s="248">
        <v>-60101</v>
      </c>
      <c r="U225" s="248">
        <f t="shared" si="81"/>
        <v>7595.5100000000093</v>
      </c>
      <c r="V225" s="250">
        <f>STDEV(D$2:D225)*SQRT(252)</f>
        <v>0.17831387977448732</v>
      </c>
      <c r="W225" s="250">
        <f>STDEV(L$2:L225)*SQRT(252)</f>
        <v>0.38026911407606601</v>
      </c>
      <c r="X225" s="174">
        <f t="shared" si="82"/>
        <v>-0.38913373808917301</v>
      </c>
    </row>
    <row r="226" spans="1:24" ht="20.100000000000001" customHeight="1" x14ac:dyDescent="0.25">
      <c r="A226" s="163">
        <f t="shared" si="78"/>
        <v>325</v>
      </c>
      <c r="B226" s="242">
        <v>42558</v>
      </c>
      <c r="C226" s="243">
        <v>2088.5500000000002</v>
      </c>
      <c r="D226" s="171">
        <f t="shared" si="76"/>
        <v>0</v>
      </c>
      <c r="E226" s="244">
        <f t="shared" si="85"/>
        <v>-6.6066094632902111E-3</v>
      </c>
      <c r="F226" s="245">
        <v>4876.8</v>
      </c>
      <c r="G226" s="171">
        <f t="shared" si="70"/>
        <v>3.630257081470939E-3</v>
      </c>
      <c r="H226" s="246">
        <f t="shared" si="86"/>
        <v>-4.2205943005283041E-2</v>
      </c>
      <c r="I226" s="247">
        <v>350011.84</v>
      </c>
      <c r="J226" s="248">
        <v>400000</v>
      </c>
      <c r="K226" s="248">
        <f t="shared" si="87"/>
        <v>2517.3300000000163</v>
      </c>
      <c r="L226" s="171">
        <f t="shared" si="83"/>
        <v>7.2442295563173538E-3</v>
      </c>
      <c r="M226" s="249">
        <f t="shared" si="88"/>
        <v>-49988.159999999974</v>
      </c>
      <c r="N226" s="250">
        <f t="shared" si="84"/>
        <v>-0.12497039999999994</v>
      </c>
      <c r="O226" s="183">
        <f t="shared" si="79"/>
        <v>-0.14044750338461531</v>
      </c>
      <c r="P226" s="249" t="b">
        <f t="shared" si="89"/>
        <v>1</v>
      </c>
      <c r="Q226" s="250">
        <f>COUNTIF(P$2:P226, TRUE)/(COUNTIF(P$2:P226,FALSE) + COUNTIF(P$2:P226, TRUE))</f>
        <v>0.48888888888888887</v>
      </c>
      <c r="R226" s="248">
        <v>315794.82</v>
      </c>
      <c r="S226" s="248">
        <f t="shared" si="75"/>
        <v>34217.020000000019</v>
      </c>
      <c r="T226" s="248">
        <v>-60100</v>
      </c>
      <c r="U226" s="248">
        <f t="shared" si="81"/>
        <v>10111.840000000026</v>
      </c>
      <c r="V226" s="250">
        <f>STDEV(D$2:D226)*SQRT(252)</f>
        <v>0.17791362713368658</v>
      </c>
      <c r="W226" s="250">
        <f>STDEV(L$2:L226)*SQRT(252)</f>
        <v>0.3794918182893931</v>
      </c>
      <c r="X226" s="174">
        <f t="shared" si="82"/>
        <v>-0.37009362683417002</v>
      </c>
    </row>
    <row r="227" spans="1:24" ht="20.100000000000001" customHeight="1" x14ac:dyDescent="0.25">
      <c r="A227" s="163">
        <f t="shared" si="78"/>
        <v>326</v>
      </c>
      <c r="B227" s="242">
        <v>42559</v>
      </c>
      <c r="C227" s="243">
        <v>2088.5500000000002</v>
      </c>
      <c r="D227" s="171">
        <f t="shared" si="76"/>
        <v>0</v>
      </c>
      <c r="E227" s="244">
        <f t="shared" si="85"/>
        <v>-6.6066094632902111E-3</v>
      </c>
      <c r="F227" s="245">
        <v>4956.75</v>
      </c>
      <c r="G227" s="171">
        <f t="shared" si="70"/>
        <v>1.6393946850393661E-2</v>
      </c>
      <c r="H227" s="246">
        <f t="shared" si="86"/>
        <v>-2.6503918141288729E-2</v>
      </c>
      <c r="I227" s="247">
        <f>356591.17-44.77</f>
        <v>356546.39999999997</v>
      </c>
      <c r="J227" s="248">
        <v>400000</v>
      </c>
      <c r="K227" s="248">
        <f t="shared" si="87"/>
        <v>6534.5599999999395</v>
      </c>
      <c r="L227" s="171">
        <f t="shared" si="83"/>
        <v>1.8669539864708401E-2</v>
      </c>
      <c r="M227" s="249">
        <f t="shared" si="88"/>
        <v>-43453.600000000035</v>
      </c>
      <c r="N227" s="250">
        <f t="shared" si="84"/>
        <v>-0.10863400000000009</v>
      </c>
      <c r="O227" s="183">
        <f t="shared" si="79"/>
        <v>-0.12171340030674857</v>
      </c>
      <c r="P227" s="249" t="b">
        <f t="shared" si="89"/>
        <v>1</v>
      </c>
      <c r="Q227" s="250">
        <f>COUNTIF(P$2:P227, TRUE)/(COUNTIF(P$2:P227,FALSE) + COUNTIF(P$2:P227, TRUE))</f>
        <v>0.49115044247787609</v>
      </c>
      <c r="R227" s="248">
        <v>317292.78000000003</v>
      </c>
      <c r="S227" s="248">
        <f t="shared" si="75"/>
        <v>39253.619999999937</v>
      </c>
      <c r="T227" s="248">
        <v>-54317</v>
      </c>
      <c r="U227" s="248">
        <f t="shared" si="81"/>
        <v>10863.399999999965</v>
      </c>
      <c r="V227" s="250">
        <f>STDEV(D$2:D227)*SQRT(252)</f>
        <v>0.17751605773328505</v>
      </c>
      <c r="W227" s="250">
        <f>STDEV(L$2:L227)*SQRT(252)</f>
        <v>0.37915328642285256</v>
      </c>
      <c r="X227" s="174">
        <f t="shared" si="82"/>
        <v>-0.32101370254511552</v>
      </c>
    </row>
    <row r="228" spans="1:24" ht="20.100000000000001" customHeight="1" x14ac:dyDescent="0.25">
      <c r="A228" s="163">
        <f t="shared" si="78"/>
        <v>329</v>
      </c>
      <c r="B228" s="172">
        <v>42562</v>
      </c>
      <c r="C228" s="215">
        <v>2137.16</v>
      </c>
      <c r="D228" s="171">
        <f t="shared" si="76"/>
        <v>2.3274520600416397E-2</v>
      </c>
      <c r="E228" s="209">
        <f t="shared" si="85"/>
        <v>1.6514145469073933E-2</v>
      </c>
      <c r="F228" s="219">
        <v>4988.63</v>
      </c>
      <c r="G228" s="171">
        <f t="shared" si="70"/>
        <v>6.4316336309073706E-3</v>
      </c>
      <c r="H228" s="203">
        <f t="shared" si="86"/>
        <v>-2.0242748001649689E-2</v>
      </c>
      <c r="I228" s="221">
        <v>356544.06</v>
      </c>
      <c r="J228" s="173">
        <v>400000</v>
      </c>
      <c r="K228" s="173">
        <f t="shared" si="87"/>
        <v>-2.3399999999674037</v>
      </c>
      <c r="L228" s="171">
        <f t="shared" si="83"/>
        <v>-6.5629606692632545E-6</v>
      </c>
      <c r="M228" s="182">
        <f t="shared" si="88"/>
        <v>-43455.94</v>
      </c>
      <c r="N228" s="184">
        <f t="shared" si="84"/>
        <v>-0.10863985000000001</v>
      </c>
      <c r="O228" s="183">
        <f t="shared" si="79"/>
        <v>-0.12061004623860183</v>
      </c>
      <c r="P228" s="182" t="b">
        <f t="shared" si="89"/>
        <v>0</v>
      </c>
      <c r="Q228" s="184">
        <f>COUNTIF(P$2:P228, TRUE)/(COUNTIF(P$2:P228,FALSE) + COUNTIF(P$2:P228, TRUE))</f>
        <v>0.48898678414096919</v>
      </c>
      <c r="R228" s="173">
        <v>315114.71999999997</v>
      </c>
      <c r="S228" s="173">
        <f t="shared" si="75"/>
        <v>41429.340000000026</v>
      </c>
      <c r="T228" s="173">
        <v>-55783</v>
      </c>
      <c r="U228" s="173">
        <f t="shared" si="81"/>
        <v>12327.059999999998</v>
      </c>
      <c r="V228" s="184">
        <f>STDEV(D$2:D228)*SQRT(252)</f>
        <v>0.17881334891320599</v>
      </c>
      <c r="W228" s="184">
        <f>STDEV(L$2:L228)*SQRT(252)</f>
        <v>0.37830983950867753</v>
      </c>
      <c r="X228" s="174">
        <f t="shared" si="82"/>
        <v>-0.31881287146864001</v>
      </c>
    </row>
    <row r="229" spans="1:24" ht="20.100000000000001" customHeight="1" x14ac:dyDescent="0.25">
      <c r="A229" s="163">
        <f t="shared" si="78"/>
        <v>330</v>
      </c>
      <c r="B229" s="172">
        <v>42563</v>
      </c>
      <c r="C229" s="215">
        <v>2152.14</v>
      </c>
      <c r="D229" s="171">
        <f t="shared" si="76"/>
        <v>7.0093020644219524E-3</v>
      </c>
      <c r="E229" s="209">
        <f t="shared" si="85"/>
        <v>2.3639200167424428E-2</v>
      </c>
      <c r="F229" s="219">
        <v>5022.82</v>
      </c>
      <c r="G229" s="171">
        <f t="shared" si="70"/>
        <v>6.8535850524090985E-3</v>
      </c>
      <c r="H229" s="203">
        <f t="shared" si="86"/>
        <v>-1.3527898344364379E-2</v>
      </c>
      <c r="I229" s="221">
        <v>371135.11</v>
      </c>
      <c r="J229" s="173">
        <v>400000</v>
      </c>
      <c r="K229" s="173">
        <f t="shared" si="87"/>
        <v>14591.049999999988</v>
      </c>
      <c r="L229" s="171">
        <f t="shared" si="83"/>
        <v>4.092355373975376E-2</v>
      </c>
      <c r="M229" s="182">
        <f t="shared" si="88"/>
        <v>-28864.890000000014</v>
      </c>
      <c r="N229" s="184">
        <f t="shared" si="84"/>
        <v>-7.2162225000000038E-2</v>
      </c>
      <c r="O229" s="183">
        <f t="shared" si="79"/>
        <v>-7.9870462670454598E-2</v>
      </c>
      <c r="P229" s="182" t="b">
        <f t="shared" si="89"/>
        <v>1</v>
      </c>
      <c r="Q229" s="184">
        <f>COUNTIF(P$2:P229, TRUE)/(COUNTIF(P$2:P229,FALSE) + COUNTIF(P$2:P229, TRUE))</f>
        <v>0.49122807017543857</v>
      </c>
      <c r="R229" s="173">
        <v>321724.34999999998</v>
      </c>
      <c r="S229" s="173">
        <f t="shared" si="75"/>
        <v>49410.760000000009</v>
      </c>
      <c r="T229" s="173">
        <v>-44731</v>
      </c>
      <c r="U229" s="173">
        <f t="shared" si="81"/>
        <v>15866.109999999986</v>
      </c>
      <c r="V229" s="184">
        <f>STDEV(D$2:D229)*SQRT(252)</f>
        <v>0.17856422908432967</v>
      </c>
      <c r="W229" s="184">
        <f>STDEV(L$2:L229)*SQRT(252)</f>
        <v>0.37990463509326544</v>
      </c>
      <c r="X229" s="174">
        <f t="shared" si="82"/>
        <v>-0.21023818951523621</v>
      </c>
    </row>
    <row r="230" spans="1:24" ht="20.100000000000001" customHeight="1" x14ac:dyDescent="0.25">
      <c r="A230" s="163">
        <f t="shared" si="78"/>
        <v>331</v>
      </c>
      <c r="B230" s="172">
        <v>42564</v>
      </c>
      <c r="C230" s="215">
        <v>2152.4299999999998</v>
      </c>
      <c r="D230" s="171">
        <f t="shared" si="76"/>
        <v>1.347495980744578E-4</v>
      </c>
      <c r="E230" s="209">
        <f t="shared" si="85"/>
        <v>2.3777135138220249E-2</v>
      </c>
      <c r="F230" s="219">
        <v>5005.72</v>
      </c>
      <c r="G230" s="171">
        <f t="shared" si="70"/>
        <v>-3.4044620352709147E-3</v>
      </c>
      <c r="H230" s="203">
        <f t="shared" si="86"/>
        <v>-1.6886305163304902E-2</v>
      </c>
      <c r="I230" s="221">
        <v>368490.23999999999</v>
      </c>
      <c r="J230" s="173">
        <v>400000</v>
      </c>
      <c r="K230" s="173">
        <f t="shared" si="87"/>
        <v>-2644.8699999999953</v>
      </c>
      <c r="L230" s="171">
        <f t="shared" si="83"/>
        <v>-7.1264343597133547E-3</v>
      </c>
      <c r="M230" s="182">
        <f t="shared" si="88"/>
        <v>-31509.760000000009</v>
      </c>
      <c r="N230" s="184">
        <f t="shared" si="84"/>
        <v>-7.8774400000000022E-2</v>
      </c>
      <c r="O230" s="183">
        <f t="shared" si="79"/>
        <v>-8.6925527492447155E-2</v>
      </c>
      <c r="P230" s="182" t="b">
        <f t="shared" si="89"/>
        <v>0</v>
      </c>
      <c r="Q230" s="184">
        <f>COUNTIF(P$2:P230, TRUE)/(COUNTIF(P$2:P230,FALSE) + COUNTIF(P$2:P230, TRUE))</f>
        <v>0.48908296943231439</v>
      </c>
      <c r="R230" s="173">
        <v>319923.32</v>
      </c>
      <c r="S230" s="173">
        <f t="shared" si="75"/>
        <v>48566.919999999984</v>
      </c>
      <c r="T230" s="173">
        <v>-47124</v>
      </c>
      <c r="U230" s="173">
        <f t="shared" si="81"/>
        <v>15614.239999999991</v>
      </c>
      <c r="V230" s="184">
        <f>STDEV(D$2:D230)*SQRT(252)</f>
        <v>0.17817048471828337</v>
      </c>
      <c r="W230" s="184">
        <f>STDEV(L$2:L230)*SQRT(252)</f>
        <v>0.3791487014021947</v>
      </c>
      <c r="X230" s="174">
        <f t="shared" si="82"/>
        <v>-0.22926500122767923</v>
      </c>
    </row>
    <row r="231" spans="1:24" ht="20.100000000000001" customHeight="1" x14ac:dyDescent="0.25">
      <c r="A231" s="163">
        <f t="shared" si="78"/>
        <v>332</v>
      </c>
      <c r="B231" s="172">
        <v>42565</v>
      </c>
      <c r="C231" s="215">
        <v>2163.75</v>
      </c>
      <c r="D231" s="171">
        <f t="shared" si="76"/>
        <v>5.2591721914302279E-3</v>
      </c>
      <c r="E231" s="209">
        <f t="shared" si="85"/>
        <v>2.9161355377561284E-2</v>
      </c>
      <c r="F231" s="219">
        <v>5034.05</v>
      </c>
      <c r="G231" s="171">
        <f t="shared" si="70"/>
        <v>5.6595255028247535E-3</v>
      </c>
      <c r="H231" s="203">
        <f t="shared" si="86"/>
        <v>-1.1322348135200354E-2</v>
      </c>
      <c r="I231" s="221">
        <v>370497.23</v>
      </c>
      <c r="J231" s="173">
        <v>400000</v>
      </c>
      <c r="K231" s="173">
        <f t="shared" si="87"/>
        <v>2006.9899999999907</v>
      </c>
      <c r="L231" s="171">
        <f t="shared" si="83"/>
        <v>5.4465214601070325E-3</v>
      </c>
      <c r="M231" s="182">
        <f t="shared" si="88"/>
        <v>-29502.770000000019</v>
      </c>
      <c r="N231" s="184">
        <f t="shared" si="84"/>
        <v>-7.3756925000000043E-2</v>
      </c>
      <c r="O231" s="183">
        <f t="shared" si="79"/>
        <v>-8.1143725470632574E-2</v>
      </c>
      <c r="P231" s="182" t="b">
        <f t="shared" si="89"/>
        <v>1</v>
      </c>
      <c r="Q231" s="184">
        <f>COUNTIF(P$2:P231, TRUE)/(COUNTIF(P$2:P231,FALSE) + COUNTIF(P$2:P231, TRUE))</f>
        <v>0.49130434782608695</v>
      </c>
      <c r="R231" s="173">
        <v>321931.40999999997</v>
      </c>
      <c r="S231" s="173">
        <f t="shared" si="75"/>
        <v>48565.820000000007</v>
      </c>
      <c r="T231" s="173">
        <v>-47213</v>
      </c>
      <c r="U231" s="173">
        <f t="shared" si="81"/>
        <v>17710.229999999981</v>
      </c>
      <c r="V231" s="184">
        <f>STDEV(D$2:D231)*SQRT(252)</f>
        <v>0.17785960012092625</v>
      </c>
      <c r="W231" s="184">
        <f>STDEV(L$2:L231)*SQRT(252)</f>
        <v>0.378354378552888</v>
      </c>
      <c r="X231" s="174">
        <f t="shared" si="82"/>
        <v>-0.21446487755999355</v>
      </c>
    </row>
    <row r="232" spans="1:24" ht="20.100000000000001" customHeight="1" x14ac:dyDescent="0.25">
      <c r="A232" s="163">
        <f t="shared" si="78"/>
        <v>333</v>
      </c>
      <c r="B232" s="172">
        <v>42566</v>
      </c>
      <c r="C232" s="215">
        <v>2161.7399999999998</v>
      </c>
      <c r="D232" s="171">
        <f t="shared" si="76"/>
        <v>-9.2894280762575077E-4</v>
      </c>
      <c r="E232" s="209">
        <f t="shared" si="85"/>
        <v>2.8205323338596929E-2</v>
      </c>
      <c r="F232" s="219">
        <v>5029.58</v>
      </c>
      <c r="G232" s="171">
        <f t="shared" si="70"/>
        <v>-8.8795303979901958E-4</v>
      </c>
      <c r="H232" s="203">
        <f t="shared" si="86"/>
        <v>-1.2200247461555059E-2</v>
      </c>
      <c r="I232" s="221">
        <v>368347.44</v>
      </c>
      <c r="J232" s="173">
        <v>400000</v>
      </c>
      <c r="K232" s="173">
        <f t="shared" si="87"/>
        <v>-2149.789999999979</v>
      </c>
      <c r="L232" s="171">
        <f t="shared" si="83"/>
        <v>-5.8024455405509484E-3</v>
      </c>
      <c r="M232" s="182">
        <f t="shared" si="88"/>
        <v>-31652.559999999998</v>
      </c>
      <c r="N232" s="184">
        <f t="shared" si="84"/>
        <v>-7.9131399999999991E-2</v>
      </c>
      <c r="O232" s="183">
        <f t="shared" si="79"/>
        <v>-8.6795026576576575E-2</v>
      </c>
      <c r="P232" s="182" t="b">
        <f t="shared" si="89"/>
        <v>0</v>
      </c>
      <c r="Q232" s="184">
        <f>COUNTIF(P$2:P232, TRUE)/(COUNTIF(P$2:P232,FALSE) + COUNTIF(P$2:P232, TRUE))</f>
        <v>0.48917748917748916</v>
      </c>
      <c r="R232" s="173">
        <v>315227.08</v>
      </c>
      <c r="S232" s="173">
        <f t="shared" si="75"/>
        <v>53120.359999999986</v>
      </c>
      <c r="T232" s="173">
        <v>-48618</v>
      </c>
      <c r="U232" s="173">
        <f t="shared" si="81"/>
        <v>16965.440000000002</v>
      </c>
      <c r="V232" s="184">
        <f>STDEV(D$2:D232)*SQRT(252)</f>
        <v>0.17747468742677538</v>
      </c>
      <c r="W232" s="184">
        <f>STDEV(L$2:L232)*SQRT(252)</f>
        <v>0.37758235657631534</v>
      </c>
      <c r="X232" s="174">
        <f t="shared" si="82"/>
        <v>-0.22987045094898106</v>
      </c>
    </row>
    <row r="233" spans="1:24" ht="20.100000000000001" customHeight="1" x14ac:dyDescent="0.25">
      <c r="A233" s="163">
        <f t="shared" si="78"/>
        <v>336</v>
      </c>
      <c r="B233" s="242">
        <v>42569</v>
      </c>
      <c r="C233" s="243">
        <v>2166.89</v>
      </c>
      <c r="D233" s="171">
        <f t="shared" si="76"/>
        <v>2.3823401519147036E-3</v>
      </c>
      <c r="E233" s="244">
        <f t="shared" si="85"/>
        <v>3.0654858164798907E-2</v>
      </c>
      <c r="F233" s="245">
        <v>5055.78</v>
      </c>
      <c r="G233" s="171">
        <f t="shared" si="70"/>
        <v>5.209182476469172E-3</v>
      </c>
      <c r="H233" s="246">
        <f t="shared" si="86"/>
        <v>-7.0546183003712066E-3</v>
      </c>
      <c r="I233" s="247">
        <f>369683.39+2.9</f>
        <v>369686.29000000004</v>
      </c>
      <c r="J233" s="248">
        <v>400000</v>
      </c>
      <c r="K233" s="248">
        <f t="shared" si="87"/>
        <v>1338.8500000000349</v>
      </c>
      <c r="L233" s="171">
        <f t="shared" si="83"/>
        <v>3.6347476719263611E-3</v>
      </c>
      <c r="M233" s="249">
        <f t="shared" si="88"/>
        <v>-30313.709999999963</v>
      </c>
      <c r="N233" s="250">
        <f t="shared" si="84"/>
        <v>-7.5784274999999901E-2</v>
      </c>
      <c r="O233" s="183">
        <f t="shared" si="79"/>
        <v>-8.2381566796874889E-2</v>
      </c>
      <c r="P233" s="249" t="b">
        <f t="shared" si="89"/>
        <v>1</v>
      </c>
      <c r="Q233" s="250">
        <f>COUNTIF(P$2:P233, TRUE)/(COUNTIF(P$2:P233,FALSE) + COUNTIF(P$2:P233, TRUE))</f>
        <v>0.49137931034482757</v>
      </c>
      <c r="R233" s="248">
        <v>316103.03999999998</v>
      </c>
      <c r="S233" s="248">
        <f t="shared" si="75"/>
        <v>53583.250000000058</v>
      </c>
      <c r="T233" s="248">
        <v>-47875</v>
      </c>
      <c r="U233" s="248">
        <f t="shared" si="81"/>
        <v>17561.290000000037</v>
      </c>
      <c r="V233" s="250">
        <f>STDEV(D$2:D233)*SQRT(252)</f>
        <v>0.17710334708213829</v>
      </c>
      <c r="W233" s="250">
        <f>STDEV(L$2:L233)*SQRT(252)</f>
        <v>0.37677647505559991</v>
      </c>
      <c r="X233" s="174">
        <f t="shared" si="82"/>
        <v>-0.21864838239892248</v>
      </c>
    </row>
    <row r="234" spans="1:24" ht="20.100000000000001" customHeight="1" x14ac:dyDescent="0.25">
      <c r="A234" s="163">
        <f t="shared" si="78"/>
        <v>337</v>
      </c>
      <c r="B234" s="242">
        <v>42570</v>
      </c>
      <c r="C234" s="243">
        <v>2163.7800000000002</v>
      </c>
      <c r="D234" s="171">
        <f t="shared" si="76"/>
        <v>-1.4352366756040559E-3</v>
      </c>
      <c r="E234" s="244">
        <f t="shared" si="85"/>
        <v>2.9175624512471292E-2</v>
      </c>
      <c r="F234" s="245">
        <v>5036.37</v>
      </c>
      <c r="G234" s="171">
        <f t="shared" si="70"/>
        <v>-3.8391702170584669E-3</v>
      </c>
      <c r="H234" s="246">
        <f t="shared" si="86"/>
        <v>-1.0866704636958173E-2</v>
      </c>
      <c r="I234" s="247">
        <v>364028.85</v>
      </c>
      <c r="J234" s="248">
        <v>400000</v>
      </c>
      <c r="K234" s="248">
        <f t="shared" si="87"/>
        <v>-5657.4400000000605</v>
      </c>
      <c r="L234" s="171">
        <f t="shared" si="83"/>
        <v>-1.5303353554171728E-2</v>
      </c>
      <c r="M234" s="249">
        <f t="shared" si="88"/>
        <v>-35971.150000000023</v>
      </c>
      <c r="N234" s="250">
        <f t="shared" si="84"/>
        <v>-8.992787500000006E-2</v>
      </c>
      <c r="O234" s="183">
        <f t="shared" si="79"/>
        <v>-9.7466339298961494E-2</v>
      </c>
      <c r="P234" s="249" t="b">
        <f t="shared" si="89"/>
        <v>0</v>
      </c>
      <c r="Q234" s="250">
        <f>COUNTIF(P$2:P234, TRUE)/(COUNTIF(P$2:P234,FALSE) + COUNTIF(P$2:P234, TRUE))</f>
        <v>0.48927038626609443</v>
      </c>
      <c r="R234" s="248">
        <v>316420.40000000002</v>
      </c>
      <c r="S234" s="248">
        <f t="shared" si="75"/>
        <v>47608.449999999953</v>
      </c>
      <c r="T234" s="248">
        <v>-53164</v>
      </c>
      <c r="U234" s="248">
        <f t="shared" si="81"/>
        <v>17192.849999999977</v>
      </c>
      <c r="V234" s="250">
        <f>STDEV(D$2:D234)*SQRT(252)</f>
        <v>0.17672773618130258</v>
      </c>
      <c r="W234" s="250">
        <f>STDEV(L$2:L234)*SQRT(252)</f>
        <v>0.37631344049170978</v>
      </c>
      <c r="X234" s="174">
        <f t="shared" si="82"/>
        <v>-0.25900307778432563</v>
      </c>
    </row>
    <row r="235" spans="1:24" ht="20.100000000000001" customHeight="1" x14ac:dyDescent="0.25">
      <c r="A235" s="163">
        <f t="shared" si="78"/>
        <v>338</v>
      </c>
      <c r="B235" s="242">
        <v>42571</v>
      </c>
      <c r="C235" s="243">
        <v>2173.02</v>
      </c>
      <c r="D235" s="171">
        <f t="shared" si="76"/>
        <v>4.2703047444748454E-3</v>
      </c>
      <c r="E235" s="244">
        <f t="shared" si="85"/>
        <v>3.3570518064724761E-2</v>
      </c>
      <c r="F235" s="245">
        <v>5089.93</v>
      </c>
      <c r="G235" s="171">
        <f t="shared" si="70"/>
        <v>1.0634643602435961E-2</v>
      </c>
      <c r="H235" s="246">
        <f t="shared" si="86"/>
        <v>-3.4762456546920032E-4</v>
      </c>
      <c r="I235" s="247">
        <v>366983.12</v>
      </c>
      <c r="J235" s="248">
        <v>400000</v>
      </c>
      <c r="K235" s="248">
        <f t="shared" si="87"/>
        <v>2954.2700000000186</v>
      </c>
      <c r="L235" s="171">
        <f t="shared" si="83"/>
        <v>8.1154831547005646E-3</v>
      </c>
      <c r="M235" s="249">
        <f t="shared" si="88"/>
        <v>-33016.880000000005</v>
      </c>
      <c r="N235" s="250">
        <f t="shared" si="84"/>
        <v>-8.254220000000001E-2</v>
      </c>
      <c r="O235" s="183">
        <f t="shared" si="79"/>
        <v>-8.9196859615384622E-2</v>
      </c>
      <c r="P235" s="249" t="b">
        <f t="shared" si="89"/>
        <v>1</v>
      </c>
      <c r="Q235" s="250">
        <f>COUNTIF(P$2:P235, TRUE)/(COUNTIF(P$2:P235,FALSE) + COUNTIF(P$2:P235, TRUE))</f>
        <v>0.49145299145299143</v>
      </c>
      <c r="R235" s="248">
        <v>315168.17</v>
      </c>
      <c r="S235" s="248">
        <f t="shared" si="75"/>
        <v>51814.950000000012</v>
      </c>
      <c r="T235" s="248">
        <v>-50698</v>
      </c>
      <c r="U235" s="248">
        <f t="shared" si="81"/>
        <v>17681.119999999995</v>
      </c>
      <c r="V235" s="250">
        <f>STDEV(D$2:D235)*SQRT(252)</f>
        <v>0.17639759874782845</v>
      </c>
      <c r="W235" s="250">
        <f>STDEV(L$2:L235)*SQRT(252)</f>
        <v>0.37559009819227351</v>
      </c>
      <c r="X235" s="174">
        <f t="shared" si="82"/>
        <v>-0.2374845877052984</v>
      </c>
    </row>
    <row r="236" spans="1:24" ht="20.100000000000001" customHeight="1" x14ac:dyDescent="0.25">
      <c r="A236" s="163">
        <f t="shared" si="78"/>
        <v>339</v>
      </c>
      <c r="B236" s="242">
        <v>42572</v>
      </c>
      <c r="C236" s="243">
        <v>2165.17</v>
      </c>
      <c r="D236" s="171">
        <f t="shared" si="76"/>
        <v>-3.6124840084306217E-3</v>
      </c>
      <c r="E236" s="244">
        <f t="shared" si="85"/>
        <v>2.9836761096630589E-2</v>
      </c>
      <c r="F236" s="245">
        <v>5073.8999999999996</v>
      </c>
      <c r="G236" s="171">
        <f t="shared" si="70"/>
        <v>-3.1493556885852365E-3</v>
      </c>
      <c r="H236" s="246">
        <f t="shared" si="86"/>
        <v>-3.4958854606516846E-3</v>
      </c>
      <c r="I236" s="247">
        <f>360276.2+45</f>
        <v>360321.2</v>
      </c>
      <c r="J236" s="248">
        <v>400000</v>
      </c>
      <c r="K236" s="248">
        <f t="shared" si="87"/>
        <v>-6661.9199999999837</v>
      </c>
      <c r="L236" s="171">
        <f t="shared" si="83"/>
        <v>-1.8153205520733445E-2</v>
      </c>
      <c r="M236" s="249">
        <f t="shared" si="88"/>
        <v>-39678.799999999988</v>
      </c>
      <c r="N236" s="250">
        <f t="shared" si="84"/>
        <v>-9.9196999999999966E-2</v>
      </c>
      <c r="O236" s="183">
        <f t="shared" si="79"/>
        <v>-0.10687818362831855</v>
      </c>
      <c r="P236" s="249" t="b">
        <f t="shared" si="89"/>
        <v>0</v>
      </c>
      <c r="Q236" s="250">
        <f>COUNTIF(P$2:P236, TRUE)/(COUNTIF(P$2:P236,FALSE) + COUNTIF(P$2:P236, TRUE))</f>
        <v>0.48936170212765956</v>
      </c>
      <c r="R236" s="248">
        <v>315749.06</v>
      </c>
      <c r="S236" s="248">
        <f t="shared" si="75"/>
        <v>44572.140000000014</v>
      </c>
      <c r="T236" s="248">
        <v>-55981</v>
      </c>
      <c r="U236" s="248">
        <f t="shared" si="81"/>
        <v>16302.200000000012</v>
      </c>
      <c r="V236" s="250">
        <f>STDEV(D$2:D236)*SQRT(252)</f>
        <v>0.17606319207854554</v>
      </c>
      <c r="W236" s="250">
        <f>STDEV(L$2:L236)*SQRT(252)</f>
        <v>0.37527253812431671</v>
      </c>
      <c r="X236" s="174">
        <f t="shared" si="82"/>
        <v>-0.28480150496094381</v>
      </c>
    </row>
    <row r="237" spans="1:24" ht="20.100000000000001" customHeight="1" x14ac:dyDescent="0.25">
      <c r="A237" s="163">
        <f t="shared" si="78"/>
        <v>340</v>
      </c>
      <c r="B237" s="242">
        <v>42573</v>
      </c>
      <c r="C237" s="243">
        <v>2175.0300000000002</v>
      </c>
      <c r="D237" s="171">
        <f t="shared" si="76"/>
        <v>4.553914935085987E-3</v>
      </c>
      <c r="E237" s="244">
        <f t="shared" si="85"/>
        <v>3.4526550103689116E-2</v>
      </c>
      <c r="F237" s="245">
        <v>5100.16</v>
      </c>
      <c r="G237" s="171">
        <f t="shared" si="70"/>
        <v>5.175506021009523E-3</v>
      </c>
      <c r="H237" s="246">
        <f t="shared" si="86"/>
        <v>1.6615275841074762E-3</v>
      </c>
      <c r="I237" s="247">
        <v>357414.17</v>
      </c>
      <c r="J237" s="248">
        <v>400000</v>
      </c>
      <c r="K237" s="248">
        <f t="shared" si="87"/>
        <v>-2907.0300000000279</v>
      </c>
      <c r="L237" s="171">
        <f t="shared" si="83"/>
        <v>-8.0678849870616208E-3</v>
      </c>
      <c r="M237" s="249">
        <f t="shared" si="88"/>
        <v>-42585.830000000016</v>
      </c>
      <c r="N237" s="250">
        <f t="shared" si="84"/>
        <v>-0.10646457500000005</v>
      </c>
      <c r="O237" s="183">
        <f t="shared" si="79"/>
        <v>-0.11437113534926477</v>
      </c>
      <c r="P237" s="249" t="b">
        <f t="shared" si="89"/>
        <v>0</v>
      </c>
      <c r="Q237" s="250">
        <f>COUNTIF(P$2:P237, TRUE)/(COUNTIF(P$2:P237,FALSE) + COUNTIF(P$2:P237, TRUE))</f>
        <v>0.48728813559322032</v>
      </c>
      <c r="R237" s="248">
        <v>316131.83</v>
      </c>
      <c r="S237" s="248">
        <f t="shared" ref="S237:S242" si="90">I237-R237</f>
        <v>41282.339999999967</v>
      </c>
      <c r="T237" s="248">
        <v>-58740</v>
      </c>
      <c r="U237" s="248">
        <f t="shared" ref="U237:U242" si="91">M237-T237</f>
        <v>16154.169999999984</v>
      </c>
      <c r="V237" s="250">
        <f>STDEV(D$2:D237)*SQRT(252)</f>
        <v>0.17574477489002999</v>
      </c>
      <c r="W237" s="250">
        <f>STDEV(L$2:L237)*SQRT(252)</f>
        <v>0.37456834740512818</v>
      </c>
      <c r="X237" s="174">
        <f t="shared" si="82"/>
        <v>-0.30534116441388054</v>
      </c>
    </row>
    <row r="238" spans="1:24" ht="20.100000000000001" customHeight="1" x14ac:dyDescent="0.25">
      <c r="A238" s="163">
        <f t="shared" si="78"/>
        <v>343</v>
      </c>
      <c r="B238" s="172">
        <v>42576</v>
      </c>
      <c r="C238" s="215">
        <v>2168.48</v>
      </c>
      <c r="D238" s="171">
        <f t="shared" si="76"/>
        <v>-3.0114527155948108E-3</v>
      </c>
      <c r="E238" s="209">
        <f t="shared" si="85"/>
        <v>3.141112231502443E-2</v>
      </c>
      <c r="F238" s="219">
        <v>5097.62</v>
      </c>
      <c r="G238" s="171">
        <f t="shared" si="70"/>
        <v>-4.9802359141673275E-4</v>
      </c>
      <c r="H238" s="203">
        <f t="shared" si="86"/>
        <v>1.1626765127560684E-3</v>
      </c>
      <c r="I238" s="221">
        <v>355693.78</v>
      </c>
      <c r="J238" s="173">
        <v>400000</v>
      </c>
      <c r="K238" s="173">
        <f t="shared" si="87"/>
        <v>-1720.3899999999558</v>
      </c>
      <c r="L238" s="171">
        <f t="shared" si="83"/>
        <v>-4.8134353486879262E-3</v>
      </c>
      <c r="M238" s="182">
        <f t="shared" si="88"/>
        <v>-44306.219999999972</v>
      </c>
      <c r="N238" s="184">
        <f t="shared" si="84"/>
        <v>-0.11076554999999993</v>
      </c>
      <c r="O238" s="183">
        <f t="shared" si="79"/>
        <v>-0.11795077882653054</v>
      </c>
      <c r="P238" s="182" t="b">
        <f t="shared" si="89"/>
        <v>0</v>
      </c>
      <c r="Q238" s="184">
        <f>COUNTIF(P$2:P238, TRUE)/(COUNTIF(P$2:P238,FALSE) + COUNTIF(P$2:P238, TRUE))</f>
        <v>0.48523206751054854</v>
      </c>
      <c r="R238" s="173">
        <v>311346.09000000003</v>
      </c>
      <c r="S238" s="173">
        <f t="shared" si="90"/>
        <v>44347.69</v>
      </c>
      <c r="T238" s="173">
        <v>-60287</v>
      </c>
      <c r="U238" s="173">
        <f t="shared" si="91"/>
        <v>15980.780000000028</v>
      </c>
      <c r="V238" s="184">
        <f>STDEV(D$2:D238)*SQRT(252)</f>
        <v>0.17540195592552774</v>
      </c>
      <c r="W238" s="184">
        <f>STDEV(L$2:L238)*SQRT(252)</f>
        <v>0.37380634336339558</v>
      </c>
      <c r="X238" s="174">
        <f t="shared" si="82"/>
        <v>-0.3155398000077938</v>
      </c>
    </row>
    <row r="239" spans="1:24" ht="20.100000000000001" customHeight="1" x14ac:dyDescent="0.25">
      <c r="A239" s="163">
        <f t="shared" si="78"/>
        <v>344</v>
      </c>
      <c r="B239" s="172">
        <v>42577</v>
      </c>
      <c r="C239" s="215">
        <v>2169.1799999999998</v>
      </c>
      <c r="D239" s="171">
        <f t="shared" si="76"/>
        <v>3.2280675865113727E-4</v>
      </c>
      <c r="E239" s="209">
        <f t="shared" si="85"/>
        <v>3.1744068796255673E-2</v>
      </c>
      <c r="F239" s="219">
        <v>5110.04</v>
      </c>
      <c r="G239" s="171">
        <f t="shared" si="70"/>
        <v>2.4364311188358632E-3</v>
      </c>
      <c r="H239" s="203">
        <f t="shared" si="86"/>
        <v>3.60194041282875E-3</v>
      </c>
      <c r="I239" s="221">
        <v>360934.05</v>
      </c>
      <c r="J239" s="173">
        <v>400000</v>
      </c>
      <c r="K239" s="173">
        <f t="shared" si="87"/>
        <v>5240.2699999999604</v>
      </c>
      <c r="L239" s="171">
        <f t="shared" si="83"/>
        <v>1.4732532011102247E-2</v>
      </c>
      <c r="M239" s="182">
        <f t="shared" si="88"/>
        <v>-39065.950000000012</v>
      </c>
      <c r="N239" s="184">
        <f t="shared" si="84"/>
        <v>-9.7664875000000026E-2</v>
      </c>
      <c r="O239" s="183">
        <f t="shared" si="79"/>
        <v>-0.10369795230741281</v>
      </c>
      <c r="P239" s="182" t="b">
        <f t="shared" si="89"/>
        <v>1</v>
      </c>
      <c r="Q239" s="184">
        <f>COUNTIF(P$2:P239, TRUE)/(COUNTIF(P$2:P239,FALSE) + COUNTIF(P$2:P239, TRUE))</f>
        <v>0.48739495798319327</v>
      </c>
      <c r="R239" s="173">
        <v>295609.99</v>
      </c>
      <c r="S239" s="173">
        <f t="shared" si="90"/>
        <v>65324.06</v>
      </c>
      <c r="T239" s="173">
        <v>-55468</v>
      </c>
      <c r="U239" s="173">
        <f t="shared" si="91"/>
        <v>16402.049999999988</v>
      </c>
      <c r="V239" s="184">
        <f>STDEV(D$2:D239)*SQRT(252)</f>
        <v>0.17502999912472075</v>
      </c>
      <c r="W239" s="184">
        <f>STDEV(L$2:L239)*SQRT(252)</f>
        <v>0.37331560015373266</v>
      </c>
      <c r="X239" s="174">
        <f t="shared" si="82"/>
        <v>-0.27777556647702273</v>
      </c>
    </row>
    <row r="240" spans="1:24" ht="20.100000000000001" customHeight="1" x14ac:dyDescent="0.25">
      <c r="A240" s="163">
        <f t="shared" si="78"/>
        <v>345</v>
      </c>
      <c r="B240" s="172">
        <v>42578</v>
      </c>
      <c r="C240" s="215">
        <v>2166.58</v>
      </c>
      <c r="D240" s="171">
        <f t="shared" si="76"/>
        <v>-1.1986096128490532E-3</v>
      </c>
      <c r="E240" s="209">
        <f t="shared" si="85"/>
        <v>3.0507410437396486E-2</v>
      </c>
      <c r="F240" s="219">
        <v>5139.8100000000004</v>
      </c>
      <c r="G240" s="171">
        <f t="shared" si="70"/>
        <v>5.8257860995218113E-3</v>
      </c>
      <c r="H240" s="203">
        <f t="shared" si="86"/>
        <v>9.4487106467389254E-3</v>
      </c>
      <c r="I240" s="221">
        <f>351218.55-2.4</f>
        <v>351216.14999999997</v>
      </c>
      <c r="J240" s="173">
        <v>400000</v>
      </c>
      <c r="K240" s="173">
        <f t="shared" si="87"/>
        <v>-9717.9000000000233</v>
      </c>
      <c r="L240" s="171">
        <f t="shared" si="83"/>
        <v>-2.6924309302488982E-2</v>
      </c>
      <c r="M240" s="182">
        <f t="shared" si="88"/>
        <v>-48783.850000000035</v>
      </c>
      <c r="N240" s="184">
        <f t="shared" si="84"/>
        <v>-0.12195962500000009</v>
      </c>
      <c r="O240" s="183">
        <f t="shared" si="79"/>
        <v>-0.12911812472826095</v>
      </c>
      <c r="P240" s="182" t="b">
        <f t="shared" si="89"/>
        <v>0</v>
      </c>
      <c r="Q240" s="184">
        <f>COUNTIF(P$2:P240, TRUE)/(COUNTIF(P$2:P240,FALSE) + COUNTIF(P$2:P240, TRUE))</f>
        <v>0.48535564853556484</v>
      </c>
      <c r="R240" s="173">
        <v>295103.78999999998</v>
      </c>
      <c r="S240" s="173">
        <f t="shared" si="90"/>
        <v>56112.359999999986</v>
      </c>
      <c r="T240" s="173">
        <v>-64415</v>
      </c>
      <c r="U240" s="173">
        <f t="shared" si="91"/>
        <v>15631.149999999965</v>
      </c>
      <c r="V240" s="184">
        <f>STDEV(D$2:D240)*SQRT(252)</f>
        <v>0.17466621287076281</v>
      </c>
      <c r="W240" s="184">
        <f>STDEV(L$2:L240)*SQRT(252)</f>
        <v>0.37357383869513988</v>
      </c>
      <c r="X240" s="174">
        <f t="shared" si="82"/>
        <v>-0.34562946157915941</v>
      </c>
    </row>
    <row r="241" spans="1:24" ht="20.100000000000001" customHeight="1" x14ac:dyDescent="0.25">
      <c r="A241" s="163">
        <f t="shared" si="78"/>
        <v>346</v>
      </c>
      <c r="B241" s="172">
        <v>42579</v>
      </c>
      <c r="C241" s="215">
        <v>2170.06</v>
      </c>
      <c r="D241" s="171">
        <f t="shared" si="76"/>
        <v>1.6062180948776498E-3</v>
      </c>
      <c r="E241" s="209">
        <f t="shared" si="85"/>
        <v>3.2162630086946545E-2</v>
      </c>
      <c r="F241" s="219">
        <v>5154.9799999999996</v>
      </c>
      <c r="G241" s="171">
        <f t="shared" si="70"/>
        <v>2.9514709687710563E-3</v>
      </c>
      <c r="H241" s="203">
        <f t="shared" si="86"/>
        <v>1.2428069210676148E-2</v>
      </c>
      <c r="I241" s="221">
        <v>351887.73</v>
      </c>
      <c r="J241" s="173">
        <v>400000</v>
      </c>
      <c r="K241" s="173">
        <f t="shared" si="87"/>
        <v>671.5800000000163</v>
      </c>
      <c r="L241" s="171">
        <f t="shared" si="83"/>
        <v>1.9121558049082206E-3</v>
      </c>
      <c r="M241" s="182">
        <f t="shared" si="88"/>
        <v>-48112.270000000019</v>
      </c>
      <c r="N241" s="184">
        <f t="shared" si="84"/>
        <v>-0.12028067500000005</v>
      </c>
      <c r="O241" s="183">
        <f t="shared" si="79"/>
        <v>-0.12697259116690757</v>
      </c>
      <c r="P241" s="182" t="b">
        <f t="shared" si="89"/>
        <v>1</v>
      </c>
      <c r="Q241" s="184">
        <f>COUNTIF(P$2:P241, TRUE)/(COUNTIF(P$2:P241,FALSE) + COUNTIF(P$2:P241, TRUE))</f>
        <v>0.48749999999999999</v>
      </c>
      <c r="R241" s="173">
        <v>306491.34999999998</v>
      </c>
      <c r="S241" s="173">
        <f t="shared" si="90"/>
        <v>45396.380000000005</v>
      </c>
      <c r="T241" s="173">
        <v>-63248</v>
      </c>
      <c r="U241" s="173">
        <f t="shared" si="91"/>
        <v>15135.729999999981</v>
      </c>
      <c r="V241" s="184">
        <f>STDEV(D$2:D241)*SQRT(252)</f>
        <v>0.17430497581384302</v>
      </c>
      <c r="W241" s="184">
        <f>STDEV(L$2:L241)*SQRT(252)</f>
        <v>0.37279274055236694</v>
      </c>
      <c r="X241" s="174">
        <f t="shared" si="82"/>
        <v>-0.34059834689584434</v>
      </c>
    </row>
    <row r="242" spans="1:24" ht="20.100000000000001" customHeight="1" x14ac:dyDescent="0.25">
      <c r="A242" s="163">
        <f t="shared" si="78"/>
        <v>347</v>
      </c>
      <c r="B242" s="172">
        <v>42580</v>
      </c>
      <c r="C242" s="215">
        <v>2173.6</v>
      </c>
      <c r="D242" s="171">
        <f t="shared" si="76"/>
        <v>1.6312913007013464E-3</v>
      </c>
      <c r="E242" s="209">
        <f t="shared" si="85"/>
        <v>3.3846388006316397E-2</v>
      </c>
      <c r="F242" s="219">
        <v>5162.13</v>
      </c>
      <c r="G242" s="171">
        <f t="shared" si="70"/>
        <v>1.3870082910119044E-3</v>
      </c>
      <c r="H242" s="203">
        <f t="shared" si="86"/>
        <v>1.3832315336724531E-2</v>
      </c>
      <c r="I242" s="415">
        <v>352850.19</v>
      </c>
      <c r="J242" s="173">
        <v>400000</v>
      </c>
      <c r="K242" s="173">
        <f t="shared" si="87"/>
        <v>962.46000000002095</v>
      </c>
      <c r="L242" s="171">
        <f t="shared" si="83"/>
        <v>2.7351337314319569E-3</v>
      </c>
      <c r="M242" s="182">
        <f t="shared" si="88"/>
        <v>-47149.81</v>
      </c>
      <c r="N242" s="184">
        <f t="shared" si="84"/>
        <v>-0.11787452499999999</v>
      </c>
      <c r="O242" s="183">
        <f t="shared" si="79"/>
        <v>-0.12407397768371757</v>
      </c>
      <c r="P242" s="182" t="b">
        <f t="shared" si="89"/>
        <v>1</v>
      </c>
      <c r="Q242" s="184">
        <f>COUNTIF(P$2:P242, TRUE)/(COUNTIF(P$2:P242,FALSE) + COUNTIF(P$2:P242, TRUE))</f>
        <v>0.48962655601659749</v>
      </c>
      <c r="R242" s="173">
        <v>298371.77</v>
      </c>
      <c r="S242" s="173">
        <f t="shared" si="90"/>
        <v>54478.419999999984</v>
      </c>
      <c r="T242" s="173">
        <v>-61571</v>
      </c>
      <c r="U242" s="173">
        <f t="shared" si="91"/>
        <v>14421.190000000002</v>
      </c>
      <c r="V242" s="184">
        <f>STDEV(D$2:D242)*SQRT(252)</f>
        <v>0.173946186031568</v>
      </c>
      <c r="W242" s="184">
        <f>STDEV(L$2:L242)*SQRT(252)</f>
        <v>0.37202162492103208</v>
      </c>
      <c r="X242" s="174">
        <f t="shared" si="82"/>
        <v>-0.33351281047184927</v>
      </c>
    </row>
    <row r="243" spans="1:24" ht="20.100000000000001" customHeight="1" x14ac:dyDescent="0.25">
      <c r="A243" s="163">
        <f t="shared" si="78"/>
        <v>350</v>
      </c>
      <c r="B243" s="242">
        <v>42583</v>
      </c>
      <c r="C243" s="243">
        <v>2170.84</v>
      </c>
      <c r="D243" s="171">
        <f t="shared" si="76"/>
        <v>-1.2697828487301084E-3</v>
      </c>
      <c r="E243" s="244">
        <f t="shared" si="85"/>
        <v>3.253362759460441E-2</v>
      </c>
      <c r="F243" s="245">
        <v>5184.1899999999996</v>
      </c>
      <c r="G243" s="171">
        <f t="shared" si="70"/>
        <v>4.2734297663947806E-3</v>
      </c>
      <c r="H243" s="246">
        <f t="shared" si="86"/>
        <v>1.8164856531217428E-2</v>
      </c>
      <c r="I243" s="247">
        <v>345131.68</v>
      </c>
      <c r="J243" s="248">
        <v>400000</v>
      </c>
      <c r="K243" s="248">
        <f t="shared" si="87"/>
        <v>-7718.5100000000093</v>
      </c>
      <c r="L243" s="171">
        <f t="shared" si="83"/>
        <v>-2.1874750868066725E-2</v>
      </c>
      <c r="M243" s="249">
        <f t="shared" si="88"/>
        <v>-54868.320000000007</v>
      </c>
      <c r="N243" s="250">
        <f t="shared" si="84"/>
        <v>-0.13717080000000001</v>
      </c>
      <c r="O243" s="183">
        <f t="shared" si="79"/>
        <v>-0.14314752771428574</v>
      </c>
      <c r="P243" s="249" t="b">
        <f t="shared" si="89"/>
        <v>0</v>
      </c>
      <c r="Q243" s="250">
        <f>COUNTIF(P$2:P243, TRUE)/(COUNTIF(P$2:P243,FALSE) + COUNTIF(P$2:P243, TRUE))</f>
        <v>0.48760330578512395</v>
      </c>
      <c r="R243" s="248">
        <v>293278.65999999997</v>
      </c>
      <c r="S243" s="248">
        <f t="shared" ref="S243:S251" si="92">I243-R243</f>
        <v>51853.020000000019</v>
      </c>
      <c r="T243" s="248">
        <v>-69701</v>
      </c>
      <c r="U243" s="248">
        <f t="shared" ref="U243:U251" si="93">M243-T243</f>
        <v>14832.679999999993</v>
      </c>
      <c r="V243" s="250">
        <f>STDEV(D$2:D243)*SQRT(252)</f>
        <v>0.17358991388387063</v>
      </c>
      <c r="W243" s="250">
        <f>STDEV(L$2:L243)*SQRT(252)</f>
        <v>0.37192751121581696</v>
      </c>
      <c r="X243" s="174">
        <f t="shared" si="82"/>
        <v>-0.38488018067376056</v>
      </c>
    </row>
    <row r="244" spans="1:24" ht="20.100000000000001" customHeight="1" x14ac:dyDescent="0.25">
      <c r="A244" s="163">
        <f t="shared" si="78"/>
        <v>351</v>
      </c>
      <c r="B244" s="242">
        <v>42584</v>
      </c>
      <c r="C244" s="243">
        <v>2157.0300000000002</v>
      </c>
      <c r="D244" s="171">
        <f t="shared" si="76"/>
        <v>-6.3615927475078517E-3</v>
      </c>
      <c r="E244" s="244">
        <f t="shared" si="85"/>
        <v>2.5965069157740599E-2</v>
      </c>
      <c r="F244" s="245">
        <v>5137.7299999999996</v>
      </c>
      <c r="G244" s="171">
        <f t="shared" si="70"/>
        <v>-8.9618628946855801E-3</v>
      </c>
      <c r="H244" s="246">
        <f t="shared" si="86"/>
        <v>9.0402026827974442E-3</v>
      </c>
      <c r="I244" s="247">
        <v>341216.81</v>
      </c>
      <c r="J244" s="248">
        <v>400000</v>
      </c>
      <c r="K244" s="248">
        <f t="shared" si="87"/>
        <v>-3914.8699999999953</v>
      </c>
      <c r="L244" s="171">
        <f t="shared" si="83"/>
        <v>-1.1343119820237875E-2</v>
      </c>
      <c r="M244" s="249">
        <f t="shared" si="88"/>
        <v>-58783.19</v>
      </c>
      <c r="N244" s="250">
        <f t="shared" si="84"/>
        <v>-0.14695797500000002</v>
      </c>
      <c r="O244" s="183">
        <f t="shared" si="79"/>
        <v>-0.15292421757478633</v>
      </c>
      <c r="P244" s="249" t="b">
        <f t="shared" si="89"/>
        <v>0</v>
      </c>
      <c r="Q244" s="250">
        <f>COUNTIF(P$2:P244, TRUE)/(COUNTIF(P$2:P244,FALSE) + COUNTIF(P$2:P244, TRUE))</f>
        <v>0.48559670781893005</v>
      </c>
      <c r="R244" s="248">
        <v>294933.84999999998</v>
      </c>
      <c r="S244" s="248">
        <f t="shared" si="92"/>
        <v>46282.960000000021</v>
      </c>
      <c r="T244" s="248">
        <v>-70463</v>
      </c>
      <c r="U244" s="248">
        <f t="shared" si="93"/>
        <v>11679.809999999998</v>
      </c>
      <c r="V244" s="250">
        <f>STDEV(D$2:D244)*SQRT(252)</f>
        <v>0.17335845617207907</v>
      </c>
      <c r="W244" s="250">
        <f>STDEV(L$2:L244)*SQRT(252)</f>
        <v>0.37133699496327655</v>
      </c>
      <c r="X244" s="174">
        <f t="shared" si="82"/>
        <v>-0.41182058251403098</v>
      </c>
    </row>
    <row r="245" spans="1:24" ht="20.100000000000001" customHeight="1" x14ac:dyDescent="0.25">
      <c r="A245" s="163">
        <f t="shared" si="78"/>
        <v>352</v>
      </c>
      <c r="B245" s="242">
        <v>42585</v>
      </c>
      <c r="C245" s="243">
        <v>2163.79</v>
      </c>
      <c r="D245" s="171">
        <f t="shared" si="76"/>
        <v>3.1339387954732955E-3</v>
      </c>
      <c r="E245" s="244">
        <f t="shared" si="85"/>
        <v>2.9180380890774484E-2</v>
      </c>
      <c r="F245" s="245">
        <v>5159.7299999999996</v>
      </c>
      <c r="G245" s="171">
        <f t="shared" si="70"/>
        <v>4.2820467404865578E-3</v>
      </c>
      <c r="H245" s="246">
        <f t="shared" si="86"/>
        <v>1.3360959993715213E-2</v>
      </c>
      <c r="I245" s="247">
        <v>347416.57</v>
      </c>
      <c r="J245" s="248">
        <v>400000</v>
      </c>
      <c r="K245" s="248">
        <f t="shared" si="87"/>
        <v>6199.7600000000093</v>
      </c>
      <c r="L245" s="171">
        <f t="shared" si="83"/>
        <v>1.8169562044730473E-2</v>
      </c>
      <c r="M245" s="249">
        <f t="shared" si="88"/>
        <v>-52583.429999999993</v>
      </c>
      <c r="N245" s="250">
        <f t="shared" si="84"/>
        <v>-0.13145857499999999</v>
      </c>
      <c r="O245" s="183">
        <f t="shared" si="79"/>
        <v>-0.13640694465553976</v>
      </c>
      <c r="P245" s="249" t="b">
        <f t="shared" si="89"/>
        <v>1</v>
      </c>
      <c r="Q245" s="250">
        <f>COUNTIF(P$2:P245, TRUE)/(COUNTIF(P$2:P245,FALSE) + COUNTIF(P$2:P245, TRUE))</f>
        <v>0.48770491803278687</v>
      </c>
      <c r="R245" s="248">
        <v>306485.61</v>
      </c>
      <c r="S245" s="248">
        <f t="shared" si="92"/>
        <v>40930.960000000021</v>
      </c>
      <c r="T245" s="248">
        <v>-64757</v>
      </c>
      <c r="U245" s="248">
        <f t="shared" si="93"/>
        <v>12173.570000000007</v>
      </c>
      <c r="V245" s="250">
        <f>STDEV(D$2:D245)*SQRT(252)</f>
        <v>0.17302631654204345</v>
      </c>
      <c r="W245" s="250">
        <f>STDEV(L$2:L245)*SQRT(252)</f>
        <v>0.37103067638911486</v>
      </c>
      <c r="X245" s="174">
        <f t="shared" si="82"/>
        <v>-0.36764330643238863</v>
      </c>
    </row>
    <row r="246" spans="1:24" ht="20.100000000000001" customHeight="1" x14ac:dyDescent="0.25">
      <c r="A246" s="163">
        <f t="shared" si="78"/>
        <v>353</v>
      </c>
      <c r="B246" s="242">
        <v>42586</v>
      </c>
      <c r="C246" s="243">
        <v>2164.25</v>
      </c>
      <c r="D246" s="171">
        <f t="shared" si="76"/>
        <v>2.1258994634416298E-4</v>
      </c>
      <c r="E246" s="244">
        <f t="shared" si="85"/>
        <v>2.939917429272652E-2</v>
      </c>
      <c r="F246" s="245">
        <v>5166.24</v>
      </c>
      <c r="G246" s="171">
        <f t="shared" si="70"/>
        <v>1.2616939258449993E-3</v>
      </c>
      <c r="H246" s="246">
        <f t="shared" si="86"/>
        <v>1.4639511361627741E-2</v>
      </c>
      <c r="I246" s="247">
        <v>348668.66</v>
      </c>
      <c r="J246" s="248">
        <v>400000</v>
      </c>
      <c r="K246" s="248">
        <f t="shared" si="87"/>
        <v>1252.0899999999674</v>
      </c>
      <c r="L246" s="171">
        <f t="shared" si="83"/>
        <v>3.6040019622551895E-3</v>
      </c>
      <c r="M246" s="249">
        <f t="shared" si="88"/>
        <v>-51331.340000000026</v>
      </c>
      <c r="N246" s="250">
        <f t="shared" si="84"/>
        <v>-0.12832835000000006</v>
      </c>
      <c r="O246" s="183">
        <f t="shared" si="79"/>
        <v>-0.13278167092776211</v>
      </c>
      <c r="P246" s="249" t="b">
        <f t="shared" si="89"/>
        <v>1</v>
      </c>
      <c r="Q246" s="250">
        <f>COUNTIF(P$2:P246, TRUE)/(COUNTIF(P$2:P246,FALSE) + COUNTIF(P$2:P246, TRUE))</f>
        <v>0.48979591836734693</v>
      </c>
      <c r="R246" s="248">
        <v>306486.61</v>
      </c>
      <c r="S246" s="248">
        <f t="shared" si="92"/>
        <v>42182.049999999988</v>
      </c>
      <c r="T246" s="248">
        <v>-64756</v>
      </c>
      <c r="U246" s="248">
        <f t="shared" si="93"/>
        <v>13424.659999999974</v>
      </c>
      <c r="V246" s="250">
        <f>STDEV(D$2:D246)*SQRT(252)</f>
        <v>0.1726699319358726</v>
      </c>
      <c r="W246" s="250">
        <f>STDEV(L$2:L246)*SQRT(252)</f>
        <v>0.37028383202660053</v>
      </c>
      <c r="X246" s="174">
        <f t="shared" si="82"/>
        <v>-0.3585942983279467</v>
      </c>
    </row>
    <row r="247" spans="1:24" ht="20.100000000000001" customHeight="1" x14ac:dyDescent="0.25">
      <c r="A247" s="163">
        <f t="shared" si="78"/>
        <v>354</v>
      </c>
      <c r="B247" s="242">
        <v>42587</v>
      </c>
      <c r="C247" s="243">
        <v>2182.87</v>
      </c>
      <c r="D247" s="171">
        <f t="shared" si="76"/>
        <v>8.6034423010280196E-3</v>
      </c>
      <c r="E247" s="244">
        <f t="shared" si="85"/>
        <v>3.8255550693479877E-2</v>
      </c>
      <c r="F247" s="245">
        <v>5221.12</v>
      </c>
      <c r="G247" s="171">
        <f t="shared" si="70"/>
        <v>1.0622812722599049E-2</v>
      </c>
      <c r="H247" s="246">
        <f t="shared" si="86"/>
        <v>2.5417836871771723E-2</v>
      </c>
      <c r="I247" s="247">
        <v>357514.04</v>
      </c>
      <c r="J247" s="248">
        <v>400000</v>
      </c>
      <c r="K247" s="248">
        <f t="shared" si="87"/>
        <v>8845.3800000000047</v>
      </c>
      <c r="L247" s="171">
        <f t="shared" si="83"/>
        <v>2.5369013664721128E-2</v>
      </c>
      <c r="M247" s="249">
        <f t="shared" si="88"/>
        <v>-42485.960000000021</v>
      </c>
      <c r="N247" s="250">
        <f t="shared" si="84"/>
        <v>-0.10621490000000006</v>
      </c>
      <c r="O247" s="183">
        <f t="shared" si="79"/>
        <v>-0.10959037351694921</v>
      </c>
      <c r="P247" s="249" t="b">
        <f t="shared" si="89"/>
        <v>1</v>
      </c>
      <c r="Q247" s="250">
        <f>COUNTIF(P$2:P247, TRUE)/(COUNTIF(P$2:P247,FALSE) + COUNTIF(P$2:P247, TRUE))</f>
        <v>0.491869918699187</v>
      </c>
      <c r="R247" s="248">
        <v>296324.56</v>
      </c>
      <c r="S247" s="248">
        <f t="shared" si="92"/>
        <v>61189.479999999981</v>
      </c>
      <c r="T247" s="248">
        <v>-56695</v>
      </c>
      <c r="U247" s="248">
        <f t="shared" si="93"/>
        <v>14209.039999999979</v>
      </c>
      <c r="V247" s="250">
        <f>STDEV(D$2:D247)*SQRT(252)</f>
        <v>0.17252748561218473</v>
      </c>
      <c r="W247" s="250">
        <f>STDEV(L$2:L247)*SQRT(252)</f>
        <v>0.37041269754030803</v>
      </c>
      <c r="X247" s="174">
        <f t="shared" si="82"/>
        <v>-0.29586019659875096</v>
      </c>
    </row>
    <row r="248" spans="1:24" ht="20.100000000000001" customHeight="1" x14ac:dyDescent="0.25">
      <c r="A248" s="163">
        <f t="shared" si="78"/>
        <v>357</v>
      </c>
      <c r="B248" s="172">
        <v>42590</v>
      </c>
      <c r="C248" s="215">
        <v>2180.89</v>
      </c>
      <c r="D248" s="171">
        <f t="shared" si="76"/>
        <v>-9.0706272018032145E-4</v>
      </c>
      <c r="E248" s="209">
        <f t="shared" si="85"/>
        <v>3.7313787789425533E-2</v>
      </c>
      <c r="F248" s="219">
        <v>5213.1400000000003</v>
      </c>
      <c r="G248" s="171">
        <f t="shared" si="70"/>
        <v>-1.528407697965104E-3</v>
      </c>
      <c r="H248" s="203">
        <f t="shared" si="86"/>
        <v>2.3850580356266179E-2</v>
      </c>
      <c r="I248" s="221">
        <v>360717.48</v>
      </c>
      <c r="J248" s="173">
        <v>400000</v>
      </c>
      <c r="K248" s="173">
        <f t="shared" si="87"/>
        <v>3203.4400000000023</v>
      </c>
      <c r="L248" s="171">
        <f>K248/I247</f>
        <v>8.9603194324899878E-3</v>
      </c>
      <c r="M248" s="182">
        <f t="shared" si="88"/>
        <v>-39282.520000000019</v>
      </c>
      <c r="N248" s="184">
        <f t="shared" si="84"/>
        <v>-9.8206300000000052E-2</v>
      </c>
      <c r="O248" s="183">
        <f t="shared" si="79"/>
        <v>-0.10047577331932778</v>
      </c>
      <c r="P248" s="182" t="b">
        <f t="shared" si="89"/>
        <v>1</v>
      </c>
      <c r="Q248" s="184">
        <f>COUNTIF(P$2:P248, TRUE)/(COUNTIF(P$2:P248,FALSE) + COUNTIF(P$2:P248, TRUE))</f>
        <v>0.49392712550607287</v>
      </c>
      <c r="R248" s="173">
        <v>306053.2</v>
      </c>
      <c r="S248" s="173">
        <f t="shared" si="92"/>
        <v>54664.27999999997</v>
      </c>
      <c r="T248" s="173">
        <v>-53403</v>
      </c>
      <c r="U248" s="173">
        <f t="shared" si="93"/>
        <v>14120.479999999981</v>
      </c>
      <c r="V248" s="184">
        <f>STDEV(D$2:D248)*SQRT(252)</f>
        <v>0.17217875518634856</v>
      </c>
      <c r="W248" s="184">
        <f>STDEV(L$2:L248)*SQRT(252)</f>
        <v>0.36976250802064314</v>
      </c>
      <c r="X248" s="174">
        <f t="shared" si="82"/>
        <v>-0.27173055985902822</v>
      </c>
    </row>
    <row r="249" spans="1:24" ht="20.100000000000001" customHeight="1" x14ac:dyDescent="0.25">
      <c r="A249" s="163">
        <f t="shared" si="78"/>
        <v>358</v>
      </c>
      <c r="B249" s="172">
        <v>42591</v>
      </c>
      <c r="C249" s="215">
        <v>2181.89</v>
      </c>
      <c r="D249" s="171">
        <f t="shared" si="76"/>
        <v>4.5852839895638939E-4</v>
      </c>
      <c r="E249" s="209">
        <f t="shared" si="85"/>
        <v>3.7789425619756005E-2</v>
      </c>
      <c r="F249" s="219">
        <v>5214.1400000000003</v>
      </c>
      <c r="G249" s="171">
        <f t="shared" si="70"/>
        <v>1.9182297041706148E-4</v>
      </c>
      <c r="H249" s="203">
        <f t="shared" si="86"/>
        <v>2.4046978415853352E-2</v>
      </c>
      <c r="I249" s="221">
        <v>360792.14</v>
      </c>
      <c r="J249" s="173">
        <v>400000</v>
      </c>
      <c r="K249" s="173">
        <f t="shared" si="87"/>
        <v>74.660000000032596</v>
      </c>
      <c r="L249" s="171">
        <f t="shared" ref="L249:L260" si="94">K249/I248</f>
        <v>2.0697638495376658E-4</v>
      </c>
      <c r="M249" s="182">
        <f t="shared" si="88"/>
        <v>-39207.859999999986</v>
      </c>
      <c r="N249" s="184">
        <f t="shared" si="84"/>
        <v>-9.8019649999999958E-2</v>
      </c>
      <c r="O249" s="183">
        <f t="shared" si="79"/>
        <v>-0.10000468481145247</v>
      </c>
      <c r="P249" s="182" t="b">
        <f t="shared" si="89"/>
        <v>0</v>
      </c>
      <c r="Q249" s="184">
        <f>COUNTIF(P$2:P249, TRUE)/(COUNTIF(P$2:P249,FALSE) + COUNTIF(P$2:P249, TRUE))</f>
        <v>0.49193548387096775</v>
      </c>
      <c r="R249" s="173">
        <v>312485.65999999997</v>
      </c>
      <c r="S249" s="173">
        <f t="shared" si="92"/>
        <v>48306.48000000004</v>
      </c>
      <c r="T249" s="173">
        <v>-52872</v>
      </c>
      <c r="U249" s="173">
        <f t="shared" si="93"/>
        <v>13664.140000000014</v>
      </c>
      <c r="V249" s="184">
        <f>STDEV(D$2:D249)*SQRT(252)</f>
        <v>0.17182862889451342</v>
      </c>
      <c r="W249" s="184">
        <f>STDEV(L$2:L249)*SQRT(252)</f>
        <v>0.36901019344056429</v>
      </c>
      <c r="X249" s="174">
        <f t="shared" si="82"/>
        <v>-0.27100791953477571</v>
      </c>
    </row>
    <row r="250" spans="1:24" ht="20.100000000000001" customHeight="1" x14ac:dyDescent="0.25">
      <c r="A250" s="163">
        <f t="shared" si="78"/>
        <v>359</v>
      </c>
      <c r="B250" s="172">
        <v>42592</v>
      </c>
      <c r="C250" s="215">
        <v>2175.4899999999998</v>
      </c>
      <c r="D250" s="171">
        <f t="shared" si="76"/>
        <v>-2.9332367809560022E-3</v>
      </c>
      <c r="E250" s="209">
        <f t="shared" si="85"/>
        <v>3.4745343505640937E-2</v>
      </c>
      <c r="F250" s="219">
        <v>5204.58</v>
      </c>
      <c r="G250" s="171">
        <f t="shared" si="70"/>
        <v>-1.8334758943949338E-3</v>
      </c>
      <c r="H250" s="203">
        <f t="shared" si="86"/>
        <v>2.2169412966199915E-2</v>
      </c>
      <c r="I250" s="221">
        <v>354430.79</v>
      </c>
      <c r="J250" s="173">
        <v>400000</v>
      </c>
      <c r="K250" s="173">
        <f t="shared" si="87"/>
        <v>-6361.3500000000349</v>
      </c>
      <c r="L250" s="171">
        <f t="shared" si="94"/>
        <v>-1.7631620245385709E-2</v>
      </c>
      <c r="M250" s="182">
        <f t="shared" si="88"/>
        <v>-45569.210000000021</v>
      </c>
      <c r="N250" s="184">
        <f t="shared" si="84"/>
        <v>-0.11392302500000005</v>
      </c>
      <c r="O250" s="183">
        <f t="shared" si="79"/>
        <v>-0.11590636457172708</v>
      </c>
      <c r="P250" s="182" t="b">
        <f t="shared" si="89"/>
        <v>0</v>
      </c>
      <c r="Q250" s="184">
        <f>COUNTIF(P$2:P250, TRUE)/(COUNTIF(P$2:P250,FALSE) + COUNTIF(P$2:P250, TRUE))</f>
        <v>0.48995983935742971</v>
      </c>
      <c r="R250" s="173">
        <v>304644.53999999998</v>
      </c>
      <c r="S250" s="173">
        <f t="shared" si="92"/>
        <v>49786.25</v>
      </c>
      <c r="T250" s="173">
        <v>-58573</v>
      </c>
      <c r="U250" s="173">
        <f t="shared" si="93"/>
        <v>13003.789999999979</v>
      </c>
      <c r="V250" s="184">
        <f>STDEV(D$2:D250)*SQRT(252)</f>
        <v>0.17150968940597233</v>
      </c>
      <c r="W250" s="184">
        <f>STDEV(L$2:L250)*SQRT(252)</f>
        <v>0.36870219429475543</v>
      </c>
      <c r="X250" s="174">
        <f t="shared" si="82"/>
        <v>-0.31436309944786184</v>
      </c>
    </row>
    <row r="251" spans="1:24" ht="20.100000000000001" customHeight="1" x14ac:dyDescent="0.25">
      <c r="A251" s="163">
        <f>B251-$B$2</f>
        <v>364</v>
      </c>
      <c r="B251" s="242">
        <v>42597</v>
      </c>
      <c r="C251" s="243">
        <v>2190.15</v>
      </c>
      <c r="D251" s="171">
        <f t="shared" si="76"/>
        <v>6.7387117385050311E-3</v>
      </c>
      <c r="E251" s="244">
        <f t="shared" si="85"/>
        <v>4.1718194098285817E-2</v>
      </c>
      <c r="F251" s="245">
        <v>5262.01</v>
      </c>
      <c r="G251" s="171">
        <f t="shared" si="70"/>
        <v>1.1034511910663356E-2</v>
      </c>
      <c r="H251" s="246">
        <f t="shared" si="86"/>
        <v>3.3448553528291222E-2</v>
      </c>
      <c r="I251" s="247">
        <v>368660.8</v>
      </c>
      <c r="J251" s="248">
        <v>400000</v>
      </c>
      <c r="K251" s="248">
        <f t="shared" si="87"/>
        <v>14230.010000000009</v>
      </c>
      <c r="L251" s="171">
        <f t="shared" si="94"/>
        <v>4.0148910313350626E-2</v>
      </c>
      <c r="M251" s="249">
        <f t="shared" si="88"/>
        <v>-31339.200000000012</v>
      </c>
      <c r="N251" s="250">
        <f t="shared" si="84"/>
        <v>-7.8348000000000029E-2</v>
      </c>
      <c r="O251" s="183">
        <f t="shared" si="79"/>
        <v>-7.8617052197802226E-2</v>
      </c>
      <c r="P251" s="249" t="b">
        <f t="shared" si="89"/>
        <v>1</v>
      </c>
      <c r="Q251" s="250">
        <f>COUNTIF(P$2:P251, TRUE)/(COUNTIF(P$2:P251,FALSE) + COUNTIF(P$2:P251, TRUE))</f>
        <v>0.49199999999999999</v>
      </c>
      <c r="R251" s="248">
        <v>269504.8</v>
      </c>
      <c r="S251" s="248">
        <f t="shared" si="92"/>
        <v>99156</v>
      </c>
      <c r="T251" s="248">
        <v>-45515</v>
      </c>
      <c r="U251" s="248">
        <f t="shared" si="93"/>
        <v>14175.799999999988</v>
      </c>
      <c r="V251" s="250">
        <f>STDEV(D$2:D251)*SQRT(252)</f>
        <v>0.17129006286582368</v>
      </c>
      <c r="W251" s="250">
        <f>STDEV(L$2:L251)*SQRT(252)</f>
        <v>0.37015124159076757</v>
      </c>
      <c r="X251" s="174">
        <f t="shared" si="82"/>
        <v>-0.21239170199709825</v>
      </c>
    </row>
    <row r="252" spans="1:24" ht="20.100000000000001" customHeight="1" x14ac:dyDescent="0.25">
      <c r="A252" s="163">
        <f t="shared" ref="A252:A276" si="95">B252-$B$2</f>
        <v>365</v>
      </c>
      <c r="B252" s="242">
        <v>42598</v>
      </c>
      <c r="C252" s="243">
        <v>2178.15</v>
      </c>
      <c r="D252" s="171">
        <f t="shared" si="76"/>
        <v>-5.479076775563317E-3</v>
      </c>
      <c r="E252" s="244">
        <f t="shared" si="85"/>
        <v>3.6010540134320139E-2</v>
      </c>
      <c r="F252" s="245">
        <v>5227.1099999999997</v>
      </c>
      <c r="G252" s="171">
        <f t="shared" si="70"/>
        <v>-6.6324465365897338E-3</v>
      </c>
      <c r="H252" s="246">
        <f t="shared" si="86"/>
        <v>2.6594261248698837E-2</v>
      </c>
      <c r="I252" s="247">
        <f>368660.8+2262.39</f>
        <v>370923.19</v>
      </c>
      <c r="J252" s="248">
        <v>400000</v>
      </c>
      <c r="K252" s="248">
        <f t="shared" si="87"/>
        <v>2262.390000000014</v>
      </c>
      <c r="L252" s="171">
        <f t="shared" si="94"/>
        <v>6.1367793917878281E-3</v>
      </c>
      <c r="M252" s="249">
        <f t="shared" si="88"/>
        <v>-29076.809999999998</v>
      </c>
      <c r="N252" s="250">
        <f t="shared" si="84"/>
        <v>-7.2692024999999993E-2</v>
      </c>
      <c r="O252" s="183">
        <f t="shared" si="79"/>
        <v>-7.2741814058219167E-2</v>
      </c>
      <c r="P252" s="249" t="b">
        <f t="shared" si="89"/>
        <v>1</v>
      </c>
      <c r="Q252" s="250">
        <f>COUNTIF(P$2:P252, TRUE)/(COUNTIF(P$2:P252,FALSE) + COUNTIF(P$2:P252, TRUE))</f>
        <v>0.49402390438247012</v>
      </c>
      <c r="R252" s="248"/>
      <c r="S252" s="248"/>
      <c r="T252" s="248"/>
      <c r="U252" s="248"/>
      <c r="V252" s="250">
        <f>STDEV(D$2:D252)*SQRT(252)</f>
        <v>0.17104156878989371</v>
      </c>
      <c r="W252" s="250">
        <f>STDEV(L$2:L252)*SQRT(252)</f>
        <v>0.36945344751699344</v>
      </c>
      <c r="X252" s="174">
        <f t="shared" si="82"/>
        <v>-0.19689033773293813</v>
      </c>
    </row>
    <row r="253" spans="1:24" ht="20.100000000000001" customHeight="1" x14ac:dyDescent="0.25">
      <c r="A253" s="163">
        <f t="shared" si="95"/>
        <v>366</v>
      </c>
      <c r="B253" s="242">
        <v>42599</v>
      </c>
      <c r="C253" s="243">
        <v>2182.2199999999998</v>
      </c>
      <c r="D253" s="171">
        <f t="shared" si="76"/>
        <v>1.8685581801068378E-3</v>
      </c>
      <c r="E253" s="244">
        <f t="shared" si="85"/>
        <v>3.794638610376503E-2</v>
      </c>
      <c r="F253" s="245">
        <v>5228.6499999999996</v>
      </c>
      <c r="G253" s="171">
        <f t="shared" si="70"/>
        <v>2.946178672344687E-4</v>
      </c>
      <c r="H253" s="246">
        <f t="shared" si="86"/>
        <v>2.6896714260463073E-2</v>
      </c>
      <c r="I253" s="247">
        <v>375295.13</v>
      </c>
      <c r="J253" s="248">
        <v>400000</v>
      </c>
      <c r="K253" s="248">
        <f t="shared" si="87"/>
        <v>4371.9400000000023</v>
      </c>
      <c r="L253" s="171">
        <f t="shared" si="94"/>
        <v>1.1786645100296917E-2</v>
      </c>
      <c r="M253" s="249">
        <f t="shared" si="88"/>
        <v>-24704.869999999995</v>
      </c>
      <c r="N253" s="250">
        <f t="shared" si="84"/>
        <v>-6.1762174999999989E-2</v>
      </c>
      <c r="O253" s="183">
        <f t="shared" si="79"/>
        <v>-6.1635613165983594E-2</v>
      </c>
      <c r="P253" s="249" t="b">
        <f t="shared" si="89"/>
        <v>1</v>
      </c>
      <c r="Q253" s="250">
        <f>COUNTIF(P$2:P253, TRUE)/(COUNTIF(P$2:P253,FALSE) + COUNTIF(P$2:P253, TRUE))</f>
        <v>0.49603174603174605</v>
      </c>
      <c r="R253" s="248">
        <v>255293.6</v>
      </c>
      <c r="S253" s="248">
        <f t="shared" ref="S253:S284" si="96">I253-R253</f>
        <v>120001.53</v>
      </c>
      <c r="T253" s="248">
        <v>-39008</v>
      </c>
      <c r="U253" s="248">
        <f t="shared" ref="U253:U284" si="97">M253-T253</f>
        <v>14303.130000000005</v>
      </c>
      <c r="V253" s="250">
        <f>STDEV(D$2:D253)*SQRT(252)</f>
        <v>0.17070733564482474</v>
      </c>
      <c r="W253" s="250">
        <f>STDEV(L$2:L253)*SQRT(252)</f>
        <v>0.36889217852396583</v>
      </c>
      <c r="X253" s="174">
        <f t="shared" si="82"/>
        <v>-0.16708300352857525</v>
      </c>
    </row>
    <row r="254" spans="1:24" ht="20.100000000000001" customHeight="1" x14ac:dyDescent="0.25">
      <c r="A254" s="163">
        <f t="shared" si="95"/>
        <v>367</v>
      </c>
      <c r="B254" s="242">
        <v>42600</v>
      </c>
      <c r="C254" s="243">
        <v>2187.02</v>
      </c>
      <c r="D254" s="171">
        <f t="shared" si="76"/>
        <v>2.1995949079378716E-3</v>
      </c>
      <c r="E254" s="244">
        <f t="shared" si="85"/>
        <v>4.0229447689351383E-2</v>
      </c>
      <c r="F254" s="245">
        <v>5240.1400000000003</v>
      </c>
      <c r="G254" s="171">
        <f t="shared" si="70"/>
        <v>2.1975079609460745E-3</v>
      </c>
      <c r="H254" s="246">
        <f t="shared" si="86"/>
        <v>2.9153327965119807E-2</v>
      </c>
      <c r="I254" s="247">
        <v>382262.83</v>
      </c>
      <c r="J254" s="248">
        <v>400000</v>
      </c>
      <c r="K254" s="248">
        <f t="shared" si="87"/>
        <v>6967.7000000000116</v>
      </c>
      <c r="L254" s="171">
        <f t="shared" si="94"/>
        <v>1.8565921705405587E-2</v>
      </c>
      <c r="M254" s="249">
        <f t="shared" ref="M254:M259" si="98">I254-J254</f>
        <v>-17737.169999999984</v>
      </c>
      <c r="N254" s="250">
        <f t="shared" ref="N254:N285" si="99">M254/J254</f>
        <v>-4.4342924999999957E-2</v>
      </c>
      <c r="O254" s="183">
        <f t="shared" si="79"/>
        <v>-4.4131480534741106E-2</v>
      </c>
      <c r="P254" s="249" t="b">
        <f t="shared" si="89"/>
        <v>1</v>
      </c>
      <c r="Q254" s="250">
        <f>COUNTIF(P$2:P254, TRUE)/(COUNTIF(P$2:P254,FALSE) + COUNTIF(P$2:P254, TRUE))</f>
        <v>0.49802371541501977</v>
      </c>
      <c r="R254" s="248">
        <v>234684.9</v>
      </c>
      <c r="S254" s="248">
        <f t="shared" si="96"/>
        <v>147577.93000000002</v>
      </c>
      <c r="T254" s="248">
        <v>-32026</v>
      </c>
      <c r="U254" s="248">
        <f t="shared" si="97"/>
        <v>14288.830000000016</v>
      </c>
      <c r="V254" s="250">
        <f>STDEV(D$2:D254)*SQRT(252)</f>
        <v>0.17037860468394234</v>
      </c>
      <c r="W254" s="250">
        <f>STDEV(L$2:L254)*SQRT(252)</f>
        <v>0.36860527111095059</v>
      </c>
      <c r="X254" s="174">
        <f t="shared" si="82"/>
        <v>-0.11972558179033062</v>
      </c>
    </row>
    <row r="255" spans="1:24" ht="20.100000000000001" customHeight="1" x14ac:dyDescent="0.25">
      <c r="A255" s="163">
        <f t="shared" si="95"/>
        <v>368</v>
      </c>
      <c r="B255" s="242">
        <v>42601</v>
      </c>
      <c r="C255" s="243">
        <v>2183.87</v>
      </c>
      <c r="D255" s="171">
        <f t="shared" si="76"/>
        <v>-1.4403160464925291E-3</v>
      </c>
      <c r="E255" s="244">
        <f t="shared" si="85"/>
        <v>3.8731188523810349E-2</v>
      </c>
      <c r="F255" s="245">
        <v>5238.37</v>
      </c>
      <c r="G255" s="171">
        <f t="shared" si="70"/>
        <v>-3.377772349594546E-4</v>
      </c>
      <c r="H255" s="246">
        <f t="shared" si="86"/>
        <v>2.8805703399650426E-2</v>
      </c>
      <c r="I255" s="247">
        <v>382810.75</v>
      </c>
      <c r="J255" s="248">
        <v>400000</v>
      </c>
      <c r="K255" s="248">
        <f t="shared" si="87"/>
        <v>547.9199999999837</v>
      </c>
      <c r="L255" s="171">
        <f t="shared" si="94"/>
        <v>1.4333593459766509E-3</v>
      </c>
      <c r="M255" s="249">
        <f t="shared" si="98"/>
        <v>-17189.25</v>
      </c>
      <c r="N255" s="250">
        <f t="shared" si="99"/>
        <v>-4.2973125000000001E-2</v>
      </c>
      <c r="O255" s="183">
        <f t="shared" si="79"/>
        <v>-4.265199431046196E-2</v>
      </c>
      <c r="P255" s="249" t="b">
        <f t="shared" si="89"/>
        <v>1</v>
      </c>
      <c r="Q255" s="250">
        <f>COUNTIF(P$2:P255, TRUE)/(COUNTIF(P$2:P255,FALSE) + COUNTIF(P$2:P255, TRUE))</f>
        <v>0.5</v>
      </c>
      <c r="R255" s="248">
        <v>232963</v>
      </c>
      <c r="S255" s="248">
        <f t="shared" si="96"/>
        <v>149847.75</v>
      </c>
      <c r="T255" s="248">
        <v>-31491</v>
      </c>
      <c r="U255" s="248">
        <f t="shared" si="97"/>
        <v>14301.75</v>
      </c>
      <c r="V255" s="250">
        <f>STDEV(D$2:D255)*SQRT(252)</f>
        <v>0.17004823124419763</v>
      </c>
      <c r="W255" s="250">
        <f>STDEV(L$2:L255)*SQRT(252)</f>
        <v>0.36787447588145594</v>
      </c>
      <c r="X255" s="174">
        <f t="shared" si="82"/>
        <v>-0.11594170595354422</v>
      </c>
    </row>
    <row r="256" spans="1:24" ht="20.100000000000001" customHeight="1" x14ac:dyDescent="0.25">
      <c r="A256" s="163">
        <f t="shared" si="95"/>
        <v>371</v>
      </c>
      <c r="B256" s="172">
        <v>42604</v>
      </c>
      <c r="C256" s="215">
        <v>2182.64</v>
      </c>
      <c r="D256" s="171">
        <f t="shared" si="76"/>
        <v>-5.6322033820695291E-4</v>
      </c>
      <c r="E256" s="209">
        <f t="shared" ref="E256:E287" si="100">(C256-$C$2)/$C$2</f>
        <v>3.8146153992503859E-2</v>
      </c>
      <c r="F256" s="219">
        <v>5244.6</v>
      </c>
      <c r="G256" s="171">
        <f t="shared" ref="G256:G261" si="101">(F256-F255)/F255</f>
        <v>1.1893012521071388E-3</v>
      </c>
      <c r="H256" s="203">
        <f t="shared" ref="H256:H287" si="102">(F256-F$2)/F$2</f>
        <v>3.0029263310878598E-2</v>
      </c>
      <c r="I256" s="221">
        <v>377083.42</v>
      </c>
      <c r="J256" s="173">
        <v>400000</v>
      </c>
      <c r="K256" s="173">
        <f t="shared" ref="K256:K287" si="103">I256-I255-J256+J255</f>
        <v>-5727.3300000000163</v>
      </c>
      <c r="L256" s="171">
        <f t="shared" si="94"/>
        <v>-1.4961256965746171E-2</v>
      </c>
      <c r="M256" s="182">
        <f t="shared" si="98"/>
        <v>-22916.580000000016</v>
      </c>
      <c r="N256" s="184">
        <f t="shared" si="99"/>
        <v>-5.7291450000000042E-2</v>
      </c>
      <c r="O256" s="183">
        <f t="shared" si="79"/>
        <v>-5.6403509737196808E-2</v>
      </c>
      <c r="P256" s="182" t="b">
        <f t="shared" ref="P256:P287" si="104">L256&gt;D256</f>
        <v>0</v>
      </c>
      <c r="Q256" s="184">
        <f>COUNTIF(P$2:P256, TRUE)/(COUNTIF(P$2:P256,FALSE) + COUNTIF(P$2:P256, TRUE))</f>
        <v>0.49803921568627452</v>
      </c>
      <c r="R256" s="173">
        <v>255242.1</v>
      </c>
      <c r="S256" s="173">
        <f t="shared" si="96"/>
        <v>121841.31999999998</v>
      </c>
      <c r="T256" s="173">
        <v>-37372</v>
      </c>
      <c r="U256" s="173">
        <f t="shared" si="97"/>
        <v>14455.419999999984</v>
      </c>
      <c r="V256" s="184">
        <f>STDEV(D$2:D256)*SQRT(252)</f>
        <v>0.1697135708935549</v>
      </c>
      <c r="W256" s="184">
        <f>STDEV(L$2:L256)*SQRT(252)</f>
        <v>0.36746793184663218</v>
      </c>
      <c r="X256" s="174">
        <f t="shared" si="82"/>
        <v>-0.15349233184444946</v>
      </c>
    </row>
    <row r="257" spans="1:24" ht="20.100000000000001" customHeight="1" x14ac:dyDescent="0.25">
      <c r="A257" s="163">
        <f t="shared" si="95"/>
        <v>372</v>
      </c>
      <c r="B257" s="172">
        <v>42605</v>
      </c>
      <c r="C257" s="215">
        <v>2186.9</v>
      </c>
      <c r="D257" s="171">
        <f t="shared" ref="D257:D263" si="105">(C257-C256)/C256</f>
        <v>1.951764835245491E-3</v>
      </c>
      <c r="E257" s="209">
        <f t="shared" si="100"/>
        <v>4.0172371149711783E-2</v>
      </c>
      <c r="F257" s="219">
        <v>5260.07</v>
      </c>
      <c r="G257" s="171">
        <f t="shared" si="101"/>
        <v>2.9497006444722845E-3</v>
      </c>
      <c r="H257" s="203">
        <f t="shared" si="102"/>
        <v>3.3067541292692008E-2</v>
      </c>
      <c r="I257" s="221">
        <v>383610.05</v>
      </c>
      <c r="J257" s="173">
        <v>400000</v>
      </c>
      <c r="K257" s="173">
        <f t="shared" si="103"/>
        <v>6526.6300000000047</v>
      </c>
      <c r="L257" s="171">
        <f t="shared" si="94"/>
        <v>1.7308186077234593E-2</v>
      </c>
      <c r="M257" s="182">
        <f t="shared" si="98"/>
        <v>-16389.950000000012</v>
      </c>
      <c r="N257" s="184">
        <f t="shared" si="99"/>
        <v>-4.0974875000000029E-2</v>
      </c>
      <c r="O257" s="183">
        <f t="shared" si="79"/>
        <v>-4.023137928427422E-2</v>
      </c>
      <c r="P257" s="182" t="b">
        <f t="shared" si="104"/>
        <v>1</v>
      </c>
      <c r="Q257" s="184">
        <f>COUNTIF(P$2:P257, TRUE)/(COUNTIF(P$2:P257,FALSE) + COUNTIF(P$2:P257, TRUE))</f>
        <v>0.5</v>
      </c>
      <c r="R257" s="173">
        <v>237329.4</v>
      </c>
      <c r="S257" s="173">
        <f t="shared" si="96"/>
        <v>146280.65</v>
      </c>
      <c r="T257" s="173">
        <v>-30977</v>
      </c>
      <c r="U257" s="173">
        <f t="shared" si="97"/>
        <v>14587.049999999988</v>
      </c>
      <c r="V257" s="184">
        <f>STDEV(D$2:D257)*SQRT(252)</f>
        <v>0.16938806622202984</v>
      </c>
      <c r="W257" s="184">
        <f>STDEV(L$2:L257)*SQRT(252)</f>
        <v>0.36712884125938189</v>
      </c>
      <c r="X257" s="174">
        <f t="shared" si="82"/>
        <v>-0.10958381571512156</v>
      </c>
    </row>
    <row r="258" spans="1:24" ht="20.100000000000001" customHeight="1" x14ac:dyDescent="0.25">
      <c r="A258" s="163">
        <f t="shared" si="95"/>
        <v>373</v>
      </c>
      <c r="B258" s="172">
        <v>42606</v>
      </c>
      <c r="C258" s="215">
        <v>2175.44</v>
      </c>
      <c r="D258" s="171">
        <f t="shared" si="105"/>
        <v>-5.2402944807718854E-3</v>
      </c>
      <c r="E258" s="209">
        <f t="shared" si="100"/>
        <v>3.4721561614124541E-2</v>
      </c>
      <c r="F258" s="219">
        <v>5217.6899999999996</v>
      </c>
      <c r="G258" s="171">
        <f t="shared" si="101"/>
        <v>-8.0569269990703758E-3</v>
      </c>
      <c r="H258" s="203">
        <f t="shared" si="102"/>
        <v>2.4744191527387667E-2</v>
      </c>
      <c r="I258" s="221">
        <f>379998.45+9.8</f>
        <v>380008.25</v>
      </c>
      <c r="J258" s="173">
        <v>400000</v>
      </c>
      <c r="K258" s="173">
        <f t="shared" si="103"/>
        <v>-3601.7999999999884</v>
      </c>
      <c r="L258" s="171">
        <f t="shared" si="94"/>
        <v>-9.3892222062482156E-3</v>
      </c>
      <c r="M258" s="182">
        <f t="shared" si="98"/>
        <v>-19991.75</v>
      </c>
      <c r="N258" s="184">
        <f t="shared" si="99"/>
        <v>-4.9979374999999999E-2</v>
      </c>
      <c r="O258" s="183">
        <f t="shared" si="79"/>
        <v>-4.894092954088472E-2</v>
      </c>
      <c r="P258" s="182" t="b">
        <f t="shared" si="104"/>
        <v>0</v>
      </c>
      <c r="Q258" s="184">
        <f>COUNTIF(P$2:P258, TRUE)/(COUNTIF(P$2:P258,FALSE) + COUNTIF(P$2:P258, TRUE))</f>
        <v>0.49805447470817121</v>
      </c>
      <c r="R258" s="173">
        <v>233717.8</v>
      </c>
      <c r="S258" s="173">
        <f t="shared" si="96"/>
        <v>146290.45000000001</v>
      </c>
      <c r="T258" s="173">
        <v>-34657</v>
      </c>
      <c r="U258" s="173">
        <f t="shared" si="97"/>
        <v>14665.25</v>
      </c>
      <c r="V258" s="184">
        <f>STDEV(D$2:D258)*SQRT(252)</f>
        <v>0.1691421099558785</v>
      </c>
      <c r="W258" s="184">
        <f>STDEV(L$2:L258)*SQRT(252)</f>
        <v>0.36653871966751894</v>
      </c>
      <c r="X258" s="174">
        <f t="shared" si="82"/>
        <v>-0.13352185434946193</v>
      </c>
    </row>
    <row r="259" spans="1:24" ht="20.100000000000001" customHeight="1" x14ac:dyDescent="0.25">
      <c r="A259" s="163">
        <f t="shared" si="95"/>
        <v>374</v>
      </c>
      <c r="B259" s="172">
        <v>42607</v>
      </c>
      <c r="C259" s="215">
        <v>2172.4699999999998</v>
      </c>
      <c r="D259" s="171">
        <f t="shared" si="105"/>
        <v>-1.3652410546833075E-3</v>
      </c>
      <c r="E259" s="209">
        <f t="shared" si="100"/>
        <v>3.3308917258042914E-2</v>
      </c>
      <c r="F259" s="219">
        <v>5212.2</v>
      </c>
      <c r="G259" s="171">
        <f t="shared" si="101"/>
        <v>-1.0521897621360759E-3</v>
      </c>
      <c r="H259" s="203">
        <f t="shared" si="102"/>
        <v>2.3665966180254142E-2</v>
      </c>
      <c r="I259" s="221">
        <v>380752.59</v>
      </c>
      <c r="J259" s="173">
        <v>400000</v>
      </c>
      <c r="K259" s="173">
        <f t="shared" si="103"/>
        <v>744.34000000002561</v>
      </c>
      <c r="L259" s="171">
        <f t="shared" si="94"/>
        <v>1.9587469482571116E-3</v>
      </c>
      <c r="M259" s="182">
        <f t="shared" si="98"/>
        <v>-19247.409999999974</v>
      </c>
      <c r="N259" s="184">
        <f t="shared" si="99"/>
        <v>-4.8118524999999933E-2</v>
      </c>
      <c r="O259" s="183">
        <f t="shared" si="79"/>
        <v>-4.6992757369652347E-2</v>
      </c>
      <c r="P259" s="182" t="b">
        <f t="shared" si="104"/>
        <v>1</v>
      </c>
      <c r="Q259" s="184">
        <f>COUNTIF(P$2:P259, TRUE)/(COUNTIF(P$2:P259,FALSE) + COUNTIF(P$2:P259, TRUE))</f>
        <v>0.5</v>
      </c>
      <c r="R259" s="173">
        <v>237299.38</v>
      </c>
      <c r="S259" s="173">
        <f t="shared" si="96"/>
        <v>143453.21000000002</v>
      </c>
      <c r="T259" s="173">
        <v>-33721</v>
      </c>
      <c r="U259" s="173">
        <f t="shared" si="97"/>
        <v>14473.590000000026</v>
      </c>
      <c r="V259" s="184">
        <f>STDEV(D$2:D259)*SQRT(252)</f>
        <v>0.16881845547722549</v>
      </c>
      <c r="W259" s="184">
        <f>STDEV(L$2:L259)*SQRT(252)</f>
        <v>0.36582526513101316</v>
      </c>
      <c r="X259" s="174">
        <f t="shared" si="82"/>
        <v>-0.12845683950457279</v>
      </c>
    </row>
    <row r="260" spans="1:24" ht="20.100000000000001" customHeight="1" x14ac:dyDescent="0.25">
      <c r="A260" s="163">
        <f t="shared" si="95"/>
        <v>375</v>
      </c>
      <c r="B260" s="172">
        <v>42608</v>
      </c>
      <c r="C260" s="215">
        <v>2169.04</v>
      </c>
      <c r="D260" s="171">
        <f t="shared" si="105"/>
        <v>-1.578848039328431E-3</v>
      </c>
      <c r="E260" s="209">
        <f t="shared" si="100"/>
        <v>3.1677479500009466E-2</v>
      </c>
      <c r="F260" s="219">
        <v>5218.91</v>
      </c>
      <c r="G260" s="171">
        <f t="shared" si="101"/>
        <v>1.2873642607728092E-3</v>
      </c>
      <c r="H260" s="203">
        <f t="shared" si="102"/>
        <v>2.4983797160084066E-2</v>
      </c>
      <c r="I260" s="221">
        <v>381100.52</v>
      </c>
      <c r="J260" s="173">
        <v>400000</v>
      </c>
      <c r="K260" s="173">
        <f t="shared" si="103"/>
        <v>347.92999999999302</v>
      </c>
      <c r="L260" s="171">
        <f t="shared" si="94"/>
        <v>9.1379549118757934E-4</v>
      </c>
      <c r="M260" s="182">
        <f t="shared" ref="M260:M273" si="106">I260-J260</f>
        <v>-18899.479999999981</v>
      </c>
      <c r="N260" s="184">
        <f t="shared" si="99"/>
        <v>-4.7248699999999956E-2</v>
      </c>
      <c r="O260" s="183">
        <f t="shared" si="79"/>
        <v>-4.6020233799999963E-2</v>
      </c>
      <c r="P260" s="182" t="b">
        <f t="shared" si="104"/>
        <v>1</v>
      </c>
      <c r="Q260" s="184">
        <f>COUNTIF(P$2:P260, TRUE)/(COUNTIF(P$2:P260,FALSE) + COUNTIF(P$2:P260, TRUE))</f>
        <v>0.50193050193050193</v>
      </c>
      <c r="R260" s="173">
        <v>258954.3</v>
      </c>
      <c r="S260" s="173">
        <f t="shared" si="96"/>
        <v>122146.22000000003</v>
      </c>
      <c r="T260" s="173">
        <v>-33067</v>
      </c>
      <c r="U260" s="173">
        <f t="shared" si="97"/>
        <v>14167.520000000019</v>
      </c>
      <c r="V260" s="184">
        <f>STDEV(D$2:D260)*SQRT(252)</f>
        <v>0.16849870140291789</v>
      </c>
      <c r="W260" s="184">
        <f>STDEV(L$2:L260)*SQRT(252)</f>
        <v>0.36511315760461099</v>
      </c>
      <c r="X260" s="174">
        <f t="shared" si="82"/>
        <v>-0.12604375613829913</v>
      </c>
    </row>
    <row r="261" spans="1:24" ht="20.100000000000001" customHeight="1" x14ac:dyDescent="0.25">
      <c r="A261" s="163">
        <f t="shared" si="95"/>
        <v>378</v>
      </c>
      <c r="B261" s="242">
        <v>42611</v>
      </c>
      <c r="C261" s="243">
        <v>2180.38</v>
      </c>
      <c r="D261" s="171">
        <f t="shared" si="105"/>
        <v>5.2281193523402731E-3</v>
      </c>
      <c r="E261" s="244">
        <f t="shared" si="100"/>
        <v>3.7071212495957101E-2</v>
      </c>
      <c r="F261" s="245">
        <v>5232.32</v>
      </c>
      <c r="G261" s="171">
        <f t="shared" si="101"/>
        <v>2.569502060775115E-3</v>
      </c>
      <c r="H261" s="246">
        <f t="shared" si="102"/>
        <v>2.7617495139148004E-2</v>
      </c>
      <c r="I261" s="247">
        <v>382828.93</v>
      </c>
      <c r="J261" s="248">
        <v>400000</v>
      </c>
      <c r="K261" s="248">
        <f t="shared" si="103"/>
        <v>1728.4099999999744</v>
      </c>
      <c r="L261" s="171">
        <f>K261/I260</f>
        <v>4.5353126256557569E-3</v>
      </c>
      <c r="M261" s="249">
        <f t="shared" si="106"/>
        <v>-17171.070000000007</v>
      </c>
      <c r="N261" s="250">
        <f t="shared" si="99"/>
        <v>-4.2927675000000019E-2</v>
      </c>
      <c r="O261" s="183">
        <f t="shared" si="79"/>
        <v>-4.147971770833335E-2</v>
      </c>
      <c r="P261" s="249" t="b">
        <f t="shared" si="104"/>
        <v>0</v>
      </c>
      <c r="Q261" s="250">
        <f>COUNTIF(P$2:P261, TRUE)/(COUNTIF(P$2:P261,FALSE) + COUNTIF(P$2:P261, TRUE))</f>
        <v>0.5</v>
      </c>
      <c r="R261" s="248">
        <v>260300.32</v>
      </c>
      <c r="S261" s="248">
        <f t="shared" si="96"/>
        <v>122528.60999999999</v>
      </c>
      <c r="T261" s="248">
        <v>-31777</v>
      </c>
      <c r="U261" s="248">
        <f t="shared" si="97"/>
        <v>14605.929999999993</v>
      </c>
      <c r="V261" s="250">
        <f>STDEV(D$2:D261)*SQRT(252)</f>
        <v>0.16824562360938053</v>
      </c>
      <c r="W261" s="250">
        <f>STDEV(L$2:L261)*SQRT(252)</f>
        <v>0.36442732658879068</v>
      </c>
      <c r="X261" s="174">
        <f t="shared" si="82"/>
        <v>-0.11382164476139263</v>
      </c>
    </row>
    <row r="262" spans="1:24" ht="20.100000000000001" customHeight="1" x14ac:dyDescent="0.25">
      <c r="A262" s="163">
        <f t="shared" si="95"/>
        <v>379</v>
      </c>
      <c r="B262" s="242">
        <v>42612</v>
      </c>
      <c r="C262" s="243">
        <v>2176.12</v>
      </c>
      <c r="D262" s="171">
        <f t="shared" si="105"/>
        <v>-1.9537878718389537E-3</v>
      </c>
      <c r="E262" s="244">
        <f t="shared" si="100"/>
        <v>3.5044995338749184E-2</v>
      </c>
      <c r="F262" s="245">
        <v>5222.9799999999996</v>
      </c>
      <c r="G262" s="171">
        <f>(F262-F261)/F261</f>
        <v>-1.7850590177971046E-3</v>
      </c>
      <c r="H262" s="246">
        <f t="shared" si="102"/>
        <v>2.5783137262603797E-2</v>
      </c>
      <c r="I262" s="247">
        <v>379406.56</v>
      </c>
      <c r="J262" s="248">
        <v>400000</v>
      </c>
      <c r="K262" s="248">
        <f t="shared" si="103"/>
        <v>-3422.3699999999953</v>
      </c>
      <c r="L262" s="171">
        <f>K262/I261</f>
        <v>-8.9396848874508921E-3</v>
      </c>
      <c r="M262" s="249">
        <f t="shared" si="106"/>
        <v>-20593.440000000002</v>
      </c>
      <c r="N262" s="250">
        <f t="shared" si="99"/>
        <v>-5.1483600000000004E-2</v>
      </c>
      <c r="O262" s="183">
        <f t="shared" si="79"/>
        <v>-4.9615791292875994E-2</v>
      </c>
      <c r="P262" s="249" t="b">
        <f t="shared" si="104"/>
        <v>0</v>
      </c>
      <c r="Q262" s="250">
        <f>COUNTIF(P$2:P262, TRUE)/(COUNTIF(P$2:P262,FALSE) + COUNTIF(P$2:P262, TRUE))</f>
        <v>0.49808429118773945</v>
      </c>
      <c r="R262" s="248">
        <v>274968.95</v>
      </c>
      <c r="S262" s="248">
        <f t="shared" si="96"/>
        <v>104437.60999999999</v>
      </c>
      <c r="T262" s="248">
        <v>-35414</v>
      </c>
      <c r="U262" s="248">
        <f t="shared" si="97"/>
        <v>14820.559999999998</v>
      </c>
      <c r="V262" s="250">
        <f>STDEV(D$2:D262)*SQRT(252)</f>
        <v>0.16793385572919492</v>
      </c>
      <c r="W262" s="250">
        <f>STDEV(L$2:L262)*SQRT(252)</f>
        <v>0.36384060156715331</v>
      </c>
      <c r="X262" s="174">
        <f t="shared" si="82"/>
        <v>-0.13636683503481539</v>
      </c>
    </row>
    <row r="263" spans="1:24" ht="20.100000000000001" customHeight="1" x14ac:dyDescent="0.25">
      <c r="A263" s="163">
        <f t="shared" si="95"/>
        <v>380</v>
      </c>
      <c r="B263" s="242">
        <v>42613</v>
      </c>
      <c r="C263" s="243">
        <v>2170.94</v>
      </c>
      <c r="D263" s="171">
        <f t="shared" si="105"/>
        <v>-2.3803834347369797E-3</v>
      </c>
      <c r="E263" s="244">
        <f t="shared" si="100"/>
        <v>3.258119137763741E-2</v>
      </c>
      <c r="F263" s="245">
        <v>5213.22</v>
      </c>
      <c r="G263" s="171">
        <f t="shared" ref="G263:G270" si="107">(F263-F262)/F262</f>
        <v>-1.8686650149913094E-3</v>
      </c>
      <c r="H263" s="246">
        <f t="shared" si="102"/>
        <v>2.3866292201033139E-2</v>
      </c>
      <c r="I263" s="472">
        <v>375078.22</v>
      </c>
      <c r="J263" s="248">
        <v>400000</v>
      </c>
      <c r="K263" s="248">
        <f t="shared" si="103"/>
        <v>-4328.3400000000256</v>
      </c>
      <c r="L263" s="171">
        <f>K263/I262</f>
        <v>-1.1408184402504863E-2</v>
      </c>
      <c r="M263" s="249">
        <f t="shared" si="106"/>
        <v>-24921.780000000028</v>
      </c>
      <c r="N263" s="250">
        <f t="shared" si="99"/>
        <v>-6.2304450000000067E-2</v>
      </c>
      <c r="O263" s="183">
        <f t="shared" ref="O263:O326" si="108">N263/(A263/365.25)</f>
        <v>-5.9886053585526386E-2</v>
      </c>
      <c r="P263" s="249" t="b">
        <f t="shared" si="104"/>
        <v>0</v>
      </c>
      <c r="Q263" s="250">
        <f>COUNTIF(P$2:P263, TRUE)/(COUNTIF(P$2:P263,FALSE) + COUNTIF(P$2:P263, TRUE))</f>
        <v>0.49618320610687022</v>
      </c>
      <c r="R263" s="248">
        <v>285803.11</v>
      </c>
      <c r="S263" s="248">
        <f t="shared" si="96"/>
        <v>89275.109999999986</v>
      </c>
      <c r="T263" s="248">
        <v>-39480</v>
      </c>
      <c r="U263" s="248">
        <f t="shared" si="97"/>
        <v>14558.219999999972</v>
      </c>
      <c r="V263" s="250">
        <f>STDEV(D$2:D263)*SQRT(252)</f>
        <v>0.16762959845319877</v>
      </c>
      <c r="W263" s="250">
        <f>STDEV(L$2:L263)*SQRT(252)</f>
        <v>0.36332602481523973</v>
      </c>
      <c r="X263" s="174">
        <f t="shared" si="82"/>
        <v>-0.1648273162264661</v>
      </c>
    </row>
    <row r="264" spans="1:24" ht="20.100000000000001" customHeight="1" x14ac:dyDescent="0.25">
      <c r="A264" s="163">
        <f t="shared" si="95"/>
        <v>381</v>
      </c>
      <c r="B264" s="242">
        <v>42614</v>
      </c>
      <c r="C264" s="243">
        <v>2170.86</v>
      </c>
      <c r="D264" s="171">
        <f t="shared" ref="D264:D270" si="109">(C264-C263)/C263</f>
        <v>-3.6850396602359916E-5</v>
      </c>
      <c r="E264" s="244">
        <f t="shared" si="100"/>
        <v>3.254314035121101E-2</v>
      </c>
      <c r="F264" s="245">
        <v>5227.2</v>
      </c>
      <c r="G264" s="171">
        <f t="shared" si="107"/>
        <v>2.6816439743574151E-3</v>
      </c>
      <c r="H264" s="246">
        <f t="shared" si="102"/>
        <v>2.661193707406171E-2</v>
      </c>
      <c r="I264" s="247">
        <v>374158.47</v>
      </c>
      <c r="J264" s="248">
        <v>400000</v>
      </c>
      <c r="K264" s="248">
        <f t="shared" si="103"/>
        <v>-919.75</v>
      </c>
      <c r="L264" s="171">
        <f t="shared" ref="L264:L269" si="110">K264/I263</f>
        <v>-2.4521551797915646E-3</v>
      </c>
      <c r="M264" s="249">
        <f t="shared" si="106"/>
        <v>-25841.530000000028</v>
      </c>
      <c r="N264" s="250">
        <f t="shared" si="99"/>
        <v>-6.4603825000000073E-2</v>
      </c>
      <c r="O264" s="183">
        <f t="shared" si="108"/>
        <v>-6.1933194438976449E-2</v>
      </c>
      <c r="P264" s="249" t="b">
        <f t="shared" si="104"/>
        <v>0</v>
      </c>
      <c r="Q264" s="250">
        <f>COUNTIF(P$2:P264, TRUE)/(COUNTIF(P$2:P264,FALSE) + COUNTIF(P$2:P264, TRUE))</f>
        <v>0.49429657794676807</v>
      </c>
      <c r="R264" s="248">
        <v>284793.13</v>
      </c>
      <c r="S264" s="248">
        <f t="shared" si="96"/>
        <v>89365.339999999967</v>
      </c>
      <c r="T264" s="248">
        <v>-40089</v>
      </c>
      <c r="U264" s="248">
        <f t="shared" si="97"/>
        <v>14247.469999999972</v>
      </c>
      <c r="V264" s="250">
        <f>STDEV(D$2:D264)*SQRT(252)</f>
        <v>0.16730829405773207</v>
      </c>
      <c r="W264" s="250">
        <f>STDEV(L$2:L264)*SQRT(252)</f>
        <v>0.36263989119612255</v>
      </c>
      <c r="X264" s="174">
        <f t="shared" si="82"/>
        <v>-0.17078428474787347</v>
      </c>
    </row>
    <row r="265" spans="1:24" ht="20.100000000000001" customHeight="1" x14ac:dyDescent="0.25">
      <c r="A265" s="163">
        <f t="shared" si="95"/>
        <v>382</v>
      </c>
      <c r="B265" s="242">
        <v>42615</v>
      </c>
      <c r="C265" s="243">
        <v>2179.98</v>
      </c>
      <c r="D265" s="171">
        <f t="shared" si="109"/>
        <v>4.2011000248748835E-3</v>
      </c>
      <c r="E265" s="244">
        <f t="shared" si="100"/>
        <v>3.6880957363824872E-2</v>
      </c>
      <c r="F265" s="245">
        <v>5249.89</v>
      </c>
      <c r="G265" s="171">
        <f t="shared" si="107"/>
        <v>4.3407560453015978E-3</v>
      </c>
      <c r="H265" s="246">
        <f t="shared" si="102"/>
        <v>3.1068209046094725E-2</v>
      </c>
      <c r="I265" s="247">
        <v>379833.49</v>
      </c>
      <c r="J265" s="248">
        <v>400000</v>
      </c>
      <c r="K265" s="248">
        <f t="shared" si="103"/>
        <v>5675.0200000000186</v>
      </c>
      <c r="L265" s="171">
        <f t="shared" si="110"/>
        <v>1.5167423578570916E-2</v>
      </c>
      <c r="M265" s="249">
        <f t="shared" si="106"/>
        <v>-20166.510000000009</v>
      </c>
      <c r="N265" s="250">
        <f t="shared" si="99"/>
        <v>-5.0416275000000024E-2</v>
      </c>
      <c r="O265" s="183">
        <f t="shared" si="108"/>
        <v>-4.8205613727094261E-2</v>
      </c>
      <c r="P265" s="249" t="b">
        <f t="shared" si="104"/>
        <v>1</v>
      </c>
      <c r="Q265" s="250">
        <f>COUNTIF(P$2:P265, TRUE)/(COUNTIF(P$2:P265,FALSE) + COUNTIF(P$2:P265, TRUE))</f>
        <v>0.49621212121212122</v>
      </c>
      <c r="R265" s="248">
        <v>279915.57</v>
      </c>
      <c r="S265" s="248">
        <f t="shared" si="96"/>
        <v>99917.919999999984</v>
      </c>
      <c r="T265" s="248">
        <v>-35299</v>
      </c>
      <c r="U265" s="248">
        <f t="shared" si="97"/>
        <v>15132.489999999991</v>
      </c>
      <c r="V265" s="250">
        <f>STDEV(D$2:D265)*SQRT(252)</f>
        <v>0.16703513483712773</v>
      </c>
      <c r="W265" s="250">
        <f>STDEV(L$2:L265)*SQRT(252)</f>
        <v>0.3622373095628969</v>
      </c>
      <c r="X265" s="174">
        <f t="shared" si="82"/>
        <v>-0.13307743971835154</v>
      </c>
    </row>
    <row r="266" spans="1:24" ht="20.100000000000001" customHeight="1" x14ac:dyDescent="0.25">
      <c r="A266" s="163">
        <f t="shared" si="95"/>
        <v>386</v>
      </c>
      <c r="B266" s="172">
        <v>42619</v>
      </c>
      <c r="C266" s="215">
        <v>2186.48</v>
      </c>
      <c r="D266" s="171">
        <f t="shared" si="109"/>
        <v>2.9816787309975322E-3</v>
      </c>
      <c r="E266" s="209">
        <f t="shared" si="100"/>
        <v>3.9972603260972947E-2</v>
      </c>
      <c r="F266" s="219">
        <v>5275.9</v>
      </c>
      <c r="G266" s="171">
        <f t="shared" si="107"/>
        <v>4.9543895205422031E-3</v>
      </c>
      <c r="H266" s="203">
        <f t="shared" si="102"/>
        <v>3.6176522575956917E-2</v>
      </c>
      <c r="I266" s="221">
        <v>382927.8</v>
      </c>
      <c r="J266" s="173">
        <v>400000</v>
      </c>
      <c r="K266" s="173">
        <f t="shared" si="103"/>
        <v>3094.3099999999977</v>
      </c>
      <c r="L266" s="171">
        <f t="shared" si="110"/>
        <v>8.1464907162346265E-3</v>
      </c>
      <c r="M266" s="182">
        <f t="shared" si="106"/>
        <v>-17072.200000000012</v>
      </c>
      <c r="N266" s="184">
        <f t="shared" si="99"/>
        <v>-4.2680500000000031E-2</v>
      </c>
      <c r="O266" s="183">
        <f t="shared" si="108"/>
        <v>-4.0386146696891223E-2</v>
      </c>
      <c r="P266" s="182" t="b">
        <f t="shared" si="104"/>
        <v>1</v>
      </c>
      <c r="Q266" s="184">
        <f>COUNTIF(P$2:P266, TRUE)/(COUNTIF(P$2:P266,FALSE) + COUNTIF(P$2:P266, TRUE))</f>
        <v>0.49811320754716981</v>
      </c>
      <c r="R266" s="173">
        <v>288323.67</v>
      </c>
      <c r="S266" s="173">
        <f t="shared" si="96"/>
        <v>94604.13</v>
      </c>
      <c r="T266" s="173">
        <v>-32869</v>
      </c>
      <c r="U266" s="173">
        <f t="shared" si="97"/>
        <v>15796.799999999988</v>
      </c>
      <c r="V266" s="184">
        <f>STDEV(D$2:D266)*SQRT(252)</f>
        <v>0.16673953715434717</v>
      </c>
      <c r="W266" s="184">
        <f>STDEV(L$2:L266)*SQRT(252)</f>
        <v>0.36162688235726198</v>
      </c>
      <c r="X266" s="174">
        <f t="shared" si="82"/>
        <v>-0.11167905005743611</v>
      </c>
    </row>
    <row r="267" spans="1:24" ht="20.100000000000001" customHeight="1" x14ac:dyDescent="0.25">
      <c r="A267" s="163">
        <f t="shared" si="95"/>
        <v>387</v>
      </c>
      <c r="B267" s="172">
        <v>42620</v>
      </c>
      <c r="C267" s="215">
        <v>2186.16</v>
      </c>
      <c r="D267" s="171">
        <f t="shared" si="109"/>
        <v>-1.4635395704518849E-4</v>
      </c>
      <c r="E267" s="209">
        <f t="shared" si="100"/>
        <v>3.9820399155267118E-2</v>
      </c>
      <c r="F267" s="219">
        <v>5283.92</v>
      </c>
      <c r="G267" s="171">
        <f t="shared" si="107"/>
        <v>1.5201197899885209E-3</v>
      </c>
      <c r="H267" s="203">
        <f t="shared" si="102"/>
        <v>3.7751635013846117E-2</v>
      </c>
      <c r="I267" s="221">
        <v>386953.84</v>
      </c>
      <c r="J267" s="173">
        <v>400000</v>
      </c>
      <c r="K267" s="173">
        <f t="shared" si="103"/>
        <v>4026.0400000000373</v>
      </c>
      <c r="L267" s="171">
        <f t="shared" si="110"/>
        <v>1.0513835767473757E-2</v>
      </c>
      <c r="M267" s="182">
        <f t="shared" si="106"/>
        <v>-13046.159999999974</v>
      </c>
      <c r="N267" s="184">
        <f t="shared" si="99"/>
        <v>-3.2615399999999933E-2</v>
      </c>
      <c r="O267" s="183">
        <f t="shared" si="108"/>
        <v>-3.0782363953488309E-2</v>
      </c>
      <c r="P267" s="182" t="b">
        <f t="shared" si="104"/>
        <v>1</v>
      </c>
      <c r="Q267" s="184">
        <f>COUNTIF(P$2:P267, TRUE)/(COUNTIF(P$2:P267,FALSE) + COUNTIF(P$2:P267, TRUE))</f>
        <v>0.5</v>
      </c>
      <c r="R267" s="173">
        <v>270597.37</v>
      </c>
      <c r="S267" s="173">
        <f t="shared" si="96"/>
        <v>116356.47000000003</v>
      </c>
      <c r="T267" s="173">
        <v>-29682</v>
      </c>
      <c r="U267" s="173">
        <f t="shared" si="97"/>
        <v>16635.840000000026</v>
      </c>
      <c r="V267" s="184">
        <f>STDEV(D$2:D267)*SQRT(252)</f>
        <v>0.16642379270655777</v>
      </c>
      <c r="W267" s="184">
        <f>STDEV(L$2:L267)*SQRT(252)</f>
        <v>0.3610748681776339</v>
      </c>
      <c r="X267" s="174">
        <f t="shared" si="82"/>
        <v>-8.5252025733191322E-2</v>
      </c>
    </row>
    <row r="268" spans="1:24" ht="20.100000000000001" customHeight="1" x14ac:dyDescent="0.25">
      <c r="A268" s="163">
        <f t="shared" si="95"/>
        <v>388</v>
      </c>
      <c r="B268" s="172">
        <v>42621</v>
      </c>
      <c r="C268" s="215">
        <v>2181.3000000000002</v>
      </c>
      <c r="D268" s="171">
        <f t="shared" si="109"/>
        <v>-2.2230760786034294E-3</v>
      </c>
      <c r="E268" s="209">
        <f t="shared" si="100"/>
        <v>3.7508799299861173E-2</v>
      </c>
      <c r="F268" s="219">
        <v>5259.48</v>
      </c>
      <c r="G268" s="171">
        <f t="shared" si="107"/>
        <v>-4.6253539039199133E-3</v>
      </c>
      <c r="H268" s="203">
        <f t="shared" si="102"/>
        <v>3.2951666437535547E-2</v>
      </c>
      <c r="I268" s="221">
        <v>397118.13</v>
      </c>
      <c r="J268" s="173">
        <v>400000</v>
      </c>
      <c r="K268" s="173">
        <f t="shared" si="103"/>
        <v>10164.289999999979</v>
      </c>
      <c r="L268" s="171">
        <f t="shared" si="110"/>
        <v>2.6267448334405929E-2</v>
      </c>
      <c r="M268" s="182">
        <f t="shared" si="106"/>
        <v>-2881.8699999999953</v>
      </c>
      <c r="N268" s="184">
        <f t="shared" si="99"/>
        <v>-7.2046749999999885E-3</v>
      </c>
      <c r="O268" s="183">
        <f t="shared" si="108"/>
        <v>-6.7822359374999901E-3</v>
      </c>
      <c r="P268" s="182" t="b">
        <f t="shared" si="104"/>
        <v>1</v>
      </c>
      <c r="Q268" s="184">
        <f>COUNTIF(P$2:P268, TRUE)/(COUNTIF(P$2:P268,FALSE) + COUNTIF(P$2:P268, TRUE))</f>
        <v>0.50187265917602997</v>
      </c>
      <c r="R268" s="173">
        <v>251179.7</v>
      </c>
      <c r="S268" s="173">
        <f t="shared" si="96"/>
        <v>145938.43</v>
      </c>
      <c r="T268" s="173">
        <v>-22549</v>
      </c>
      <c r="U268" s="173">
        <f t="shared" si="97"/>
        <v>19667.130000000005</v>
      </c>
      <c r="V268" s="184">
        <f>STDEV(D$2:D268)*SQRT(252)</f>
        <v>0.16612626124990684</v>
      </c>
      <c r="W268" s="184">
        <f>STDEV(L$2:L268)*SQRT(252)</f>
        <v>0.36126574974857484</v>
      </c>
      <c r="X268" s="174">
        <f t="shared" si="82"/>
        <v>-1.8773537049167073E-2</v>
      </c>
    </row>
    <row r="269" spans="1:24" ht="20.100000000000001" customHeight="1" x14ac:dyDescent="0.25">
      <c r="A269" s="163">
        <f t="shared" si="95"/>
        <v>389</v>
      </c>
      <c r="B269" s="172">
        <v>42622</v>
      </c>
      <c r="C269" s="215">
        <v>2127.81</v>
      </c>
      <c r="D269" s="171">
        <f t="shared" si="109"/>
        <v>-2.4522073992573341E-2</v>
      </c>
      <c r="E269" s="209">
        <f t="shared" si="100"/>
        <v>1.2066931755484052E-2</v>
      </c>
      <c r="F269" s="219">
        <v>5125.8999999999996</v>
      </c>
      <c r="G269" s="171">
        <f t="shared" si="107"/>
        <v>-2.5397948086122571E-2</v>
      </c>
      <c r="H269" s="203">
        <f t="shared" si="102"/>
        <v>6.7168136378812221E-3</v>
      </c>
      <c r="I269" s="221">
        <v>386211.32</v>
      </c>
      <c r="J269" s="173">
        <v>400000</v>
      </c>
      <c r="K269" s="173">
        <f t="shared" si="103"/>
        <v>-10906.809999999998</v>
      </c>
      <c r="L269" s="171">
        <f t="shared" si="110"/>
        <v>-2.746490068333067E-2</v>
      </c>
      <c r="M269" s="182">
        <f t="shared" si="106"/>
        <v>-13788.679999999993</v>
      </c>
      <c r="N269" s="184">
        <f t="shared" si="99"/>
        <v>-3.447169999999998E-2</v>
      </c>
      <c r="O269" s="183">
        <f t="shared" si="108"/>
        <v>-3.2367065359897154E-2</v>
      </c>
      <c r="P269" s="182" t="b">
        <f t="shared" si="104"/>
        <v>0</v>
      </c>
      <c r="Q269" s="184">
        <f>COUNTIF(P$2:P269, TRUE)/(COUNTIF(P$2:P269,FALSE) + COUNTIF(P$2:P269, TRUE))</f>
        <v>0.5</v>
      </c>
      <c r="R269" s="173">
        <v>276342.96000000002</v>
      </c>
      <c r="S269" s="173">
        <f t="shared" si="96"/>
        <v>109868.35999999999</v>
      </c>
      <c r="T269" s="173">
        <v>-29111</v>
      </c>
      <c r="U269" s="173">
        <f t="shared" si="97"/>
        <v>15322.320000000007</v>
      </c>
      <c r="V269" s="184">
        <f>STDEV(D$2:D269)*SQRT(252)</f>
        <v>0.1675431453543596</v>
      </c>
      <c r="W269" s="184">
        <f>STDEV(L$2:L269)*SQRT(252)</f>
        <v>0.36161388324136196</v>
      </c>
      <c r="X269" s="174">
        <f t="shared" si="82"/>
        <v>-8.9507253067199047E-2</v>
      </c>
    </row>
    <row r="270" spans="1:24" ht="20.100000000000001" customHeight="1" x14ac:dyDescent="0.25">
      <c r="A270" s="163">
        <f t="shared" si="95"/>
        <v>392</v>
      </c>
      <c r="B270" s="242">
        <v>42625</v>
      </c>
      <c r="C270" s="243">
        <v>2159.04</v>
      </c>
      <c r="D270" s="171">
        <f t="shared" si="109"/>
        <v>1.4677062331693158E-2</v>
      </c>
      <c r="E270" s="244">
        <f t="shared" si="100"/>
        <v>2.6921101196704739E-2</v>
      </c>
      <c r="F270" s="245">
        <v>5211.88</v>
      </c>
      <c r="G270" s="171">
        <f t="shared" si="107"/>
        <v>1.6773639751068197E-2</v>
      </c>
      <c r="H270" s="246">
        <f t="shared" si="102"/>
        <v>2.3603118801186301E-2</v>
      </c>
      <c r="I270" s="247">
        <v>387052.15</v>
      </c>
      <c r="J270" s="248">
        <v>400000</v>
      </c>
      <c r="K270" s="248">
        <f t="shared" si="103"/>
        <v>840.8300000000163</v>
      </c>
      <c r="L270" s="171">
        <f t="shared" ref="L270:L285" si="111">K270/I269</f>
        <v>2.1771241712956945E-3</v>
      </c>
      <c r="M270" s="249">
        <f t="shared" si="106"/>
        <v>-12947.849999999977</v>
      </c>
      <c r="N270" s="250">
        <f t="shared" si="99"/>
        <v>-3.2369624999999944E-2</v>
      </c>
      <c r="O270" s="183">
        <f t="shared" si="108"/>
        <v>-3.0160728396045867E-2</v>
      </c>
      <c r="P270" s="249" t="b">
        <f t="shared" si="104"/>
        <v>0</v>
      </c>
      <c r="Q270" s="250">
        <f>COUNTIF(P$2:P270, TRUE)/(COUNTIF(P$2:P270,FALSE) + COUNTIF(P$2:P270, TRUE))</f>
        <v>0.49814126394052044</v>
      </c>
      <c r="R270" s="248">
        <v>279690.06</v>
      </c>
      <c r="S270" s="248">
        <f t="shared" si="96"/>
        <v>107362.09000000003</v>
      </c>
      <c r="T270" s="248">
        <v>-29688</v>
      </c>
      <c r="U270" s="248">
        <f t="shared" si="97"/>
        <v>16740.150000000023</v>
      </c>
      <c r="V270" s="250">
        <f>STDEV(D$2:D270)*SQRT(252)</f>
        <v>0.16782539199806834</v>
      </c>
      <c r="W270" s="250">
        <f>STDEV(L$2:L270)*SQRT(252)</f>
        <v>0.36093984423813291</v>
      </c>
      <c r="X270" s="174">
        <f t="shared" si="82"/>
        <v>-8.3561648506023864E-2</v>
      </c>
    </row>
    <row r="271" spans="1:24" ht="20.100000000000001" customHeight="1" x14ac:dyDescent="0.25">
      <c r="A271" s="163">
        <f t="shared" si="95"/>
        <v>393</v>
      </c>
      <c r="B271" s="242">
        <v>42626</v>
      </c>
      <c r="C271" s="243">
        <v>2127.02</v>
      </c>
      <c r="D271" s="171">
        <f t="shared" ref="D271:D285" si="112">(C271-C270)/C270</f>
        <v>-1.483066548095449E-2</v>
      </c>
      <c r="E271" s="244">
        <f t="shared" si="100"/>
        <v>1.1691177869522996E-2</v>
      </c>
      <c r="F271" s="245">
        <v>5155.25</v>
      </c>
      <c r="G271" s="171">
        <f t="shared" ref="G271:G285" si="113">(F271-F270)/F270</f>
        <v>-1.0865560987589911E-2</v>
      </c>
      <c r="H271" s="246">
        <f t="shared" si="102"/>
        <v>1.2481096686764771E-2</v>
      </c>
      <c r="I271" s="247">
        <v>374259.41</v>
      </c>
      <c r="J271" s="248">
        <v>400000</v>
      </c>
      <c r="K271" s="248">
        <f t="shared" si="103"/>
        <v>-12792.740000000049</v>
      </c>
      <c r="L271" s="171">
        <f t="shared" si="111"/>
        <v>-3.3051721841617594E-2</v>
      </c>
      <c r="M271" s="249">
        <f t="shared" si="106"/>
        <v>-25740.590000000026</v>
      </c>
      <c r="N271" s="250">
        <f t="shared" si="99"/>
        <v>-6.4351475000000061E-2</v>
      </c>
      <c r="O271" s="183">
        <f t="shared" si="108"/>
        <v>-5.9807573139313036E-2</v>
      </c>
      <c r="P271" s="249" t="b">
        <f t="shared" si="104"/>
        <v>0</v>
      </c>
      <c r="Q271" s="250">
        <f>COUNTIF(P$2:P271, TRUE)/(COUNTIF(P$2:P271,FALSE) + COUNTIF(P$2:P271, TRUE))</f>
        <v>0.49629629629629629</v>
      </c>
      <c r="R271" s="248">
        <v>294807.52</v>
      </c>
      <c r="S271" s="248">
        <f t="shared" si="96"/>
        <v>79451.889999999956</v>
      </c>
      <c r="T271" s="248">
        <v>-40449</v>
      </c>
      <c r="U271" s="248">
        <f t="shared" si="97"/>
        <v>14708.409999999974</v>
      </c>
      <c r="V271" s="250">
        <f>STDEV(D$2:D271)*SQRT(252)</f>
        <v>0.16813876158922561</v>
      </c>
      <c r="W271" s="250">
        <f>STDEV(L$2:L271)*SQRT(252)</f>
        <v>0.36172480886226521</v>
      </c>
      <c r="X271" s="174">
        <f t="shared" si="82"/>
        <v>-0.16533998131736136</v>
      </c>
    </row>
    <row r="272" spans="1:24" ht="20.100000000000001" customHeight="1" x14ac:dyDescent="0.25">
      <c r="A272" s="163">
        <f t="shared" si="95"/>
        <v>394</v>
      </c>
      <c r="B272" s="242">
        <v>42627</v>
      </c>
      <c r="C272" s="243">
        <v>2125.77</v>
      </c>
      <c r="D272" s="171">
        <f t="shared" si="112"/>
        <v>-5.8767665560267412E-4</v>
      </c>
      <c r="E272" s="244">
        <f t="shared" si="100"/>
        <v>1.1096630581609904E-2</v>
      </c>
      <c r="F272" s="245">
        <v>5173.7700000000004</v>
      </c>
      <c r="G272" s="171">
        <f t="shared" si="113"/>
        <v>3.5924542941662258E-3</v>
      </c>
      <c r="H272" s="246">
        <f t="shared" si="102"/>
        <v>1.6118388750319269E-2</v>
      </c>
      <c r="I272" s="247">
        <v>370693.02</v>
      </c>
      <c r="J272" s="248">
        <v>400000</v>
      </c>
      <c r="K272" s="248">
        <f t="shared" si="103"/>
        <v>-3566.3899999999558</v>
      </c>
      <c r="L272" s="171">
        <f t="shared" si="111"/>
        <v>-9.5291925993255741E-3</v>
      </c>
      <c r="M272" s="249">
        <f t="shared" si="106"/>
        <v>-29306.979999999981</v>
      </c>
      <c r="N272" s="250">
        <f t="shared" si="99"/>
        <v>-7.3267449999999956E-2</v>
      </c>
      <c r="O272" s="183">
        <f t="shared" si="108"/>
        <v>-6.7921157645939048E-2</v>
      </c>
      <c r="P272" s="249" t="b">
        <f t="shared" si="104"/>
        <v>0</v>
      </c>
      <c r="Q272" s="250">
        <f>COUNTIF(P$2:P272, TRUE)/(COUNTIF(P$2:P272,FALSE) + COUNTIF(P$2:P272, TRUE))</f>
        <v>0.49446494464944651</v>
      </c>
      <c r="R272" s="248">
        <v>304166.43</v>
      </c>
      <c r="S272" s="248">
        <f t="shared" si="96"/>
        <v>66526.590000000026</v>
      </c>
      <c r="T272" s="248">
        <v>-43966</v>
      </c>
      <c r="U272" s="248">
        <f t="shared" si="97"/>
        <v>14659.020000000019</v>
      </c>
      <c r="V272" s="250">
        <f>STDEV(D$2:D272)*SQRT(252)</f>
        <v>0.16782725694658282</v>
      </c>
      <c r="W272" s="250">
        <f>STDEV(L$2:L272)*SQRT(252)</f>
        <v>0.36117811757925894</v>
      </c>
      <c r="X272" s="174">
        <f t="shared" si="82"/>
        <v>-0.18805446493040667</v>
      </c>
    </row>
    <row r="273" spans="1:24" ht="20.100000000000001" customHeight="1" x14ac:dyDescent="0.25">
      <c r="A273" s="163">
        <f t="shared" si="95"/>
        <v>395</v>
      </c>
      <c r="B273" s="242">
        <v>42628</v>
      </c>
      <c r="C273" s="243">
        <v>2147.2600000000002</v>
      </c>
      <c r="D273" s="171">
        <f t="shared" si="112"/>
        <v>1.0109278049836171E-2</v>
      </c>
      <c r="E273" s="244">
        <f t="shared" si="100"/>
        <v>2.1318087555411886E-2</v>
      </c>
      <c r="F273" s="245">
        <v>5249.68</v>
      </c>
      <c r="G273" s="171">
        <f t="shared" si="113"/>
        <v>1.4672086312302218E-2</v>
      </c>
      <c r="H273" s="246">
        <f t="shared" si="102"/>
        <v>3.1026965453581412E-2</v>
      </c>
      <c r="I273" s="247">
        <v>375852.08</v>
      </c>
      <c r="J273" s="248">
        <v>400000</v>
      </c>
      <c r="K273" s="248">
        <f t="shared" si="103"/>
        <v>5159.0599999999977</v>
      </c>
      <c r="L273" s="171">
        <f t="shared" si="111"/>
        <v>1.3917337855457859E-2</v>
      </c>
      <c r="M273" s="249">
        <f t="shared" si="106"/>
        <v>-24147.919999999984</v>
      </c>
      <c r="N273" s="250">
        <f t="shared" si="99"/>
        <v>-6.036979999999996E-2</v>
      </c>
      <c r="O273" s="183">
        <f t="shared" si="108"/>
        <v>-5.582296063291136E-2</v>
      </c>
      <c r="P273" s="249" t="b">
        <f t="shared" si="104"/>
        <v>1</v>
      </c>
      <c r="Q273" s="250">
        <f>COUNTIF(P$2:P273, TRUE)/(COUNTIF(P$2:P273,FALSE) + COUNTIF(P$2:P273, TRUE))</f>
        <v>0.49632352941176472</v>
      </c>
      <c r="R273" s="248">
        <v>309277.58</v>
      </c>
      <c r="S273" s="248">
        <f t="shared" si="96"/>
        <v>66574.5</v>
      </c>
      <c r="T273" s="248">
        <v>-40569</v>
      </c>
      <c r="U273" s="248">
        <f t="shared" si="97"/>
        <v>16421.080000000016</v>
      </c>
      <c r="V273" s="250">
        <f>STDEV(D$2:D273)*SQRT(252)</f>
        <v>0.16779419960031708</v>
      </c>
      <c r="W273" s="250">
        <f>STDEV(L$2:L273)*SQRT(252)</f>
        <v>0.36074703023734866</v>
      </c>
      <c r="X273" s="174">
        <f t="shared" si="82"/>
        <v>-0.15474267548698431</v>
      </c>
    </row>
    <row r="274" spans="1:24" ht="20.100000000000001" customHeight="1" x14ac:dyDescent="0.25">
      <c r="A274" s="163">
        <f t="shared" si="95"/>
        <v>396</v>
      </c>
      <c r="B274" s="242">
        <v>42629</v>
      </c>
      <c r="C274" s="243">
        <v>2139.16</v>
      </c>
      <c r="D274" s="171">
        <f t="shared" si="112"/>
        <v>-3.7722492851356439E-3</v>
      </c>
      <c r="E274" s="244">
        <f t="shared" si="100"/>
        <v>1.7465421129734877E-2</v>
      </c>
      <c r="F274" s="245">
        <v>5244.56</v>
      </c>
      <c r="G274" s="171">
        <f t="shared" si="113"/>
        <v>-9.7529754194539294E-4</v>
      </c>
      <c r="H274" s="246">
        <f t="shared" si="102"/>
        <v>3.0021407388495118E-2</v>
      </c>
      <c r="I274" s="247">
        <v>375872.83</v>
      </c>
      <c r="J274" s="248">
        <v>400000</v>
      </c>
      <c r="K274" s="248">
        <f t="shared" si="103"/>
        <v>20.75</v>
      </c>
      <c r="L274" s="171">
        <f t="shared" si="111"/>
        <v>5.5207889231316743E-5</v>
      </c>
      <c r="M274" s="249">
        <f t="shared" ref="M274:M279" si="114">I274-J274</f>
        <v>-24127.169999999984</v>
      </c>
      <c r="N274" s="250">
        <f t="shared" si="99"/>
        <v>-6.031792499999996E-2</v>
      </c>
      <c r="O274" s="183">
        <f t="shared" si="108"/>
        <v>-5.5634146732954505E-2</v>
      </c>
      <c r="P274" s="249" t="b">
        <f t="shared" si="104"/>
        <v>1</v>
      </c>
      <c r="Q274" s="250">
        <f>COUNTIF(P$2:P274, TRUE)/(COUNTIF(P$2:P274,FALSE) + COUNTIF(P$2:P274, TRUE))</f>
        <v>0.49816849816849818</v>
      </c>
      <c r="R274" s="248">
        <v>307021.42</v>
      </c>
      <c r="S274" s="248">
        <f t="shared" si="96"/>
        <v>68851.410000000033</v>
      </c>
      <c r="T274" s="248">
        <v>-40175</v>
      </c>
      <c r="U274" s="248">
        <f t="shared" si="97"/>
        <v>16047.830000000016</v>
      </c>
      <c r="V274" s="250">
        <f>STDEV(D$2:D274)*SQRT(252)</f>
        <v>0.16752651970065091</v>
      </c>
      <c r="W274" s="250">
        <f>STDEV(L$2:L274)*SQRT(252)</f>
        <v>0.36008095750354496</v>
      </c>
      <c r="X274" s="174">
        <f t="shared" si="82"/>
        <v>-0.1545045511950095</v>
      </c>
    </row>
    <row r="275" spans="1:24" ht="20.100000000000001" customHeight="1" x14ac:dyDescent="0.25">
      <c r="A275" s="163">
        <f t="shared" si="95"/>
        <v>399</v>
      </c>
      <c r="B275" s="172">
        <v>42632</v>
      </c>
      <c r="C275" s="215">
        <v>2139.12</v>
      </c>
      <c r="D275" s="171">
        <f t="shared" si="112"/>
        <v>-1.8698928551377E-5</v>
      </c>
      <c r="E275" s="209">
        <f t="shared" si="100"/>
        <v>1.7446395616521677E-2</v>
      </c>
      <c r="F275" s="219">
        <v>5235.0200000000004</v>
      </c>
      <c r="G275" s="171">
        <f t="shared" si="113"/>
        <v>-1.8190277163384464E-3</v>
      </c>
      <c r="H275" s="203">
        <f t="shared" si="102"/>
        <v>2.8147769900033509E-2</v>
      </c>
      <c r="I275" s="221">
        <v>373123.48</v>
      </c>
      <c r="J275" s="173">
        <v>400000</v>
      </c>
      <c r="K275" s="173">
        <f t="shared" si="103"/>
        <v>-2749.3500000000349</v>
      </c>
      <c r="L275" s="171">
        <f t="shared" si="111"/>
        <v>-7.3145749853747999E-3</v>
      </c>
      <c r="M275" s="182">
        <f t="shared" si="114"/>
        <v>-26876.520000000019</v>
      </c>
      <c r="N275" s="184">
        <f t="shared" si="99"/>
        <v>-6.7191300000000051E-2</v>
      </c>
      <c r="O275" s="183">
        <f t="shared" si="108"/>
        <v>-6.1507825375939899E-2</v>
      </c>
      <c r="P275" s="182" t="b">
        <f t="shared" si="104"/>
        <v>0</v>
      </c>
      <c r="Q275" s="184">
        <f>COUNTIF(P$2:P275, TRUE)/(COUNTIF(P$2:P275,FALSE) + COUNTIF(P$2:P275, TRUE))</f>
        <v>0.49635036496350365</v>
      </c>
      <c r="R275" s="173">
        <v>307089.07</v>
      </c>
      <c r="S275" s="173">
        <f t="shared" si="96"/>
        <v>66034.409999999974</v>
      </c>
      <c r="T275" s="173">
        <v>-41834</v>
      </c>
      <c r="U275" s="173">
        <f t="shared" si="97"/>
        <v>14957.479999999981</v>
      </c>
      <c r="V275" s="184">
        <f>STDEV(D$2:D275)*SQRT(252)</f>
        <v>0.16721833549598966</v>
      </c>
      <c r="W275" s="184">
        <f>STDEV(L$2:L275)*SQRT(252)</f>
        <v>0.35949423119806312</v>
      </c>
      <c r="X275" s="174">
        <f t="shared" si="82"/>
        <v>-0.17109544476126018</v>
      </c>
    </row>
    <row r="276" spans="1:24" ht="20.100000000000001" customHeight="1" x14ac:dyDescent="0.25">
      <c r="A276" s="163">
        <f t="shared" si="95"/>
        <v>400</v>
      </c>
      <c r="B276" s="172">
        <v>42633</v>
      </c>
      <c r="C276" s="215">
        <v>2139.7600000000002</v>
      </c>
      <c r="D276" s="171">
        <f t="shared" si="112"/>
        <v>2.991884513259319E-4</v>
      </c>
      <c r="E276" s="209">
        <f t="shared" si="100"/>
        <v>1.7750803827933335E-2</v>
      </c>
      <c r="F276" s="219">
        <v>5241.3500000000004</v>
      </c>
      <c r="G276" s="171">
        <f t="shared" si="113"/>
        <v>1.2091644349018584E-3</v>
      </c>
      <c r="H276" s="203">
        <f t="shared" si="102"/>
        <v>2.9390969617220292E-2</v>
      </c>
      <c r="I276" s="221">
        <v>372718.71</v>
      </c>
      <c r="J276" s="173">
        <v>400000</v>
      </c>
      <c r="K276" s="173">
        <f t="shared" si="103"/>
        <v>-404.76999999996042</v>
      </c>
      <c r="L276" s="171">
        <f t="shared" si="111"/>
        <v>-1.0848151394813332E-3</v>
      </c>
      <c r="M276" s="182">
        <f t="shared" si="114"/>
        <v>-27281.289999999979</v>
      </c>
      <c r="N276" s="184">
        <f t="shared" si="99"/>
        <v>-6.8203224999999951E-2</v>
      </c>
      <c r="O276" s="183">
        <f t="shared" si="108"/>
        <v>-6.2278069828124956E-2</v>
      </c>
      <c r="P276" s="182" t="b">
        <f t="shared" si="104"/>
        <v>0</v>
      </c>
      <c r="Q276" s="184">
        <f>COUNTIF(P$2:P276, TRUE)/(COUNTIF(P$2:P276,FALSE) + COUNTIF(P$2:P276, TRUE))</f>
        <v>0.49454545454545457</v>
      </c>
      <c r="R276" s="173">
        <v>311226.5</v>
      </c>
      <c r="S276" s="173">
        <f t="shared" si="96"/>
        <v>61492.210000000021</v>
      </c>
      <c r="T276" s="173">
        <v>-42647</v>
      </c>
      <c r="U276" s="173">
        <f t="shared" si="97"/>
        <v>15365.710000000021</v>
      </c>
      <c r="V276" s="184">
        <f>STDEV(D$2:D276)*SQRT(252)</f>
        <v>0.16691188354135808</v>
      </c>
      <c r="W276" s="184">
        <f>STDEV(L$2:L276)*SQRT(252)</f>
        <v>0.35883781630276246</v>
      </c>
      <c r="X276" s="174">
        <f t="shared" si="82"/>
        <v>-0.17355492369728123</v>
      </c>
    </row>
    <row r="277" spans="1:24" ht="20.100000000000001" customHeight="1" x14ac:dyDescent="0.25">
      <c r="A277" s="163">
        <f>B277-$B$2</f>
        <v>401</v>
      </c>
      <c r="B277" s="172">
        <v>42634</v>
      </c>
      <c r="C277" s="215">
        <v>2163.12</v>
      </c>
      <c r="D277" s="171">
        <f t="shared" si="112"/>
        <v>1.0917112199498855E-2</v>
      </c>
      <c r="E277" s="209">
        <f t="shared" si="100"/>
        <v>2.8861703544453034E-2</v>
      </c>
      <c r="F277" s="219">
        <v>5295.18</v>
      </c>
      <c r="G277" s="171">
        <f t="shared" si="113"/>
        <v>1.0270254800766963E-2</v>
      </c>
      <c r="H277" s="203">
        <f t="shared" si="102"/>
        <v>3.9963077164797703E-2</v>
      </c>
      <c r="I277" s="221">
        <v>382463.62</v>
      </c>
      <c r="J277" s="173">
        <v>400000</v>
      </c>
      <c r="K277" s="173">
        <f t="shared" si="103"/>
        <v>9744.9099999999744</v>
      </c>
      <c r="L277" s="171">
        <f t="shared" si="111"/>
        <v>2.6145481132406726E-2</v>
      </c>
      <c r="M277" s="182">
        <f t="shared" si="114"/>
        <v>-17536.380000000005</v>
      </c>
      <c r="N277" s="184">
        <f t="shared" si="99"/>
        <v>-4.384095000000001E-2</v>
      </c>
      <c r="O277" s="183">
        <f t="shared" si="108"/>
        <v>-3.9932436377805497E-2</v>
      </c>
      <c r="P277" s="182" t="b">
        <f t="shared" si="104"/>
        <v>1</v>
      </c>
      <c r="Q277" s="184">
        <f>COUNTIF(P$2:P277, TRUE)/(COUNTIF(P$2:P277,FALSE) + COUNTIF(P$2:P277, TRUE))</f>
        <v>0.49637681159420288</v>
      </c>
      <c r="R277" s="173">
        <v>306380.55</v>
      </c>
      <c r="S277" s="173">
        <f t="shared" si="96"/>
        <v>76083.070000000007</v>
      </c>
      <c r="T277" s="173">
        <v>-34503</v>
      </c>
      <c r="U277" s="173">
        <f t="shared" si="97"/>
        <v>16966.619999999995</v>
      </c>
      <c r="V277" s="184">
        <f>STDEV(D$2:D277)*SQRT(252)</f>
        <v>0.16692734623146724</v>
      </c>
      <c r="W277" s="184">
        <f>STDEV(L$2:L277)*SQRT(252)</f>
        <v>0.35903354110809649</v>
      </c>
      <c r="X277" s="174">
        <f t="shared" si="82"/>
        <v>-0.11122202191628326</v>
      </c>
    </row>
    <row r="278" spans="1:24" ht="20.100000000000001" customHeight="1" x14ac:dyDescent="0.25">
      <c r="A278" s="163">
        <f t="shared" ref="A278:A300" si="115">B278-$B$2</f>
        <v>402</v>
      </c>
      <c r="B278" s="172">
        <v>42635</v>
      </c>
      <c r="C278" s="215">
        <v>2177.1799999999998</v>
      </c>
      <c r="D278" s="171">
        <f t="shared" si="112"/>
        <v>6.4998705573430723E-3</v>
      </c>
      <c r="E278" s="209">
        <f t="shared" si="100"/>
        <v>3.5549171438899463E-2</v>
      </c>
      <c r="F278" s="219">
        <v>5339.52</v>
      </c>
      <c r="G278" s="171">
        <f t="shared" si="113"/>
        <v>8.373653020293954E-3</v>
      </c>
      <c r="H278" s="203">
        <f t="shared" si="102"/>
        <v>4.8671367126892913E-2</v>
      </c>
      <c r="I278" s="221">
        <v>385198.84</v>
      </c>
      <c r="J278" s="173">
        <v>400000</v>
      </c>
      <c r="K278" s="173">
        <f t="shared" si="103"/>
        <v>2735.2200000000303</v>
      </c>
      <c r="L278" s="171">
        <f t="shared" si="111"/>
        <v>7.1515821557094246E-3</v>
      </c>
      <c r="M278" s="182">
        <f t="shared" si="114"/>
        <v>-14801.159999999974</v>
      </c>
      <c r="N278" s="184">
        <f t="shared" si="99"/>
        <v>-3.7002899999999936E-2</v>
      </c>
      <c r="O278" s="183">
        <f t="shared" si="108"/>
        <v>-3.3620172201492479E-2</v>
      </c>
      <c r="P278" s="182" t="b">
        <f t="shared" si="104"/>
        <v>1</v>
      </c>
      <c r="Q278" s="184">
        <f>COUNTIF(P$2:P278, TRUE)/(COUNTIF(P$2:P278,FALSE) + COUNTIF(P$2:P278, TRUE))</f>
        <v>0.49819494584837543</v>
      </c>
      <c r="R278" s="173">
        <v>301575.81</v>
      </c>
      <c r="S278" s="173">
        <f t="shared" si="96"/>
        <v>83623.030000000028</v>
      </c>
      <c r="T278" s="173">
        <v>-32239</v>
      </c>
      <c r="U278" s="173">
        <f t="shared" si="97"/>
        <v>17437.840000000026</v>
      </c>
      <c r="V278" s="184">
        <f>STDEV(D$2:D278)*SQRT(252)</f>
        <v>0.16673370046778063</v>
      </c>
      <c r="W278" s="184">
        <f>STDEV(L$2:L278)*SQRT(252)</f>
        <v>0.35843771988043882</v>
      </c>
      <c r="X278" s="174">
        <f t="shared" si="82"/>
        <v>-9.379641242195963E-2</v>
      </c>
    </row>
    <row r="279" spans="1:24" ht="20.100000000000001" customHeight="1" x14ac:dyDescent="0.25">
      <c r="A279" s="163">
        <f t="shared" si="115"/>
        <v>403</v>
      </c>
      <c r="B279" s="172">
        <v>42636</v>
      </c>
      <c r="C279" s="215">
        <v>2164.69</v>
      </c>
      <c r="D279" s="171">
        <f t="shared" si="112"/>
        <v>-5.7367787688660478E-3</v>
      </c>
      <c r="E279" s="209">
        <f t="shared" si="100"/>
        <v>2.9608454938071953E-2</v>
      </c>
      <c r="F279" s="219">
        <v>5305.74</v>
      </c>
      <c r="G279" s="171">
        <f t="shared" si="113"/>
        <v>-6.3264113628192517E-3</v>
      </c>
      <c r="H279" s="203">
        <f t="shared" si="102"/>
        <v>4.2037040674038136E-2</v>
      </c>
      <c r="I279" s="221">
        <v>381118.05</v>
      </c>
      <c r="J279" s="173">
        <v>400000</v>
      </c>
      <c r="K279" s="173">
        <f t="shared" si="103"/>
        <v>-4080.7900000000373</v>
      </c>
      <c r="L279" s="171">
        <f t="shared" si="111"/>
        <v>-1.0593983097145456E-2</v>
      </c>
      <c r="M279" s="182">
        <f t="shared" si="114"/>
        <v>-18881.950000000012</v>
      </c>
      <c r="N279" s="184">
        <f t="shared" si="99"/>
        <v>-4.7204875000000028E-2</v>
      </c>
      <c r="O279" s="183">
        <f t="shared" si="108"/>
        <v>-4.2783078396402011E-2</v>
      </c>
      <c r="P279" s="182" t="b">
        <f t="shared" si="104"/>
        <v>0</v>
      </c>
      <c r="Q279" s="184">
        <f>COUNTIF(P$2:P279, TRUE)/(COUNTIF(P$2:P279,FALSE) + COUNTIF(P$2:P279, TRUE))</f>
        <v>0.49640287769784175</v>
      </c>
      <c r="R279" s="173">
        <v>300371.02</v>
      </c>
      <c r="S279" s="173">
        <f t="shared" si="96"/>
        <v>80747.02999999997</v>
      </c>
      <c r="T279" s="173">
        <v>-36012</v>
      </c>
      <c r="U279" s="173">
        <f t="shared" si="97"/>
        <v>17130.049999999988</v>
      </c>
      <c r="V279" s="184">
        <f>STDEV(D$2:D279)*SQRT(252)</f>
        <v>0.16652707926624533</v>
      </c>
      <c r="W279" s="184">
        <f>STDEV(L$2:L279)*SQRT(252)</f>
        <v>0.35794291849606197</v>
      </c>
      <c r="X279" s="174">
        <f t="shared" si="82"/>
        <v>-0.11952486328311787</v>
      </c>
    </row>
    <row r="280" spans="1:24" ht="20.100000000000001" customHeight="1" x14ac:dyDescent="0.25">
      <c r="A280" s="163">
        <f t="shared" si="115"/>
        <v>406</v>
      </c>
      <c r="B280" s="242">
        <v>42639</v>
      </c>
      <c r="C280" s="332">
        <v>2146.1</v>
      </c>
      <c r="D280" s="171">
        <f t="shared" si="112"/>
        <v>-8.5878347477006609E-3</v>
      </c>
      <c r="E280" s="244">
        <f t="shared" si="100"/>
        <v>2.0766347672228389E-2</v>
      </c>
      <c r="F280" s="245">
        <v>5257.49</v>
      </c>
      <c r="G280" s="171">
        <f t="shared" si="113"/>
        <v>-9.093924692879788E-3</v>
      </c>
      <c r="H280" s="246">
        <f t="shared" si="102"/>
        <v>3.256083429895712E-2</v>
      </c>
      <c r="I280" s="247">
        <v>378419.42</v>
      </c>
      <c r="J280" s="248">
        <v>400000</v>
      </c>
      <c r="K280" s="248">
        <f t="shared" si="103"/>
        <v>-2698.6300000000047</v>
      </c>
      <c r="L280" s="171">
        <f t="shared" si="111"/>
        <v>-7.0808244322198982E-3</v>
      </c>
      <c r="M280" s="249">
        <f t="shared" ref="M280:M311" si="116">I280-J280</f>
        <v>-21580.580000000016</v>
      </c>
      <c r="N280" s="250">
        <f t="shared" si="99"/>
        <v>-5.395145000000004E-2</v>
      </c>
      <c r="O280" s="183">
        <f t="shared" si="108"/>
        <v>-4.8536372198275897E-2</v>
      </c>
      <c r="P280" s="249" t="b">
        <f t="shared" si="104"/>
        <v>1</v>
      </c>
      <c r="Q280" s="250">
        <f>COUNTIF(P$2:P280, TRUE)/(COUNTIF(P$2:P280,FALSE) + COUNTIF(P$2:P280, TRUE))</f>
        <v>0.49820788530465948</v>
      </c>
      <c r="R280" s="248">
        <v>310812.53000000003</v>
      </c>
      <c r="S280" s="248">
        <f t="shared" si="96"/>
        <v>67606.889999999956</v>
      </c>
      <c r="T280" s="248">
        <v>-37706</v>
      </c>
      <c r="U280" s="248">
        <f t="shared" si="97"/>
        <v>16125.419999999984</v>
      </c>
      <c r="V280" s="250">
        <f>STDEV(D$2:D280)*SQRT(252)</f>
        <v>0.1664347537339865</v>
      </c>
      <c r="W280" s="250">
        <f>STDEV(L$2:L280)*SQRT(252)</f>
        <v>0.35736746994840918</v>
      </c>
      <c r="X280" s="174">
        <f t="shared" si="82"/>
        <v>-0.13581642505201377</v>
      </c>
    </row>
    <row r="281" spans="1:24" ht="20.100000000000001" customHeight="1" x14ac:dyDescent="0.25">
      <c r="A281" s="163">
        <f t="shared" si="115"/>
        <v>407</v>
      </c>
      <c r="B281" s="242">
        <v>42640</v>
      </c>
      <c r="C281" s="332">
        <v>2159.9299999999998</v>
      </c>
      <c r="D281" s="171">
        <f t="shared" si="112"/>
        <v>6.4442477051395216E-3</v>
      </c>
      <c r="E281" s="244">
        <f t="shared" si="100"/>
        <v>2.7344418865698796E-2</v>
      </c>
      <c r="F281" s="245">
        <v>5305.71</v>
      </c>
      <c r="G281" s="171">
        <f t="shared" si="113"/>
        <v>9.1716769789386681E-3</v>
      </c>
      <c r="H281" s="246">
        <f t="shared" si="102"/>
        <v>4.203114873225057E-2</v>
      </c>
      <c r="I281" s="247">
        <v>375834.82</v>
      </c>
      <c r="J281" s="248">
        <v>400000</v>
      </c>
      <c r="K281" s="248">
        <f t="shared" si="103"/>
        <v>-2584.5999999999767</v>
      </c>
      <c r="L281" s="171">
        <f t="shared" si="111"/>
        <v>-6.8299877421723679E-3</v>
      </c>
      <c r="M281" s="249">
        <f t="shared" si="116"/>
        <v>-24165.179999999993</v>
      </c>
      <c r="N281" s="250">
        <f t="shared" si="99"/>
        <v>-6.0412949999999979E-2</v>
      </c>
      <c r="O281" s="183">
        <f t="shared" si="108"/>
        <v>-5.4215798495085982E-2</v>
      </c>
      <c r="P281" s="249" t="b">
        <f t="shared" si="104"/>
        <v>0</v>
      </c>
      <c r="Q281" s="250">
        <f>COUNTIF(P$2:P281, TRUE)/(COUNTIF(P$2:P281,FALSE) + COUNTIF(P$2:P281, TRUE))</f>
        <v>0.49642857142857144</v>
      </c>
      <c r="R281" s="248">
        <v>313206.95</v>
      </c>
      <c r="S281" s="248">
        <f t="shared" si="96"/>
        <v>62627.869999999995</v>
      </c>
      <c r="T281" s="248">
        <v>-41827</v>
      </c>
      <c r="U281" s="248">
        <f t="shared" si="97"/>
        <v>17661.820000000007</v>
      </c>
      <c r="V281" s="250">
        <f>STDEV(D$2:D281)*SQRT(252)</f>
        <v>0.16624352629269787</v>
      </c>
      <c r="W281" s="250">
        <f>STDEV(L$2:L281)*SQRT(252)</f>
        <v>0.35679007137958157</v>
      </c>
      <c r="X281" s="174">
        <f t="shared" si="82"/>
        <v>-0.15195433630048219</v>
      </c>
    </row>
    <row r="282" spans="1:24" ht="20.100000000000001" customHeight="1" x14ac:dyDescent="0.25">
      <c r="A282" s="163">
        <f t="shared" si="115"/>
        <v>408</v>
      </c>
      <c r="B282" s="242">
        <v>42641</v>
      </c>
      <c r="C282" s="243">
        <v>2171.37</v>
      </c>
      <c r="D282" s="171">
        <f t="shared" si="112"/>
        <v>5.2964679410907088E-3</v>
      </c>
      <c r="E282" s="244">
        <f t="shared" si="100"/>
        <v>3.2785715644679435E-2</v>
      </c>
      <c r="F282" s="245">
        <v>5318.54</v>
      </c>
      <c r="G282" s="171">
        <f t="shared" si="113"/>
        <v>2.4181495030825145E-3</v>
      </c>
      <c r="H282" s="246">
        <f t="shared" si="102"/>
        <v>4.4550935836753965E-2</v>
      </c>
      <c r="I282" s="247">
        <v>385764.92</v>
      </c>
      <c r="J282" s="248">
        <v>400000</v>
      </c>
      <c r="K282" s="248">
        <f t="shared" si="103"/>
        <v>9930.0999999999767</v>
      </c>
      <c r="L282" s="171">
        <f t="shared" si="111"/>
        <v>2.6421447592322542E-2</v>
      </c>
      <c r="M282" s="249">
        <f t="shared" si="116"/>
        <v>-14235.080000000016</v>
      </c>
      <c r="N282" s="250">
        <f t="shared" si="99"/>
        <v>-3.5587700000000042E-2</v>
      </c>
      <c r="O282" s="183">
        <f t="shared" si="108"/>
        <v>-3.1858841727941213E-2</v>
      </c>
      <c r="P282" s="249" t="b">
        <f t="shared" si="104"/>
        <v>1</v>
      </c>
      <c r="Q282" s="250">
        <f>COUNTIF(P$2:P282, TRUE)/(COUNTIF(P$2:P282,FALSE) + COUNTIF(P$2:P282, TRUE))</f>
        <v>0.49822064056939502</v>
      </c>
      <c r="R282" s="248">
        <v>304000.24</v>
      </c>
      <c r="S282" s="248">
        <f t="shared" si="96"/>
        <v>81764.679999999993</v>
      </c>
      <c r="T282" s="248">
        <v>-31374</v>
      </c>
      <c r="U282" s="248">
        <f t="shared" si="97"/>
        <v>17138.919999999984</v>
      </c>
      <c r="V282" s="250">
        <f>STDEV(D$2:D282)*SQRT(252)</f>
        <v>0.16601709899528619</v>
      </c>
      <c r="W282" s="250">
        <f>STDEV(L$2:L282)*SQRT(252)</f>
        <v>0.35700717953973932</v>
      </c>
      <c r="X282" s="174">
        <f t="shared" si="82"/>
        <v>-8.9238658362597242E-2</v>
      </c>
    </row>
    <row r="283" spans="1:24" ht="20.100000000000001" customHeight="1" x14ac:dyDescent="0.25">
      <c r="A283" s="163">
        <f t="shared" si="115"/>
        <v>409</v>
      </c>
      <c r="B283" s="242">
        <v>42642</v>
      </c>
      <c r="C283" s="243">
        <v>2151.13</v>
      </c>
      <c r="D283" s="171">
        <f t="shared" si="112"/>
        <v>-9.3213040614910318E-3</v>
      </c>
      <c r="E283" s="244">
        <f t="shared" si="100"/>
        <v>2.3158805958790763E-2</v>
      </c>
      <c r="F283" s="245">
        <v>5269.15</v>
      </c>
      <c r="G283" s="171">
        <f t="shared" si="113"/>
        <v>-9.286383105137937E-3</v>
      </c>
      <c r="H283" s="246">
        <f t="shared" si="102"/>
        <v>3.4850835673743509E-2</v>
      </c>
      <c r="I283" s="247">
        <v>389483.35</v>
      </c>
      <c r="J283" s="248">
        <v>400000</v>
      </c>
      <c r="K283" s="248">
        <f t="shared" si="103"/>
        <v>3718.429999999993</v>
      </c>
      <c r="L283" s="171">
        <f t="shared" si="111"/>
        <v>9.6391087090033824E-3</v>
      </c>
      <c r="M283" s="249">
        <f t="shared" si="116"/>
        <v>-10516.650000000023</v>
      </c>
      <c r="N283" s="250">
        <f t="shared" si="99"/>
        <v>-2.6291625000000058E-2</v>
      </c>
      <c r="O283" s="183">
        <f t="shared" si="108"/>
        <v>-2.3479256800122299E-2</v>
      </c>
      <c r="P283" s="249" t="b">
        <f t="shared" si="104"/>
        <v>1</v>
      </c>
      <c r="Q283" s="250">
        <f>COUNTIF(P$2:P283, TRUE)/(COUNTIF(P$2:P283,FALSE) + COUNTIF(P$2:P283, TRUE))</f>
        <v>0.5</v>
      </c>
      <c r="R283" s="248">
        <v>298931.3</v>
      </c>
      <c r="S283" s="248">
        <f t="shared" si="96"/>
        <v>90552.049999999988</v>
      </c>
      <c r="T283" s="248">
        <v>-27372</v>
      </c>
      <c r="U283" s="248">
        <f t="shared" si="97"/>
        <v>16855.349999999977</v>
      </c>
      <c r="V283" s="250">
        <f>STDEV(D$2:D283)*SQRT(252)</f>
        <v>0.16596393387436578</v>
      </c>
      <c r="W283" s="250">
        <f>STDEV(L$2:L283)*SQRT(252)</f>
        <v>0.35647523622237404</v>
      </c>
      <c r="X283" s="174">
        <f t="shared" ref="X283:X346" si="117">O283/W283</f>
        <v>-6.5865043106320076E-2</v>
      </c>
    </row>
    <row r="284" spans="1:24" ht="20.100000000000001" customHeight="1" x14ac:dyDescent="0.25">
      <c r="A284" s="163">
        <f t="shared" si="115"/>
        <v>410</v>
      </c>
      <c r="B284" s="242">
        <v>42643</v>
      </c>
      <c r="C284" s="243">
        <v>2168.27</v>
      </c>
      <c r="D284" s="171">
        <f t="shared" si="112"/>
        <v>7.9679052405014442E-3</v>
      </c>
      <c r="E284" s="244">
        <f t="shared" si="100"/>
        <v>3.1311238370655012E-2</v>
      </c>
      <c r="F284" s="245">
        <v>5312</v>
      </c>
      <c r="G284" s="171">
        <f t="shared" si="113"/>
        <v>8.1322414431170813E-3</v>
      </c>
      <c r="H284" s="246">
        <f t="shared" si="102"/>
        <v>4.3266492527053869E-2</v>
      </c>
      <c r="I284" s="472">
        <v>389657.79</v>
      </c>
      <c r="J284" s="248">
        <v>400000</v>
      </c>
      <c r="K284" s="248">
        <f t="shared" si="103"/>
        <v>174.44000000000233</v>
      </c>
      <c r="L284" s="171">
        <f t="shared" si="111"/>
        <v>4.478753713092032E-4</v>
      </c>
      <c r="M284" s="249">
        <f t="shared" si="116"/>
        <v>-10342.210000000021</v>
      </c>
      <c r="N284" s="250">
        <f t="shared" si="99"/>
        <v>-2.5855525000000053E-2</v>
      </c>
      <c r="O284" s="183">
        <f t="shared" si="108"/>
        <v>-2.3033489039634193E-2</v>
      </c>
      <c r="P284" s="249" t="b">
        <f t="shared" si="104"/>
        <v>0</v>
      </c>
      <c r="Q284" s="250">
        <f>COUNTIF(P$2:P284, TRUE)/(COUNTIF(P$2:P284,FALSE) + COUNTIF(P$2:P284, TRUE))</f>
        <v>0.49823321554770317</v>
      </c>
      <c r="R284" s="248">
        <v>303944.73</v>
      </c>
      <c r="S284" s="248">
        <f t="shared" si="96"/>
        <v>85713.06</v>
      </c>
      <c r="T284" s="248">
        <v>-28150</v>
      </c>
      <c r="U284" s="248">
        <f t="shared" si="97"/>
        <v>17807.789999999979</v>
      </c>
      <c r="V284" s="250">
        <f>STDEV(D$2:D284)*SQRT(252)</f>
        <v>0.16583370781569123</v>
      </c>
      <c r="W284" s="250">
        <f>STDEV(L$2:L284)*SQRT(252)</f>
        <v>0.35584037520231043</v>
      </c>
      <c r="X284" s="174">
        <f t="shared" si="117"/>
        <v>-6.4729835748792333E-2</v>
      </c>
    </row>
    <row r="285" spans="1:24" ht="20.100000000000001" customHeight="1" x14ac:dyDescent="0.25">
      <c r="A285" s="163">
        <f t="shared" si="115"/>
        <v>413</v>
      </c>
      <c r="B285" s="172">
        <v>42646</v>
      </c>
      <c r="C285" s="215">
        <v>2161.1999999999998</v>
      </c>
      <c r="D285" s="171">
        <f t="shared" si="112"/>
        <v>-3.2606640316935453E-3</v>
      </c>
      <c r="E285" s="209">
        <f t="shared" si="100"/>
        <v>2.794847891021849E-2</v>
      </c>
      <c r="F285" s="219">
        <v>5300.87</v>
      </c>
      <c r="G285" s="171">
        <f t="shared" si="113"/>
        <v>-2.0952560240964061E-3</v>
      </c>
      <c r="H285" s="203">
        <f t="shared" si="102"/>
        <v>4.108058212384863E-2</v>
      </c>
      <c r="I285" s="221">
        <v>389787.58</v>
      </c>
      <c r="J285" s="173">
        <v>400000</v>
      </c>
      <c r="K285" s="173">
        <f t="shared" si="103"/>
        <v>129.79000000003725</v>
      </c>
      <c r="L285" s="171">
        <f t="shared" si="111"/>
        <v>3.3308714295186365E-4</v>
      </c>
      <c r="M285" s="182">
        <f t="shared" si="116"/>
        <v>-10212.419999999984</v>
      </c>
      <c r="N285" s="184">
        <f t="shared" si="99"/>
        <v>-2.5531049999999958E-2</v>
      </c>
      <c r="O285" s="183">
        <f t="shared" si="108"/>
        <v>-2.2579215526634347E-2</v>
      </c>
      <c r="P285" s="182" t="b">
        <f t="shared" si="104"/>
        <v>1</v>
      </c>
      <c r="Q285" s="184">
        <f>COUNTIF(P$2:P285, TRUE)/(COUNTIF(P$2:P285,FALSE) + COUNTIF(P$2:P285, TRUE))</f>
        <v>0.5</v>
      </c>
      <c r="R285" s="173">
        <v>316431.14</v>
      </c>
      <c r="S285" s="173">
        <f t="shared" ref="S285:S316" si="118">I285-R285</f>
        <v>73356.44</v>
      </c>
      <c r="T285" s="173">
        <v>-28447</v>
      </c>
      <c r="U285" s="173">
        <f t="shared" ref="U285:U316" si="119">M285-T285</f>
        <v>18234.580000000016</v>
      </c>
      <c r="V285" s="184">
        <f>STDEV(D$2:D285)*SQRT(252)</f>
        <v>0.16557095301003413</v>
      </c>
      <c r="W285" s="184">
        <f>STDEV(L$2:L285)*SQRT(252)</f>
        <v>0.35520892170812252</v>
      </c>
      <c r="X285" s="174">
        <f t="shared" si="117"/>
        <v>-6.3566014665554588E-2</v>
      </c>
    </row>
    <row r="286" spans="1:24" ht="20.100000000000001" customHeight="1" x14ac:dyDescent="0.25">
      <c r="A286" s="163">
        <f t="shared" si="115"/>
        <v>414</v>
      </c>
      <c r="B286" s="172">
        <v>42647</v>
      </c>
      <c r="C286" s="215">
        <v>2150.4899999999998</v>
      </c>
      <c r="D286" s="171">
        <f t="shared" ref="D286:D295" si="120">(C286-C285)/C285</f>
        <v>-4.9555802332037933E-3</v>
      </c>
      <c r="E286" s="209">
        <f t="shared" si="100"/>
        <v>2.2854397747379105E-2</v>
      </c>
      <c r="F286" s="219">
        <v>5289.65</v>
      </c>
      <c r="G286" s="171">
        <f t="shared" ref="G286:G292" si="121">(F286-F285)/F285</f>
        <v>-2.1166336846593589E-3</v>
      </c>
      <c r="H286" s="203">
        <f t="shared" si="102"/>
        <v>3.8876995895280521E-2</v>
      </c>
      <c r="I286" s="221">
        <v>385233.03</v>
      </c>
      <c r="J286" s="173">
        <v>400000</v>
      </c>
      <c r="K286" s="173">
        <f t="shared" si="103"/>
        <v>-4554.5499999999884</v>
      </c>
      <c r="L286" s="171">
        <f t="shared" ref="L286:L295" si="122">K286/I285</f>
        <v>-1.1684697598625355E-2</v>
      </c>
      <c r="M286" s="182">
        <f t="shared" si="116"/>
        <v>-14766.969999999972</v>
      </c>
      <c r="N286" s="184">
        <f t="shared" ref="N286:N317" si="123">M286/J286</f>
        <v>-3.6917424999999927E-2</v>
      </c>
      <c r="O286" s="183">
        <f t="shared" si="108"/>
        <v>-3.2570264447463707E-2</v>
      </c>
      <c r="P286" s="182" t="b">
        <f t="shared" si="104"/>
        <v>0</v>
      </c>
      <c r="Q286" s="184">
        <f>COUNTIF(P$2:P286, TRUE)/(COUNTIF(P$2:P286,FALSE) + COUNTIF(P$2:P286, TRUE))</f>
        <v>0.49824561403508771</v>
      </c>
      <c r="R286" s="173">
        <v>337102.39</v>
      </c>
      <c r="S286" s="173">
        <f t="shared" si="118"/>
        <v>48130.640000000014</v>
      </c>
      <c r="T286" s="173">
        <v>-32163</v>
      </c>
      <c r="U286" s="173">
        <f t="shared" si="119"/>
        <v>17396.030000000028</v>
      </c>
      <c r="V286" s="184">
        <f>STDEV(D$2:D286)*SQRT(252)</f>
        <v>0.16534817054416481</v>
      </c>
      <c r="W286" s="184">
        <f>STDEV(L$2:L286)*SQRT(252)</f>
        <v>0.35476607688224249</v>
      </c>
      <c r="X286" s="174">
        <f t="shared" si="117"/>
        <v>-9.1807719423733836E-2</v>
      </c>
    </row>
    <row r="287" spans="1:24" ht="20.100000000000001" customHeight="1" x14ac:dyDescent="0.25">
      <c r="A287" s="163">
        <f t="shared" si="115"/>
        <v>415</v>
      </c>
      <c r="B287" s="172">
        <v>42648</v>
      </c>
      <c r="C287" s="215">
        <v>2159.73</v>
      </c>
      <c r="D287" s="171">
        <f t="shared" si="120"/>
        <v>4.2966951717981657E-3</v>
      </c>
      <c r="E287" s="209">
        <f t="shared" si="100"/>
        <v>2.7249291299632789E-2</v>
      </c>
      <c r="F287" s="219">
        <v>5316.02</v>
      </c>
      <c r="G287" s="171">
        <f t="shared" si="121"/>
        <v>4.9852069607631512E-3</v>
      </c>
      <c r="H287" s="203">
        <f t="shared" si="102"/>
        <v>4.4056012726594387E-2</v>
      </c>
      <c r="I287" s="221">
        <v>390592.54</v>
      </c>
      <c r="J287" s="173">
        <v>400000</v>
      </c>
      <c r="K287" s="173">
        <f t="shared" si="103"/>
        <v>5359.5099999999511</v>
      </c>
      <c r="L287" s="171">
        <f t="shared" si="122"/>
        <v>1.3912384407951599E-2</v>
      </c>
      <c r="M287" s="182">
        <f t="shared" si="116"/>
        <v>-9407.460000000021</v>
      </c>
      <c r="N287" s="184">
        <f t="shared" si="123"/>
        <v>-2.3518650000000054E-2</v>
      </c>
      <c r="O287" s="183">
        <f t="shared" si="108"/>
        <v>-2.0699245572289207E-2</v>
      </c>
      <c r="P287" s="182" t="b">
        <f t="shared" si="104"/>
        <v>1</v>
      </c>
      <c r="Q287" s="184">
        <f>COUNTIF(P$2:P287, TRUE)/(COUNTIF(P$2:P287,FALSE) + COUNTIF(P$2:P287, TRUE))</f>
        <v>0.5</v>
      </c>
      <c r="R287" s="173">
        <v>313332.61</v>
      </c>
      <c r="S287" s="173">
        <f t="shared" si="118"/>
        <v>77259.929999999993</v>
      </c>
      <c r="T287" s="173">
        <v>-29624</v>
      </c>
      <c r="U287" s="173">
        <f t="shared" si="119"/>
        <v>20216.539999999979</v>
      </c>
      <c r="V287" s="184">
        <f>STDEV(D$2:D287)*SQRT(252)</f>
        <v>0.16510322057626589</v>
      </c>
      <c r="W287" s="184">
        <f>STDEV(L$2:L287)*SQRT(252)</f>
        <v>0.35436735180004281</v>
      </c>
      <c r="X287" s="174">
        <f t="shared" si="117"/>
        <v>-5.8411830173252167E-2</v>
      </c>
    </row>
    <row r="288" spans="1:24" ht="20.100000000000001" customHeight="1" x14ac:dyDescent="0.25">
      <c r="A288" s="163">
        <f t="shared" si="115"/>
        <v>416</v>
      </c>
      <c r="B288" s="172">
        <v>42649</v>
      </c>
      <c r="C288" s="215">
        <v>2160.77</v>
      </c>
      <c r="D288" s="171">
        <f t="shared" si="120"/>
        <v>4.8154167419073849E-4</v>
      </c>
      <c r="E288" s="209">
        <f t="shared" ref="E288:E319" si="124">(C288-$C$2)/$C$2</f>
        <v>2.7743954643176465E-2</v>
      </c>
      <c r="F288" s="219">
        <v>5306.85</v>
      </c>
      <c r="G288" s="171">
        <f t="shared" si="121"/>
        <v>-1.7249746991170221E-3</v>
      </c>
      <c r="H288" s="203">
        <f t="shared" ref="H288:H319" si="125">(F288-F$2)/F$2</f>
        <v>4.225504252018001E-2</v>
      </c>
      <c r="I288" s="221">
        <v>390871.84</v>
      </c>
      <c r="J288" s="173">
        <v>400000</v>
      </c>
      <c r="K288" s="173">
        <f t="shared" ref="K288:K319" si="126">I288-I287-J288+J287</f>
        <v>279.30000000004657</v>
      </c>
      <c r="L288" s="171">
        <f t="shared" si="122"/>
        <v>7.1506742038659153E-4</v>
      </c>
      <c r="M288" s="182">
        <f t="shared" si="116"/>
        <v>-9128.1599999999744</v>
      </c>
      <c r="N288" s="184">
        <f t="shared" si="123"/>
        <v>-2.2820399999999935E-2</v>
      </c>
      <c r="O288" s="183">
        <f t="shared" si="108"/>
        <v>-2.0036420913461479E-2</v>
      </c>
      <c r="P288" s="182" t="b">
        <f t="shared" ref="P288:P319" si="127">L288&gt;D288</f>
        <v>1</v>
      </c>
      <c r="Q288" s="184">
        <f>COUNTIF(P$2:P288, TRUE)/(COUNTIF(P$2:P288,FALSE) + COUNTIF(P$2:P288, TRUE))</f>
        <v>0.50174216027874563</v>
      </c>
      <c r="R288" s="173">
        <v>335247.19</v>
      </c>
      <c r="S288" s="173">
        <f t="shared" si="118"/>
        <v>55624.650000000023</v>
      </c>
      <c r="T288" s="173">
        <v>-29330</v>
      </c>
      <c r="U288" s="173">
        <f t="shared" si="119"/>
        <v>20201.840000000026</v>
      </c>
      <c r="V288" s="184">
        <f>STDEV(D$2:D288)*SQRT(252)</f>
        <v>0.16481360805187978</v>
      </c>
      <c r="W288" s="184">
        <f>STDEV(L$2:L288)*SQRT(252)</f>
        <v>0.35374517129723698</v>
      </c>
      <c r="X288" s="174">
        <f t="shared" si="117"/>
        <v>-5.6640832269130054E-2</v>
      </c>
    </row>
    <row r="289" spans="1:24" ht="20.100000000000001" customHeight="1" x14ac:dyDescent="0.25">
      <c r="A289" s="163">
        <f t="shared" si="115"/>
        <v>417</v>
      </c>
      <c r="B289" s="172">
        <v>42650</v>
      </c>
      <c r="C289" s="215">
        <v>2153.7399999999998</v>
      </c>
      <c r="D289" s="171">
        <f t="shared" si="120"/>
        <v>-3.2534698278855224E-3</v>
      </c>
      <c r="E289" s="209">
        <f t="shared" si="124"/>
        <v>2.4400220695953143E-2</v>
      </c>
      <c r="F289" s="219">
        <v>5292.4</v>
      </c>
      <c r="G289" s="171">
        <f t="shared" si="121"/>
        <v>-2.7228958798535341E-3</v>
      </c>
      <c r="H289" s="203">
        <f t="shared" si="125"/>
        <v>3.9417090559145239E-2</v>
      </c>
      <c r="I289" s="221">
        <v>386326.18</v>
      </c>
      <c r="J289" s="173">
        <v>400000</v>
      </c>
      <c r="K289" s="173">
        <f t="shared" si="126"/>
        <v>-4545.6600000000326</v>
      </c>
      <c r="L289" s="171">
        <f t="shared" si="122"/>
        <v>-1.1629540772238881E-2</v>
      </c>
      <c r="M289" s="182">
        <f t="shared" si="116"/>
        <v>-13673.820000000007</v>
      </c>
      <c r="N289" s="184">
        <f t="shared" si="123"/>
        <v>-3.4184550000000015E-2</v>
      </c>
      <c r="O289" s="183">
        <f t="shared" si="108"/>
        <v>-2.9942222751798572E-2</v>
      </c>
      <c r="P289" s="182" t="b">
        <f t="shared" si="127"/>
        <v>0</v>
      </c>
      <c r="Q289" s="184">
        <f>COUNTIF(P$2:P289, TRUE)/(COUNTIF(P$2:P289,FALSE) + COUNTIF(P$2:P289, TRUE))</f>
        <v>0.5</v>
      </c>
      <c r="R289" s="173">
        <v>340123.03</v>
      </c>
      <c r="S289" s="173">
        <f t="shared" si="118"/>
        <v>46203.149999999965</v>
      </c>
      <c r="T289" s="173">
        <v>-30659</v>
      </c>
      <c r="U289" s="173">
        <f t="shared" si="119"/>
        <v>16985.179999999993</v>
      </c>
      <c r="V289" s="184">
        <f>STDEV(D$2:D289)*SQRT(252)</f>
        <v>0.16455611820081531</v>
      </c>
      <c r="W289" s="184">
        <f>STDEV(L$2:L289)*SQRT(252)</f>
        <v>0.35330879271171961</v>
      </c>
      <c r="X289" s="174">
        <f t="shared" si="117"/>
        <v>-8.4748026002935531E-2</v>
      </c>
    </row>
    <row r="290" spans="1:24" ht="20.100000000000001" customHeight="1" x14ac:dyDescent="0.25">
      <c r="A290" s="163">
        <f t="shared" si="115"/>
        <v>420</v>
      </c>
      <c r="B290" s="242">
        <v>42653</v>
      </c>
      <c r="C290" s="243">
        <v>2163.66</v>
      </c>
      <c r="D290" s="171">
        <f t="shared" si="120"/>
        <v>4.6059412928208948E-3</v>
      </c>
      <c r="E290" s="244">
        <f t="shared" si="124"/>
        <v>2.911854797283147E-2</v>
      </c>
      <c r="F290" s="245">
        <v>5328.67</v>
      </c>
      <c r="G290" s="171">
        <f t="shared" si="121"/>
        <v>6.8532234902880431E-3</v>
      </c>
      <c r="H290" s="246">
        <f t="shared" si="125"/>
        <v>4.6540448180372028E-2</v>
      </c>
      <c r="I290" s="247">
        <v>390200.44</v>
      </c>
      <c r="J290" s="248">
        <v>400000</v>
      </c>
      <c r="K290" s="248">
        <f t="shared" si="126"/>
        <v>3874.2600000000093</v>
      </c>
      <c r="L290" s="171">
        <f t="shared" si="122"/>
        <v>1.0028468689333997E-2</v>
      </c>
      <c r="M290" s="249">
        <f t="shared" si="116"/>
        <v>-9799.5599999999977</v>
      </c>
      <c r="N290" s="250">
        <f t="shared" si="123"/>
        <v>-2.4498899999999994E-2</v>
      </c>
      <c r="O290" s="183">
        <f t="shared" si="108"/>
        <v>-2.1305293392857139E-2</v>
      </c>
      <c r="P290" s="249" t="b">
        <f t="shared" si="127"/>
        <v>1</v>
      </c>
      <c r="Q290" s="250">
        <f>COUNTIF(P$2:P290, TRUE)/(COUNTIF(P$2:P290,FALSE) + COUNTIF(P$2:P290, TRUE))</f>
        <v>0.5017301038062284</v>
      </c>
      <c r="R290" s="248">
        <v>340124.03</v>
      </c>
      <c r="S290" s="248">
        <f t="shared" si="118"/>
        <v>50076.409999999974</v>
      </c>
      <c r="T290" s="248">
        <v>-26735</v>
      </c>
      <c r="U290" s="248">
        <f t="shared" si="119"/>
        <v>16935.440000000002</v>
      </c>
      <c r="V290" s="250">
        <f>STDEV(D$2:D290)*SQRT(252)</f>
        <v>0.16432235109111573</v>
      </c>
      <c r="W290" s="250">
        <f>STDEV(L$2:L290)*SQRT(252)</f>
        <v>0.35280655192521093</v>
      </c>
      <c r="X290" s="174">
        <f t="shared" si="117"/>
        <v>-6.0388032128647948E-2</v>
      </c>
    </row>
    <row r="291" spans="1:24" ht="20.100000000000001" customHeight="1" x14ac:dyDescent="0.25">
      <c r="A291" s="163">
        <f t="shared" si="115"/>
        <v>428</v>
      </c>
      <c r="B291" s="172">
        <v>42661</v>
      </c>
      <c r="C291" s="215">
        <v>2139.6</v>
      </c>
      <c r="D291" s="171">
        <f t="shared" si="120"/>
        <v>-1.1120046587726327E-2</v>
      </c>
      <c r="E291" s="209">
        <f t="shared" si="124"/>
        <v>1.7674701775080313E-2</v>
      </c>
      <c r="F291" s="219">
        <v>5243.83</v>
      </c>
      <c r="G291" s="171">
        <f t="shared" si="121"/>
        <v>-1.592142129274287E-2</v>
      </c>
      <c r="H291" s="203">
        <f t="shared" si="125"/>
        <v>2.9878036804996389E-2</v>
      </c>
      <c r="I291" s="221">
        <v>374649.22</v>
      </c>
      <c r="J291" s="173">
        <v>400000</v>
      </c>
      <c r="K291" s="173">
        <f t="shared" si="126"/>
        <v>-15551.22000000003</v>
      </c>
      <c r="L291" s="171">
        <f t="shared" si="122"/>
        <v>-3.9854439938612138E-2</v>
      </c>
      <c r="M291" s="182">
        <f t="shared" si="116"/>
        <v>-25350.780000000028</v>
      </c>
      <c r="N291" s="184">
        <f t="shared" si="123"/>
        <v>-6.3376950000000071E-2</v>
      </c>
      <c r="O291" s="183">
        <f t="shared" si="108"/>
        <v>-5.4085119129672961E-2</v>
      </c>
      <c r="P291" s="182" t="b">
        <f t="shared" si="127"/>
        <v>0</v>
      </c>
      <c r="Q291" s="184">
        <f>COUNTIF(P$2:P291, TRUE)/(COUNTIF(P$2:P291,FALSE) + COUNTIF(P$2:P291, TRUE))</f>
        <v>0.5</v>
      </c>
      <c r="R291" s="173">
        <v>325873.59999999998</v>
      </c>
      <c r="S291" s="173">
        <f t="shared" si="118"/>
        <v>48775.619999999995</v>
      </c>
      <c r="T291" s="173">
        <v>-42252</v>
      </c>
      <c r="U291" s="173">
        <f t="shared" si="119"/>
        <v>16901.219999999972</v>
      </c>
      <c r="V291" s="184">
        <f>STDEV(D$2:D291)*SQRT(252)</f>
        <v>0.16437424820296684</v>
      </c>
      <c r="W291" s="184">
        <f>STDEV(L$2:L291)*SQRT(252)</f>
        <v>0.35420191935581979</v>
      </c>
      <c r="X291" s="174">
        <f t="shared" si="117"/>
        <v>-0.15269572572626519</v>
      </c>
    </row>
    <row r="292" spans="1:24" ht="20.100000000000001" customHeight="1" x14ac:dyDescent="0.25">
      <c r="A292" s="163">
        <f t="shared" si="115"/>
        <v>429</v>
      </c>
      <c r="B292" s="172">
        <v>42662</v>
      </c>
      <c r="C292" s="215">
        <v>2144.29</v>
      </c>
      <c r="D292" s="171">
        <f t="shared" si="120"/>
        <v>2.1919985043933701E-3</v>
      </c>
      <c r="E292" s="209">
        <f t="shared" si="124"/>
        <v>1.9905443199330259E-2</v>
      </c>
      <c r="F292" s="219">
        <v>5246.41</v>
      </c>
      <c r="G292" s="171">
        <f t="shared" si="121"/>
        <v>4.9200679655898979E-4</v>
      </c>
      <c r="H292" s="203">
        <f t="shared" si="125"/>
        <v>3.0384743798731278E-2</v>
      </c>
      <c r="I292" s="221">
        <v>380216.65</v>
      </c>
      <c r="J292" s="173">
        <v>400000</v>
      </c>
      <c r="K292" s="173">
        <f t="shared" si="126"/>
        <v>5567.4300000000512</v>
      </c>
      <c r="L292" s="171">
        <f t="shared" si="122"/>
        <v>1.4860380598150055E-2</v>
      </c>
      <c r="M292" s="182">
        <f t="shared" si="116"/>
        <v>-19783.349999999977</v>
      </c>
      <c r="N292" s="184">
        <f t="shared" si="123"/>
        <v>-4.9458374999999943E-2</v>
      </c>
      <c r="O292" s="183">
        <f t="shared" si="108"/>
        <v>-4.2108791302447504E-2</v>
      </c>
      <c r="P292" s="182" t="b">
        <f t="shared" si="127"/>
        <v>1</v>
      </c>
      <c r="Q292" s="184">
        <f>COUNTIF(P$2:P292, TRUE)/(COUNTIF(P$2:P292,FALSE) + COUNTIF(P$2:P292, TRUE))</f>
        <v>0.50171821305841924</v>
      </c>
      <c r="R292" s="173">
        <v>324057.2</v>
      </c>
      <c r="S292" s="173">
        <f t="shared" si="118"/>
        <v>56159.450000000012</v>
      </c>
      <c r="T292" s="173">
        <v>-37035</v>
      </c>
      <c r="U292" s="173">
        <f t="shared" si="119"/>
        <v>17251.650000000023</v>
      </c>
      <c r="V292" s="184">
        <f>STDEV(D$2:D292)*SQRT(252)</f>
        <v>0.16410104874699943</v>
      </c>
      <c r="W292" s="184">
        <f>STDEV(L$2:L292)*SQRT(252)</f>
        <v>0.3538474741949057</v>
      </c>
      <c r="X292" s="174">
        <f t="shared" si="117"/>
        <v>-0.11900266180578474</v>
      </c>
    </row>
    <row r="293" spans="1:24" ht="20.100000000000001" customHeight="1" x14ac:dyDescent="0.25">
      <c r="A293" s="163">
        <f t="shared" si="115"/>
        <v>430</v>
      </c>
      <c r="B293" s="172">
        <v>42663</v>
      </c>
      <c r="C293" s="215">
        <v>2141.34</v>
      </c>
      <c r="D293" s="171">
        <f t="shared" si="120"/>
        <v>-1.3757467506726321E-3</v>
      </c>
      <c r="E293" s="209">
        <f t="shared" si="124"/>
        <v>1.850231159985545E-2</v>
      </c>
      <c r="F293" s="219">
        <v>5241.83</v>
      </c>
      <c r="G293" s="171">
        <f t="shared" ref="G293:G306" si="128">(F293-F292)/F292</f>
        <v>-8.7297790298507499E-4</v>
      </c>
      <c r="H293" s="203">
        <f t="shared" si="125"/>
        <v>2.9485240685822048E-2</v>
      </c>
      <c r="I293" s="221">
        <v>381021.44</v>
      </c>
      <c r="J293" s="173">
        <v>400000</v>
      </c>
      <c r="K293" s="173">
        <f t="shared" si="126"/>
        <v>804.78999999997905</v>
      </c>
      <c r="L293" s="171">
        <f t="shared" si="122"/>
        <v>2.1166616454065834E-3</v>
      </c>
      <c r="M293" s="182">
        <f t="shared" si="116"/>
        <v>-18978.559999999998</v>
      </c>
      <c r="N293" s="184">
        <f t="shared" si="123"/>
        <v>-4.7446399999999993E-2</v>
      </c>
      <c r="O293" s="183">
        <f t="shared" si="108"/>
        <v>-4.0301854883720921E-2</v>
      </c>
      <c r="P293" s="182" t="b">
        <f t="shared" si="127"/>
        <v>1</v>
      </c>
      <c r="Q293" s="184">
        <f>COUNTIF(P$2:P293, TRUE)/(COUNTIF(P$2:P293,FALSE) + COUNTIF(P$2:P293, TRUE))</f>
        <v>0.50342465753424659</v>
      </c>
      <c r="R293" s="173">
        <v>320933.90000000002</v>
      </c>
      <c r="S293" s="173">
        <f t="shared" si="118"/>
        <v>60087.539999999979</v>
      </c>
      <c r="T293" s="173">
        <v>-36535</v>
      </c>
      <c r="U293" s="173">
        <f t="shared" si="119"/>
        <v>17556.440000000002</v>
      </c>
      <c r="V293" s="184">
        <f>STDEV(D$2:D293)*SQRT(252)</f>
        <v>0.16382379522732679</v>
      </c>
      <c r="W293" s="184">
        <f>STDEV(L$2:L293)*SQRT(252)</f>
        <v>0.35324050890305325</v>
      </c>
      <c r="X293" s="174">
        <f t="shared" si="117"/>
        <v>-0.11409182658261245</v>
      </c>
    </row>
    <row r="294" spans="1:24" ht="20.100000000000001" customHeight="1" x14ac:dyDescent="0.25">
      <c r="A294" s="163">
        <f t="shared" si="115"/>
        <v>431</v>
      </c>
      <c r="B294" s="172">
        <v>42664</v>
      </c>
      <c r="C294" s="215">
        <v>2141.16</v>
      </c>
      <c r="D294" s="171">
        <f t="shared" si="120"/>
        <v>-8.4059514136144197E-5</v>
      </c>
      <c r="E294" s="209">
        <f t="shared" si="124"/>
        <v>1.8416696790395825E-2</v>
      </c>
      <c r="F294" s="219">
        <v>5257.4</v>
      </c>
      <c r="G294" s="171">
        <f t="shared" si="128"/>
        <v>2.9703366953906765E-3</v>
      </c>
      <c r="H294" s="203">
        <f t="shared" si="125"/>
        <v>3.254315847359425E-2</v>
      </c>
      <c r="I294" s="221">
        <v>378995.29</v>
      </c>
      <c r="J294" s="173">
        <v>400000</v>
      </c>
      <c r="K294" s="173">
        <f t="shared" si="126"/>
        <v>-2026.1500000000233</v>
      </c>
      <c r="L294" s="171">
        <f t="shared" si="122"/>
        <v>-5.3176797610129849E-3</v>
      </c>
      <c r="M294" s="182">
        <f t="shared" si="116"/>
        <v>-21004.710000000021</v>
      </c>
      <c r="N294" s="184">
        <f t="shared" si="123"/>
        <v>-5.2511775000000052E-2</v>
      </c>
      <c r="O294" s="183">
        <f t="shared" si="108"/>
        <v>-4.4500987978538326E-2</v>
      </c>
      <c r="P294" s="182" t="b">
        <f t="shared" si="127"/>
        <v>0</v>
      </c>
      <c r="Q294" s="184">
        <f>COUNTIF(P$2:P294, TRUE)/(COUNTIF(P$2:P294,FALSE) + COUNTIF(P$2:P294, TRUE))</f>
        <v>0.50170648464163825</v>
      </c>
      <c r="R294" s="173">
        <v>320934.90000000002</v>
      </c>
      <c r="S294" s="173">
        <f t="shared" si="118"/>
        <v>58060.389999999956</v>
      </c>
      <c r="T294" s="173">
        <v>-36534</v>
      </c>
      <c r="U294" s="173">
        <f t="shared" si="119"/>
        <v>15529.289999999979</v>
      </c>
      <c r="V294" s="184">
        <f>STDEV(D$2:D294)*SQRT(252)</f>
        <v>0.16354217458793488</v>
      </c>
      <c r="W294" s="184">
        <f>STDEV(L$2:L294)*SQRT(252)</f>
        <v>0.35267302551448443</v>
      </c>
      <c r="X294" s="174">
        <f t="shared" si="117"/>
        <v>-0.12618200077428562</v>
      </c>
    </row>
    <row r="295" spans="1:24" ht="20.100000000000001" customHeight="1" x14ac:dyDescent="0.25">
      <c r="A295" s="163">
        <f t="shared" si="115"/>
        <v>434</v>
      </c>
      <c r="B295" s="242">
        <v>42667</v>
      </c>
      <c r="C295" s="243">
        <v>2151.33</v>
      </c>
      <c r="D295" s="171">
        <f t="shared" si="120"/>
        <v>4.7497618113546275E-3</v>
      </c>
      <c r="E295" s="244">
        <f t="shared" si="124"/>
        <v>2.3253933524856774E-2</v>
      </c>
      <c r="F295" s="245">
        <v>5309.82</v>
      </c>
      <c r="G295" s="171">
        <f t="shared" si="128"/>
        <v>9.9707079545022399E-3</v>
      </c>
      <c r="H295" s="246">
        <f t="shared" si="125"/>
        <v>4.2838344757153778E-2</v>
      </c>
      <c r="I295" s="247">
        <v>378540.69</v>
      </c>
      <c r="J295" s="248">
        <v>400000</v>
      </c>
      <c r="K295" s="248">
        <f t="shared" si="126"/>
        <v>-454.59999999997672</v>
      </c>
      <c r="L295" s="171">
        <f t="shared" si="122"/>
        <v>-1.1994872020704445E-3</v>
      </c>
      <c r="M295" s="249">
        <f t="shared" si="116"/>
        <v>-21459.309999999998</v>
      </c>
      <c r="N295" s="250">
        <f t="shared" si="123"/>
        <v>-5.3648274999999995E-2</v>
      </c>
      <c r="O295" s="183">
        <f t="shared" si="108"/>
        <v>-4.5149844340437784E-2</v>
      </c>
      <c r="P295" s="249" t="b">
        <f t="shared" si="127"/>
        <v>0</v>
      </c>
      <c r="Q295" s="250">
        <f>COUNTIF(P$2:P295, TRUE)/(COUNTIF(P$2:P295,FALSE) + COUNTIF(P$2:P295, TRUE))</f>
        <v>0.5</v>
      </c>
      <c r="R295" s="248">
        <v>324753.15000000002</v>
      </c>
      <c r="S295" s="248">
        <f t="shared" si="118"/>
        <v>53787.539999999979</v>
      </c>
      <c r="T295" s="248">
        <v>-39269</v>
      </c>
      <c r="U295" s="248">
        <f t="shared" si="119"/>
        <v>17809.690000000002</v>
      </c>
      <c r="V295" s="250">
        <f>STDEV(D$2:D295)*SQRT(252)</f>
        <v>0.16331845604618789</v>
      </c>
      <c r="W295" s="250">
        <f>STDEV(L$2:L295)*SQRT(252)</f>
        <v>0.35207165866831386</v>
      </c>
      <c r="X295" s="174">
        <f t="shared" si="117"/>
        <v>-0.12824049658303618</v>
      </c>
    </row>
    <row r="296" spans="1:24" ht="20.100000000000001" customHeight="1" x14ac:dyDescent="0.25">
      <c r="A296" s="163">
        <f t="shared" si="115"/>
        <v>435</v>
      </c>
      <c r="B296" s="242">
        <v>42668</v>
      </c>
      <c r="C296" s="243">
        <v>2143.16</v>
      </c>
      <c r="D296" s="171">
        <f t="shared" ref="D296:D306" si="129">(C296-C295)/C295</f>
        <v>-3.797650755579141E-3</v>
      </c>
      <c r="E296" s="244">
        <f t="shared" si="124"/>
        <v>1.9367972451056772E-2</v>
      </c>
      <c r="F296" s="245">
        <v>5283.39</v>
      </c>
      <c r="G296" s="171">
        <f t="shared" si="128"/>
        <v>-4.9775698611251194E-3</v>
      </c>
      <c r="H296" s="246">
        <f t="shared" si="125"/>
        <v>3.764754404226496E-2</v>
      </c>
      <c r="I296" s="247">
        <v>374243.66</v>
      </c>
      <c r="J296" s="248">
        <v>400000</v>
      </c>
      <c r="K296" s="248">
        <f t="shared" si="126"/>
        <v>-4297.0300000000279</v>
      </c>
      <c r="L296" s="171">
        <f>K296/I295</f>
        <v>-1.1351566987422219E-2</v>
      </c>
      <c r="M296" s="249">
        <f t="shared" si="116"/>
        <v>-25756.340000000026</v>
      </c>
      <c r="N296" s="250">
        <f t="shared" si="123"/>
        <v>-6.4390850000000069E-2</v>
      </c>
      <c r="O296" s="183">
        <f t="shared" si="108"/>
        <v>-5.4066110258620743E-2</v>
      </c>
      <c r="P296" s="249" t="b">
        <f t="shared" si="127"/>
        <v>0</v>
      </c>
      <c r="Q296" s="250">
        <f>COUNTIF(P$2:P296, TRUE)/(COUNTIF(P$2:P296,FALSE) + COUNTIF(P$2:P296, TRUE))</f>
        <v>0.49830508474576274</v>
      </c>
      <c r="R296" s="248">
        <v>324754.15000000002</v>
      </c>
      <c r="S296" s="248">
        <f t="shared" si="118"/>
        <v>49489.509999999951</v>
      </c>
      <c r="T296" s="248">
        <v>-44170</v>
      </c>
      <c r="U296" s="248">
        <f t="shared" si="119"/>
        <v>18413.659999999974</v>
      </c>
      <c r="V296" s="250">
        <f>STDEV(D$2:D296)*SQRT(252)</f>
        <v>0.16308008977690622</v>
      </c>
      <c r="W296" s="250">
        <f>STDEV(L$2:L296)*SQRT(252)</f>
        <v>0.35163793771094465</v>
      </c>
      <c r="X296" s="174">
        <f t="shared" si="117"/>
        <v>-0.15375505444769291</v>
      </c>
    </row>
    <row r="297" spans="1:24" ht="20.100000000000001" customHeight="1" x14ac:dyDescent="0.25">
      <c r="A297" s="163">
        <f t="shared" si="115"/>
        <v>436</v>
      </c>
      <c r="B297" s="242">
        <v>42669</v>
      </c>
      <c r="C297" s="243">
        <v>2139.4299999999998</v>
      </c>
      <c r="D297" s="171">
        <f t="shared" si="129"/>
        <v>-1.7404206872095496E-3</v>
      </c>
      <c r="E297" s="244">
        <f t="shared" si="124"/>
        <v>1.7593843343924099E-2</v>
      </c>
      <c r="F297" s="245">
        <v>5250.26</v>
      </c>
      <c r="G297" s="171">
        <f t="shared" si="128"/>
        <v>-6.2705952049725852E-3</v>
      </c>
      <c r="H297" s="246">
        <f t="shared" si="125"/>
        <v>3.1140876328141956E-2</v>
      </c>
      <c r="I297" s="247">
        <v>374681.1</v>
      </c>
      <c r="J297" s="248">
        <v>400000</v>
      </c>
      <c r="K297" s="248">
        <f t="shared" si="126"/>
        <v>437.44000000000233</v>
      </c>
      <c r="L297" s="171">
        <f>K297/I296</f>
        <v>1.1688641565764997E-3</v>
      </c>
      <c r="M297" s="249">
        <f t="shared" si="116"/>
        <v>-25318.900000000023</v>
      </c>
      <c r="N297" s="250">
        <f t="shared" si="123"/>
        <v>-6.3297250000000055E-2</v>
      </c>
      <c r="O297" s="183">
        <f t="shared" si="108"/>
        <v>-5.3025964592889954E-2</v>
      </c>
      <c r="P297" s="249" t="b">
        <f t="shared" si="127"/>
        <v>1</v>
      </c>
      <c r="Q297" s="250">
        <f>COUNTIF(P$2:P297, TRUE)/(COUNTIF(P$2:P297,FALSE) + COUNTIF(P$2:P297, TRUE))</f>
        <v>0.5</v>
      </c>
      <c r="R297" s="248">
        <v>325355.95</v>
      </c>
      <c r="S297" s="248">
        <f t="shared" si="118"/>
        <v>49325.149999999965</v>
      </c>
      <c r="T297" s="248">
        <v>-44067</v>
      </c>
      <c r="U297" s="248">
        <f t="shared" si="119"/>
        <v>18748.099999999977</v>
      </c>
      <c r="V297" s="250">
        <f>STDEV(D$2:D297)*SQRT(252)</f>
        <v>0.16281156659849447</v>
      </c>
      <c r="W297" s="250">
        <f>STDEV(L$2:L297)*SQRT(252)</f>
        <v>0.3510402532906407</v>
      </c>
      <c r="X297" s="174">
        <f t="shared" si="117"/>
        <v>-0.15105380108356853</v>
      </c>
    </row>
    <row r="298" spans="1:24" ht="20.100000000000001" customHeight="1" x14ac:dyDescent="0.25">
      <c r="A298" s="163">
        <f t="shared" si="115"/>
        <v>437</v>
      </c>
      <c r="B298" s="242">
        <v>42670</v>
      </c>
      <c r="C298" s="243">
        <v>2133.04</v>
      </c>
      <c r="D298" s="171">
        <f t="shared" si="129"/>
        <v>-2.9867768517782183E-3</v>
      </c>
      <c r="E298" s="244">
        <f t="shared" si="124"/>
        <v>1.4554517608112435E-2</v>
      </c>
      <c r="F298" s="245">
        <v>5215.97</v>
      </c>
      <c r="G298" s="171">
        <f t="shared" si="128"/>
        <v>-6.5311051262223136E-3</v>
      </c>
      <c r="H298" s="246">
        <f t="shared" si="125"/>
        <v>2.440638686489786E-2</v>
      </c>
      <c r="I298" s="247">
        <v>371125.09</v>
      </c>
      <c r="J298" s="248">
        <v>400000</v>
      </c>
      <c r="K298" s="248">
        <f t="shared" si="126"/>
        <v>-3556.0099999999511</v>
      </c>
      <c r="L298" s="171">
        <f>K298/I297</f>
        <v>-9.4907642792763005E-3</v>
      </c>
      <c r="M298" s="249">
        <f t="shared" si="116"/>
        <v>-28874.909999999974</v>
      </c>
      <c r="N298" s="250">
        <f t="shared" si="123"/>
        <v>-7.218727499999994E-2</v>
      </c>
      <c r="O298" s="183">
        <f t="shared" si="108"/>
        <v>-6.0335016461670429E-2</v>
      </c>
      <c r="P298" s="249" t="b">
        <f t="shared" si="127"/>
        <v>0</v>
      </c>
      <c r="Q298" s="250">
        <f>COUNTIF(P$2:P298, TRUE)/(COUNTIF(P$2:P298,FALSE) + COUNTIF(P$2:P298, TRUE))</f>
        <v>0.49831649831649832</v>
      </c>
      <c r="R298" s="248">
        <v>360946.85</v>
      </c>
      <c r="S298" s="248">
        <f t="shared" si="118"/>
        <v>10178.240000000049</v>
      </c>
      <c r="T298" s="248">
        <v>-47280</v>
      </c>
      <c r="U298" s="248">
        <f t="shared" si="119"/>
        <v>18405.090000000026</v>
      </c>
      <c r="V298" s="250">
        <f>STDEV(D$2:D298)*SQRT(252)</f>
        <v>0.16256052123167744</v>
      </c>
      <c r="W298" s="250">
        <f>STDEV(L$2:L298)*SQRT(252)</f>
        <v>0.3505620528969402</v>
      </c>
      <c r="X298" s="174">
        <f t="shared" si="117"/>
        <v>-0.17210937682239094</v>
      </c>
    </row>
    <row r="299" spans="1:24" ht="20.100000000000001" customHeight="1" x14ac:dyDescent="0.25">
      <c r="A299" s="163">
        <f t="shared" si="115"/>
        <v>438</v>
      </c>
      <c r="B299" s="242">
        <v>42671</v>
      </c>
      <c r="C299" s="243">
        <v>2126.41</v>
      </c>
      <c r="D299" s="171">
        <f t="shared" si="129"/>
        <v>-3.1082398829839616E-3</v>
      </c>
      <c r="E299" s="244">
        <f t="shared" si="124"/>
        <v>1.1401038793021347E-2</v>
      </c>
      <c r="F299" s="245">
        <v>5190.1000000000004</v>
      </c>
      <c r="G299" s="171">
        <f t="shared" si="128"/>
        <v>-4.9597677900754585E-3</v>
      </c>
      <c r="H299" s="246">
        <f t="shared" si="125"/>
        <v>1.9325569063377762E-2</v>
      </c>
      <c r="I299" s="247">
        <v>366496.83</v>
      </c>
      <c r="J299" s="248">
        <v>400000</v>
      </c>
      <c r="K299" s="248">
        <f t="shared" si="126"/>
        <v>-4628.2600000000093</v>
      </c>
      <c r="L299" s="171">
        <f>K299/I298</f>
        <v>-1.2470889532152108E-2</v>
      </c>
      <c r="M299" s="249">
        <f t="shared" si="116"/>
        <v>-33503.169999999984</v>
      </c>
      <c r="N299" s="250">
        <f t="shared" si="123"/>
        <v>-8.3757924999999955E-2</v>
      </c>
      <c r="O299" s="183">
        <f t="shared" si="108"/>
        <v>-6.9846077868150641E-2</v>
      </c>
      <c r="P299" s="249" t="b">
        <f t="shared" si="127"/>
        <v>0</v>
      </c>
      <c r="Q299" s="250">
        <f>COUNTIF(P$2:P299, TRUE)/(COUNTIF(P$2:P299,FALSE) + COUNTIF(P$2:P299, TRUE))</f>
        <v>0.49664429530201343</v>
      </c>
      <c r="R299" s="248">
        <v>352107.26</v>
      </c>
      <c r="S299" s="248">
        <f t="shared" si="118"/>
        <v>14389.570000000007</v>
      </c>
      <c r="T299" s="248">
        <v>-51134</v>
      </c>
      <c r="U299" s="248">
        <f t="shared" si="119"/>
        <v>17630.830000000016</v>
      </c>
      <c r="V299" s="250">
        <f>STDEV(D$2:D299)*SQRT(252)</f>
        <v>0.16231261803243649</v>
      </c>
      <c r="W299" s="250">
        <f>STDEV(L$2:L299)*SQRT(252)</f>
        <v>0.35016714235962632</v>
      </c>
      <c r="X299" s="174">
        <f t="shared" si="117"/>
        <v>-0.19946496806492994</v>
      </c>
    </row>
    <row r="300" spans="1:24" ht="20.100000000000001" customHeight="1" x14ac:dyDescent="0.25">
      <c r="A300" s="163">
        <f t="shared" si="115"/>
        <v>441</v>
      </c>
      <c r="B300" s="172">
        <v>42674</v>
      </c>
      <c r="C300" s="215">
        <v>2126.15</v>
      </c>
      <c r="D300" s="171">
        <f t="shared" si="129"/>
        <v>-1.2227181023403931E-4</v>
      </c>
      <c r="E300" s="209">
        <f t="shared" si="124"/>
        <v>1.1277372957135537E-2</v>
      </c>
      <c r="F300" s="219">
        <v>5189.13</v>
      </c>
      <c r="G300" s="171">
        <f t="shared" si="128"/>
        <v>-1.8689427949370043E-4</v>
      </c>
      <c r="H300" s="203">
        <f t="shared" si="125"/>
        <v>1.9135062945578155E-2</v>
      </c>
      <c r="I300" s="415">
        <v>359986.87</v>
      </c>
      <c r="J300" s="173">
        <v>400000</v>
      </c>
      <c r="K300" s="173">
        <f t="shared" si="126"/>
        <v>-6509.960000000021</v>
      </c>
      <c r="L300" s="171">
        <f>K300/I299</f>
        <v>-1.7762663868061343E-2</v>
      </c>
      <c r="M300" s="182">
        <f t="shared" si="116"/>
        <v>-40013.130000000005</v>
      </c>
      <c r="N300" s="184">
        <f t="shared" si="123"/>
        <v>-0.10003282500000001</v>
      </c>
      <c r="O300" s="183">
        <f t="shared" si="108"/>
        <v>-8.2850315943877567E-2</v>
      </c>
      <c r="P300" s="182" t="b">
        <f t="shared" si="127"/>
        <v>0</v>
      </c>
      <c r="Q300" s="184">
        <f>COUNTIF(P$2:P300, TRUE)/(COUNTIF(P$2:P300,FALSE) + COUNTIF(P$2:P300, TRUE))</f>
        <v>0.49498327759197325</v>
      </c>
      <c r="R300" s="173">
        <v>351183.05</v>
      </c>
      <c r="S300" s="173">
        <f t="shared" si="118"/>
        <v>8803.820000000007</v>
      </c>
      <c r="T300" s="173">
        <v>-57393</v>
      </c>
      <c r="U300" s="173">
        <f t="shared" si="119"/>
        <v>17379.869999999995</v>
      </c>
      <c r="V300" s="184">
        <f>STDEV(D$2:D300)*SQRT(252)</f>
        <v>0.16203925205045192</v>
      </c>
      <c r="W300" s="184">
        <f>STDEV(L$2:L300)*SQRT(252)</f>
        <v>0.34996980187049981</v>
      </c>
      <c r="X300" s="174">
        <f t="shared" si="117"/>
        <v>-0.23673561404745108</v>
      </c>
    </row>
    <row r="301" spans="1:24" ht="20.100000000000001" customHeight="1" x14ac:dyDescent="0.25">
      <c r="A301" s="163">
        <f>B301-$B$2</f>
        <v>442</v>
      </c>
      <c r="B301" s="172">
        <v>42675</v>
      </c>
      <c r="C301" s="215">
        <v>2111.7199999999998</v>
      </c>
      <c r="D301" s="171">
        <f t="shared" si="129"/>
        <v>-6.7869153164171348E-3</v>
      </c>
      <c r="E301" s="209">
        <f t="shared" si="124"/>
        <v>4.4139190654666699E-3</v>
      </c>
      <c r="F301" s="219">
        <v>5153.57</v>
      </c>
      <c r="G301" s="171">
        <f t="shared" si="128"/>
        <v>-6.8527864979294022E-3</v>
      </c>
      <c r="H301" s="203">
        <f t="shared" si="125"/>
        <v>1.2151147946658267E-2</v>
      </c>
      <c r="I301" s="221">
        <v>360227.22</v>
      </c>
      <c r="J301" s="173">
        <v>400000</v>
      </c>
      <c r="K301" s="173">
        <f t="shared" si="126"/>
        <v>240.34999999997672</v>
      </c>
      <c r="L301" s="171">
        <f t="shared" ref="L301:L306" si="130">K301/I300</f>
        <v>6.6766324005088497E-4</v>
      </c>
      <c r="M301" s="182">
        <f t="shared" si="116"/>
        <v>-39772.780000000028</v>
      </c>
      <c r="N301" s="184">
        <f t="shared" si="123"/>
        <v>-9.9431950000000074E-2</v>
      </c>
      <c r="O301" s="183">
        <f t="shared" si="108"/>
        <v>-8.2166334247737616E-2</v>
      </c>
      <c r="P301" s="182" t="b">
        <f t="shared" si="127"/>
        <v>1</v>
      </c>
      <c r="Q301" s="184">
        <f>COUNTIF(P$2:P301, TRUE)/(COUNTIF(P$2:P301,FALSE) + COUNTIF(P$2:P301, TRUE))</f>
        <v>0.49666666666666665</v>
      </c>
      <c r="R301" s="173">
        <v>351313.75</v>
      </c>
      <c r="S301" s="173">
        <f t="shared" si="118"/>
        <v>8913.4699999999721</v>
      </c>
      <c r="T301" s="173">
        <v>-56508</v>
      </c>
      <c r="U301" s="173">
        <f t="shared" si="119"/>
        <v>16735.219999999972</v>
      </c>
      <c r="V301" s="184">
        <f>STDEV(D$2:D301)*SQRT(252)</f>
        <v>0.16189028230482433</v>
      </c>
      <c r="W301" s="184">
        <f>STDEV(L$2:L301)*SQRT(252)</f>
        <v>0.34938237475224687</v>
      </c>
      <c r="X301" s="174">
        <f t="shared" si="117"/>
        <v>-0.23517595673222838</v>
      </c>
    </row>
    <row r="302" spans="1:24" ht="20.100000000000001" customHeight="1" x14ac:dyDescent="0.25">
      <c r="A302" s="163">
        <f t="shared" ref="A302:A319" si="131">B302-$B$2</f>
        <v>443</v>
      </c>
      <c r="B302" s="172">
        <v>42676</v>
      </c>
      <c r="C302" s="215">
        <v>2097.94</v>
      </c>
      <c r="D302" s="171">
        <f t="shared" si="129"/>
        <v>-6.525486333415295E-3</v>
      </c>
      <c r="E302" s="209">
        <f t="shared" si="124"/>
        <v>-2.1403702364871293E-3</v>
      </c>
      <c r="F302" s="219">
        <v>5105.5600000000004</v>
      </c>
      <c r="G302" s="171">
        <f t="shared" si="128"/>
        <v>-9.3158722982319662E-3</v>
      </c>
      <c r="H302" s="203">
        <f t="shared" si="125"/>
        <v>2.7220771058783086E-3</v>
      </c>
      <c r="I302" s="221">
        <v>350822.36</v>
      </c>
      <c r="J302" s="173">
        <v>400000</v>
      </c>
      <c r="K302" s="173">
        <f t="shared" si="126"/>
        <v>-9404.859999999986</v>
      </c>
      <c r="L302" s="171">
        <f t="shared" si="130"/>
        <v>-2.6108132528130403E-2</v>
      </c>
      <c r="M302" s="182">
        <f t="shared" si="116"/>
        <v>-49177.640000000014</v>
      </c>
      <c r="N302" s="184">
        <f t="shared" si="123"/>
        <v>-0.12294410000000003</v>
      </c>
      <c r="O302" s="183">
        <f t="shared" si="108"/>
        <v>-0.10136643910835216</v>
      </c>
      <c r="P302" s="182" t="b">
        <f t="shared" si="127"/>
        <v>0</v>
      </c>
      <c r="Q302" s="184">
        <f>COUNTIF(P$2:P302, TRUE)/(COUNTIF(P$2:P302,FALSE) + COUNTIF(P$2:P302, TRUE))</f>
        <v>0.49501661129568109</v>
      </c>
      <c r="R302" s="173">
        <v>330288.3</v>
      </c>
      <c r="S302" s="173">
        <f t="shared" si="118"/>
        <v>20534.059999999998</v>
      </c>
      <c r="T302" s="173">
        <v>-66283</v>
      </c>
      <c r="U302" s="173">
        <f t="shared" si="119"/>
        <v>17105.359999999986</v>
      </c>
      <c r="V302" s="184">
        <f>STDEV(D$2:D302)*SQRT(252)</f>
        <v>0.16173222652481728</v>
      </c>
      <c r="W302" s="184">
        <f>STDEV(L$2:L302)*SQRT(252)</f>
        <v>0.34963013361097944</v>
      </c>
      <c r="X302" s="174">
        <f t="shared" si="117"/>
        <v>-0.28992477868380434</v>
      </c>
    </row>
    <row r="303" spans="1:24" ht="20.100000000000001" customHeight="1" x14ac:dyDescent="0.25">
      <c r="A303" s="163">
        <f t="shared" si="131"/>
        <v>444</v>
      </c>
      <c r="B303" s="172">
        <v>42677</v>
      </c>
      <c r="C303" s="215">
        <v>2088.66</v>
      </c>
      <c r="D303" s="171">
        <f t="shared" si="129"/>
        <v>-4.423386750812797E-3</v>
      </c>
      <c r="E303" s="209">
        <f t="shared" si="124"/>
        <v>-6.5542893019540152E-3</v>
      </c>
      <c r="F303" s="219">
        <v>5058.3999999999996</v>
      </c>
      <c r="G303" s="171">
        <f t="shared" si="128"/>
        <v>-9.2369886946781082E-3</v>
      </c>
      <c r="H303" s="203">
        <f t="shared" si="125"/>
        <v>-6.54005538425284E-3</v>
      </c>
      <c r="I303" s="221">
        <v>366923.87</v>
      </c>
      <c r="J303" s="173">
        <v>400000</v>
      </c>
      <c r="K303" s="173">
        <f t="shared" si="126"/>
        <v>16101.510000000009</v>
      </c>
      <c r="L303" s="171">
        <f t="shared" si="130"/>
        <v>4.5896475925878866E-2</v>
      </c>
      <c r="M303" s="182">
        <f t="shared" si="116"/>
        <v>-33076.130000000005</v>
      </c>
      <c r="N303" s="184">
        <f t="shared" si="123"/>
        <v>-8.2690325000000009E-2</v>
      </c>
      <c r="O303" s="183">
        <f t="shared" si="108"/>
        <v>-6.8023966680743245E-2</v>
      </c>
      <c r="P303" s="182" t="b">
        <f t="shared" si="127"/>
        <v>1</v>
      </c>
      <c r="Q303" s="184">
        <f>COUNTIF(P$2:P303, TRUE)/(COUNTIF(P$2:P303,FALSE) + COUNTIF(P$2:P303, TRUE))</f>
        <v>0.49668874172185429</v>
      </c>
      <c r="R303" s="173">
        <v>317968.34999999998</v>
      </c>
      <c r="S303" s="173">
        <f t="shared" si="118"/>
        <v>48955.520000000019</v>
      </c>
      <c r="T303" s="173">
        <v>-47877</v>
      </c>
      <c r="U303" s="173">
        <f t="shared" si="119"/>
        <v>14800.869999999995</v>
      </c>
      <c r="V303" s="184">
        <f>STDEV(D$2:D303)*SQRT(252)</f>
        <v>0.16151419687276639</v>
      </c>
      <c r="W303" s="184">
        <f>STDEV(L$2:L303)*SQRT(252)</f>
        <v>0.35155170674162023</v>
      </c>
      <c r="X303" s="174">
        <f t="shared" si="117"/>
        <v>-0.19349633461099588</v>
      </c>
    </row>
    <row r="304" spans="1:24" ht="20.100000000000001" customHeight="1" x14ac:dyDescent="0.25">
      <c r="A304" s="163">
        <f t="shared" si="131"/>
        <v>445</v>
      </c>
      <c r="B304" s="172">
        <v>42678</v>
      </c>
      <c r="C304" s="215">
        <v>2085.1799999999998</v>
      </c>
      <c r="D304" s="171">
        <f t="shared" si="129"/>
        <v>-1.6661400132142227E-3</v>
      </c>
      <c r="E304" s="209">
        <f t="shared" si="124"/>
        <v>-8.2095089515040708E-3</v>
      </c>
      <c r="F304" s="219">
        <v>5046.37</v>
      </c>
      <c r="G304" s="171">
        <f t="shared" si="128"/>
        <v>-2.3782223628024172E-3</v>
      </c>
      <c r="H304" s="203">
        <f t="shared" si="125"/>
        <v>-8.9027240410864596E-3</v>
      </c>
      <c r="I304" s="221">
        <v>362921.09</v>
      </c>
      <c r="J304" s="173">
        <v>400000</v>
      </c>
      <c r="K304" s="173">
        <f t="shared" si="126"/>
        <v>-4002.7799999999697</v>
      </c>
      <c r="L304" s="171">
        <f t="shared" si="130"/>
        <v>-1.0909020446121343E-2</v>
      </c>
      <c r="M304" s="182">
        <f t="shared" si="116"/>
        <v>-37078.909999999974</v>
      </c>
      <c r="N304" s="184">
        <f t="shared" si="123"/>
        <v>-9.269727499999994E-2</v>
      </c>
      <c r="O304" s="183">
        <f t="shared" si="108"/>
        <v>-7.6084673469101069E-2</v>
      </c>
      <c r="P304" s="182" t="b">
        <f t="shared" si="127"/>
        <v>0</v>
      </c>
      <c r="Q304" s="184">
        <f>COUNTIF(P$2:P304, TRUE)/(COUNTIF(P$2:P304,FALSE) + COUNTIF(P$2:P304, TRUE))</f>
        <v>0.49504950495049505</v>
      </c>
      <c r="R304" s="173">
        <v>329130.11</v>
      </c>
      <c r="S304" s="173">
        <f t="shared" si="118"/>
        <v>33790.98000000004</v>
      </c>
      <c r="T304" s="173">
        <v>-52170</v>
      </c>
      <c r="U304" s="173">
        <f t="shared" si="119"/>
        <v>15091.090000000026</v>
      </c>
      <c r="V304" s="184">
        <f>STDEV(D$2:D304)*SQRT(252)</f>
        <v>0.16125311992836353</v>
      </c>
      <c r="W304" s="184">
        <f>STDEV(L$2:L304)*SQRT(252)</f>
        <v>0.35111566598352262</v>
      </c>
      <c r="X304" s="174">
        <f t="shared" si="117"/>
        <v>-0.21669404370203071</v>
      </c>
    </row>
    <row r="305" spans="1:24" ht="20.100000000000001" customHeight="1" x14ac:dyDescent="0.25">
      <c r="A305" s="163">
        <f t="shared" si="131"/>
        <v>468</v>
      </c>
      <c r="B305" s="242">
        <v>42701</v>
      </c>
      <c r="C305" s="243">
        <v>2213.35</v>
      </c>
      <c r="D305" s="171">
        <f t="shared" si="129"/>
        <v>6.1467115548777602E-2</v>
      </c>
      <c r="E305" s="244">
        <f t="shared" si="124"/>
        <v>5.2752991761952708E-2</v>
      </c>
      <c r="F305" s="245">
        <v>5398.92</v>
      </c>
      <c r="G305" s="171">
        <f t="shared" si="128"/>
        <v>6.9862098894849206E-2</v>
      </c>
      <c r="H305" s="246">
        <f t="shared" si="125"/>
        <v>6.0337411866370816E-2</v>
      </c>
      <c r="I305" s="554">
        <v>407026.88</v>
      </c>
      <c r="J305" s="248">
        <v>400000</v>
      </c>
      <c r="K305" s="248">
        <f t="shared" si="126"/>
        <v>44105.789999999979</v>
      </c>
      <c r="L305" s="171">
        <f t="shared" si="130"/>
        <v>0.12152997225925882</v>
      </c>
      <c r="M305" s="249">
        <f t="shared" si="116"/>
        <v>7026.8800000000047</v>
      </c>
      <c r="N305" s="250">
        <f t="shared" si="123"/>
        <v>1.7567200000000012E-2</v>
      </c>
      <c r="O305" s="183">
        <f t="shared" si="108"/>
        <v>1.3710298717948729E-2</v>
      </c>
      <c r="P305" s="249" t="b">
        <f t="shared" si="127"/>
        <v>1</v>
      </c>
      <c r="Q305" s="250">
        <f>COUNTIF(P$2:P305, TRUE)/(COUNTIF(P$2:P305,FALSE) + COUNTIF(P$2:P305, TRUE))</f>
        <v>0.49671052631578949</v>
      </c>
      <c r="R305" s="248">
        <v>282065.34000000003</v>
      </c>
      <c r="S305" s="248">
        <f t="shared" si="118"/>
        <v>124961.53999999998</v>
      </c>
      <c r="T305" s="248">
        <v>-28519</v>
      </c>
      <c r="U305" s="248">
        <f t="shared" si="119"/>
        <v>35545.880000000005</v>
      </c>
      <c r="V305" s="250">
        <f>STDEV(D$2:D305)*SQRT(252)</f>
        <v>0.17045897478056438</v>
      </c>
      <c r="W305" s="250">
        <f>STDEV(L$2:L305)*SQRT(252)</f>
        <v>0.36757496684562585</v>
      </c>
      <c r="X305" s="174">
        <f t="shared" si="117"/>
        <v>3.7299326544472711E-2</v>
      </c>
    </row>
    <row r="306" spans="1:24" ht="20.100000000000001" customHeight="1" x14ac:dyDescent="0.25">
      <c r="A306" s="163">
        <f t="shared" si="131"/>
        <v>469</v>
      </c>
      <c r="B306" s="172">
        <v>42702</v>
      </c>
      <c r="C306" s="215">
        <v>2201.7199999999998</v>
      </c>
      <c r="D306" s="171">
        <f t="shared" si="129"/>
        <v>-5.2544785054329905E-3</v>
      </c>
      <c r="E306" s="209">
        <f t="shared" si="124"/>
        <v>4.7221323795209255E-2</v>
      </c>
      <c r="F306" s="219">
        <v>5368.81</v>
      </c>
      <c r="G306" s="171">
        <f t="shared" si="128"/>
        <v>-5.5770413341927035E-3</v>
      </c>
      <c r="H306" s="203">
        <f t="shared" si="125"/>
        <v>5.4423866292201147E-2</v>
      </c>
      <c r="I306" s="221">
        <v>401105.48</v>
      </c>
      <c r="J306" s="173">
        <v>400000</v>
      </c>
      <c r="K306" s="173">
        <f t="shared" si="126"/>
        <v>-5921.4000000000233</v>
      </c>
      <c r="L306" s="171">
        <f t="shared" si="130"/>
        <v>-1.4547933541883089E-2</v>
      </c>
      <c r="M306" s="182">
        <f t="shared" si="116"/>
        <v>1105.4799999999814</v>
      </c>
      <c r="N306" s="184">
        <f t="shared" si="123"/>
        <v>2.7636999999999536E-3</v>
      </c>
      <c r="O306" s="183">
        <f t="shared" si="108"/>
        <v>2.1523271321961259E-3</v>
      </c>
      <c r="P306" s="182" t="b">
        <f t="shared" si="127"/>
        <v>0</v>
      </c>
      <c r="Q306" s="184">
        <f>COUNTIF(P$2:P306, TRUE)/(COUNTIF(P$2:P306,FALSE) + COUNTIF(P$2:P306, TRUE))</f>
        <v>0.49508196721311476</v>
      </c>
      <c r="R306" s="173">
        <v>286740.21999999997</v>
      </c>
      <c r="S306" s="173">
        <f t="shared" si="118"/>
        <v>114365.26000000001</v>
      </c>
      <c r="T306" s="173">
        <v>-27948</v>
      </c>
      <c r="U306" s="173">
        <f t="shared" si="119"/>
        <v>29053.479999999981</v>
      </c>
      <c r="V306" s="184">
        <f>STDEV(D$2:D306)*SQRT(252)</f>
        <v>0.17025062089045567</v>
      </c>
      <c r="W306" s="184">
        <f>STDEV(L$2:L306)*SQRT(252)</f>
        <v>0.36722797653623318</v>
      </c>
      <c r="X306" s="174">
        <f t="shared" si="117"/>
        <v>5.8610107881684305E-3</v>
      </c>
    </row>
    <row r="307" spans="1:24" ht="20.100000000000001" customHeight="1" x14ac:dyDescent="0.25">
      <c r="A307" s="163">
        <f t="shared" si="131"/>
        <v>470</v>
      </c>
      <c r="B307" s="172">
        <v>42703</v>
      </c>
      <c r="C307" s="215">
        <v>2204.66</v>
      </c>
      <c r="D307" s="171">
        <f t="shared" ref="D307:D316" si="132">(C307-C306)/C306</f>
        <v>1.3353196591755787E-3</v>
      </c>
      <c r="E307" s="209">
        <f t="shared" si="124"/>
        <v>4.8619699016380871E-2</v>
      </c>
      <c r="F307" s="219">
        <v>5379.91</v>
      </c>
      <c r="G307" s="171">
        <f t="shared" ref="G307:G321" si="133">(F307-F306)/F306</f>
        <v>2.0674972666195031E-3</v>
      </c>
      <c r="H307" s="203">
        <f t="shared" si="125"/>
        <v>5.6603884753618647E-2</v>
      </c>
      <c r="I307" s="221">
        <v>393567.36</v>
      </c>
      <c r="J307" s="173">
        <v>400000</v>
      </c>
      <c r="K307" s="173">
        <f t="shared" si="126"/>
        <v>-7538.1199999999953</v>
      </c>
      <c r="L307" s="171">
        <f t="shared" ref="L307:L321" si="134">K307/I306</f>
        <v>-1.8793360788788016E-2</v>
      </c>
      <c r="M307" s="182">
        <f t="shared" si="116"/>
        <v>-6432.640000000014</v>
      </c>
      <c r="N307" s="184">
        <f t="shared" si="123"/>
        <v>-1.6081600000000036E-2</v>
      </c>
      <c r="O307" s="183">
        <f t="shared" si="108"/>
        <v>-1.2497456170212794E-2</v>
      </c>
      <c r="P307" s="182" t="b">
        <f t="shared" si="127"/>
        <v>0</v>
      </c>
      <c r="Q307" s="184">
        <f>COUNTIF(P$2:P307, TRUE)/(COUNTIF(P$2:P307,FALSE) + COUNTIF(P$2:P307, TRUE))</f>
        <v>0.49346405228758172</v>
      </c>
      <c r="R307" s="173">
        <v>283628.3</v>
      </c>
      <c r="S307" s="173">
        <f t="shared" si="118"/>
        <v>109939.06</v>
      </c>
      <c r="T307" s="173">
        <v>-33267</v>
      </c>
      <c r="U307" s="173">
        <f t="shared" si="119"/>
        <v>26834.359999999986</v>
      </c>
      <c r="V307" s="184">
        <f>STDEV(D$2:D307)*SQRT(252)</f>
        <v>0.16997345622567742</v>
      </c>
      <c r="W307" s="184">
        <f>STDEV(L$2:L307)*SQRT(252)</f>
        <v>0.36704612962809202</v>
      </c>
      <c r="X307" s="174">
        <f t="shared" si="117"/>
        <v>-3.4048734372640818E-2</v>
      </c>
    </row>
    <row r="308" spans="1:24" ht="20.100000000000001" customHeight="1" x14ac:dyDescent="0.25">
      <c r="A308" s="163">
        <f t="shared" si="131"/>
        <v>471</v>
      </c>
      <c r="B308" s="172">
        <v>42704</v>
      </c>
      <c r="C308" s="215">
        <v>2198.81</v>
      </c>
      <c r="D308" s="171">
        <f t="shared" si="132"/>
        <v>-2.6534703763845262E-3</v>
      </c>
      <c r="E308" s="209">
        <f t="shared" si="124"/>
        <v>4.5837217708947643E-2</v>
      </c>
      <c r="F308" s="219">
        <v>5323.68</v>
      </c>
      <c r="G308" s="171">
        <f t="shared" si="133"/>
        <v>-1.0451847707489449E-2</v>
      </c>
      <c r="H308" s="203">
        <f t="shared" si="125"/>
        <v>4.5560421863032087E-2</v>
      </c>
      <c r="I308" s="473">
        <v>366163.6</v>
      </c>
      <c r="J308" s="173">
        <v>350000</v>
      </c>
      <c r="K308" s="173">
        <f t="shared" si="126"/>
        <v>22596.239999999991</v>
      </c>
      <c r="L308" s="171">
        <f t="shared" si="134"/>
        <v>5.7413907494767838E-2</v>
      </c>
      <c r="M308" s="473">
        <f t="shared" si="116"/>
        <v>16163.599999999977</v>
      </c>
      <c r="N308" s="184">
        <f t="shared" si="123"/>
        <v>4.6181714285714222E-2</v>
      </c>
      <c r="O308" s="183">
        <f t="shared" si="108"/>
        <v>3.581288989990896E-2</v>
      </c>
      <c r="P308" s="182" t="b">
        <f t="shared" si="127"/>
        <v>1</v>
      </c>
      <c r="Q308" s="184">
        <f>COUNTIF(P$2:P308, TRUE)/(COUNTIF(P$2:P308,FALSE) + COUNTIF(P$2:P308, TRUE))</f>
        <v>0.49511400651465798</v>
      </c>
      <c r="R308" s="173">
        <v>248009.28</v>
      </c>
      <c r="S308" s="173">
        <f t="shared" si="118"/>
        <v>118154.31999999998</v>
      </c>
      <c r="T308" s="173">
        <v>-30474</v>
      </c>
      <c r="U308" s="173">
        <f t="shared" si="119"/>
        <v>46637.599999999977</v>
      </c>
      <c r="V308" s="184">
        <f>STDEV(D$2:D308)*SQRT(252)</f>
        <v>0.16971451435778193</v>
      </c>
      <c r="W308" s="184">
        <f>STDEV(L$2:L308)*SQRT(252)</f>
        <v>0.37006384127225039</v>
      </c>
      <c r="X308" s="174">
        <f t="shared" si="117"/>
        <v>9.677489639838105E-2</v>
      </c>
    </row>
    <row r="309" spans="1:24" ht="20.100000000000001" customHeight="1" x14ac:dyDescent="0.25">
      <c r="A309" s="163">
        <f t="shared" si="131"/>
        <v>472</v>
      </c>
      <c r="B309" s="172">
        <v>42705</v>
      </c>
      <c r="C309" s="215">
        <v>2191.08</v>
      </c>
      <c r="D309" s="171">
        <f t="shared" si="132"/>
        <v>-3.5155379500730025E-3</v>
      </c>
      <c r="E309" s="209">
        <f t="shared" si="124"/>
        <v>4.2160537280493078E-2</v>
      </c>
      <c r="F309" s="219">
        <v>5251.1</v>
      </c>
      <c r="G309" s="171">
        <f t="shared" si="133"/>
        <v>-1.3633426501968549E-2</v>
      </c>
      <c r="H309" s="203">
        <f t="shared" si="125"/>
        <v>3.1305850698195213E-2</v>
      </c>
      <c r="I309" s="221">
        <v>361692.5</v>
      </c>
      <c r="J309" s="173">
        <v>350000</v>
      </c>
      <c r="K309" s="173">
        <f t="shared" si="126"/>
        <v>-4471.0999999999767</v>
      </c>
      <c r="L309" s="171">
        <f t="shared" si="134"/>
        <v>-1.2210662119336758E-2</v>
      </c>
      <c r="M309" s="182">
        <f t="shared" si="116"/>
        <v>11692.5</v>
      </c>
      <c r="N309" s="184">
        <f t="shared" si="123"/>
        <v>3.3407142857142857E-2</v>
      </c>
      <c r="O309" s="183">
        <f t="shared" si="108"/>
        <v>2.5851607899515738E-2</v>
      </c>
      <c r="P309" s="182" t="b">
        <f t="shared" si="127"/>
        <v>0</v>
      </c>
      <c r="Q309" s="184">
        <f>COUNTIF(P$2:P309, TRUE)/(COUNTIF(P$2:P309,FALSE) + COUNTIF(P$2:P309, TRUE))</f>
        <v>0.4935064935064935</v>
      </c>
      <c r="R309" s="173">
        <v>254063.2</v>
      </c>
      <c r="S309" s="173">
        <f t="shared" si="118"/>
        <v>107629.29999999999</v>
      </c>
      <c r="T309" s="173">
        <v>-33426</v>
      </c>
      <c r="U309" s="173">
        <f t="shared" si="119"/>
        <v>45118.5</v>
      </c>
      <c r="V309" s="184">
        <f>STDEV(D$2:D309)*SQRT(252)</f>
        <v>0.16947047230211157</v>
      </c>
      <c r="W309" s="184">
        <f>STDEV(L$2:L309)*SQRT(252)</f>
        <v>0.36964383438211174</v>
      </c>
      <c r="X309" s="174">
        <f t="shared" si="117"/>
        <v>6.9936532128903758E-2</v>
      </c>
    </row>
    <row r="310" spans="1:24" ht="20.100000000000001" customHeight="1" x14ac:dyDescent="0.25">
      <c r="A310" s="163">
        <f t="shared" si="131"/>
        <v>473</v>
      </c>
      <c r="B310" s="172">
        <v>42706</v>
      </c>
      <c r="C310" s="215">
        <v>2191.9499999999998</v>
      </c>
      <c r="D310" s="171">
        <f t="shared" si="132"/>
        <v>3.9706446136147054E-4</v>
      </c>
      <c r="E310" s="209">
        <f t="shared" si="124"/>
        <v>4.2574342192880539E-2</v>
      </c>
      <c r="F310" s="219">
        <v>5255.65</v>
      </c>
      <c r="G310" s="171">
        <f t="shared" si="133"/>
        <v>8.664851174038339E-4</v>
      </c>
      <c r="H310" s="203">
        <f t="shared" si="125"/>
        <v>3.2199461869316694E-2</v>
      </c>
      <c r="I310" s="221">
        <v>313669.12</v>
      </c>
      <c r="J310" s="173">
        <v>300000</v>
      </c>
      <c r="K310" s="173">
        <f t="shared" si="126"/>
        <v>1976.6199999999953</v>
      </c>
      <c r="L310" s="171">
        <f t="shared" si="134"/>
        <v>5.4649184044457521E-3</v>
      </c>
      <c r="M310" s="182">
        <f t="shared" si="116"/>
        <v>13669.119999999995</v>
      </c>
      <c r="N310" s="184">
        <f t="shared" si="123"/>
        <v>4.5563733333333314E-2</v>
      </c>
      <c r="O310" s="183">
        <f t="shared" si="108"/>
        <v>3.5184257082452416E-2</v>
      </c>
      <c r="P310" s="182" t="b">
        <f t="shared" si="127"/>
        <v>1</v>
      </c>
      <c r="Q310" s="184">
        <f>COUNTIF(P$2:P310, TRUE)/(COUNTIF(P$2:P310,FALSE) + COUNTIF(P$2:P310, TRUE))</f>
        <v>0.49514563106796117</v>
      </c>
      <c r="R310" s="173">
        <v>254064.2</v>
      </c>
      <c r="S310" s="173">
        <f t="shared" si="118"/>
        <v>59604.919999999984</v>
      </c>
      <c r="T310" s="173">
        <v>-33097</v>
      </c>
      <c r="U310" s="173">
        <f t="shared" si="119"/>
        <v>46766.119999999995</v>
      </c>
      <c r="V310" s="184">
        <f>STDEV(D$2:D310)*SQRT(252)</f>
        <v>0.16919433911473156</v>
      </c>
      <c r="W310" s="184">
        <f>STDEV(L$2:L310)*SQRT(252)</f>
        <v>0.36906691391637653</v>
      </c>
      <c r="X310" s="174">
        <f t="shared" si="117"/>
        <v>9.5333002650095297E-2</v>
      </c>
    </row>
    <row r="311" spans="1:24" ht="20.100000000000001" customHeight="1" x14ac:dyDescent="0.25">
      <c r="A311" s="163">
        <f t="shared" si="131"/>
        <v>476</v>
      </c>
      <c r="B311" s="242">
        <v>42709</v>
      </c>
      <c r="C311" s="243">
        <v>2204.71</v>
      </c>
      <c r="D311" s="171">
        <f t="shared" si="132"/>
        <v>5.821300668354761E-3</v>
      </c>
      <c r="E311" s="244">
        <f t="shared" si="124"/>
        <v>4.8643480907897482E-2</v>
      </c>
      <c r="F311" s="245">
        <v>5308.89</v>
      </c>
      <c r="G311" s="171">
        <f t="shared" si="133"/>
        <v>1.0130050517062722E-2</v>
      </c>
      <c r="H311" s="246">
        <f t="shared" si="125"/>
        <v>4.2655694561737831E-2</v>
      </c>
      <c r="I311" s="554">
        <v>315749.27</v>
      </c>
      <c r="J311" s="248">
        <v>300000</v>
      </c>
      <c r="K311" s="248">
        <f t="shared" si="126"/>
        <v>2080.1500000000233</v>
      </c>
      <c r="L311" s="171">
        <f t="shared" si="134"/>
        <v>6.6316697034123837E-3</v>
      </c>
      <c r="M311" s="249">
        <f t="shared" si="116"/>
        <v>15749.270000000019</v>
      </c>
      <c r="N311" s="250">
        <f t="shared" si="123"/>
        <v>5.2497566666666731E-2</v>
      </c>
      <c r="O311" s="183">
        <f t="shared" si="108"/>
        <v>4.0283059296218532E-2</v>
      </c>
      <c r="P311" s="249" t="b">
        <f t="shared" si="127"/>
        <v>1</v>
      </c>
      <c r="Q311" s="250">
        <f>COUNTIF(P$2:P311, TRUE)/(COUNTIF(P$2:P311,FALSE) + COUNTIF(P$2:P311, TRUE))</f>
        <v>0.49677419354838709</v>
      </c>
      <c r="R311" s="248">
        <v>256362.35</v>
      </c>
      <c r="S311" s="248">
        <f t="shared" si="118"/>
        <v>59386.920000000013</v>
      </c>
      <c r="T311" s="248">
        <v>-31763</v>
      </c>
      <c r="U311" s="248">
        <f t="shared" si="119"/>
        <v>47512.270000000019</v>
      </c>
      <c r="V311" s="250">
        <f>STDEV(D$2:D311)*SQRT(252)</f>
        <v>0.16899593279406544</v>
      </c>
      <c r="W311" s="250">
        <f>STDEV(L$2:L311)*SQRT(252)</f>
        <v>0.3685065540926854</v>
      </c>
      <c r="X311" s="174">
        <f t="shared" si="117"/>
        <v>0.10931436320149325</v>
      </c>
    </row>
    <row r="312" spans="1:24" ht="20.100000000000001" customHeight="1" x14ac:dyDescent="0.25">
      <c r="A312" s="163">
        <f t="shared" si="131"/>
        <v>477</v>
      </c>
      <c r="B312" s="242">
        <v>42710</v>
      </c>
      <c r="C312" s="243">
        <v>2212.23</v>
      </c>
      <c r="D312" s="171">
        <f t="shared" si="132"/>
        <v>3.4108794353905872E-3</v>
      </c>
      <c r="E312" s="244">
        <f t="shared" si="124"/>
        <v>5.2220277391982629E-2</v>
      </c>
      <c r="F312" s="245">
        <v>5333</v>
      </c>
      <c r="G312" s="171">
        <f t="shared" si="133"/>
        <v>4.5414389825367768E-3</v>
      </c>
      <c r="H312" s="246">
        <f t="shared" si="125"/>
        <v>4.7390851778384466E-2</v>
      </c>
      <c r="I312" s="554">
        <v>317812.25</v>
      </c>
      <c r="J312" s="248">
        <v>300000</v>
      </c>
      <c r="K312" s="248">
        <f t="shared" si="126"/>
        <v>2062.9799999999814</v>
      </c>
      <c r="L312" s="171">
        <f t="shared" si="134"/>
        <v>6.5336018037349102E-3</v>
      </c>
      <c r="M312" s="249">
        <f t="shared" ref="M312:M343" si="135">I312-J312</f>
        <v>17812.25</v>
      </c>
      <c r="N312" s="250">
        <f t="shared" si="123"/>
        <v>5.9374166666666665E-2</v>
      </c>
      <c r="O312" s="183">
        <f t="shared" si="108"/>
        <v>4.5464181079664566E-2</v>
      </c>
      <c r="P312" s="249" t="b">
        <f t="shared" si="127"/>
        <v>1</v>
      </c>
      <c r="Q312" s="250">
        <f>COUNTIF(P$2:P312, TRUE)/(COUNTIF(P$2:P312,FALSE) + COUNTIF(P$2:P312, TRUE))</f>
        <v>0.49839228295819937</v>
      </c>
      <c r="R312" s="248">
        <v>247476.7</v>
      </c>
      <c r="S312" s="248">
        <f t="shared" si="118"/>
        <v>70335.549999999988</v>
      </c>
      <c r="T312" s="248">
        <v>-30573</v>
      </c>
      <c r="U312" s="248">
        <f t="shared" si="119"/>
        <v>48385.25</v>
      </c>
      <c r="V312" s="250">
        <f>STDEV(D$2:D312)*SQRT(252)</f>
        <v>0.1687469337814691</v>
      </c>
      <c r="W312" s="250">
        <f>STDEV(L$2:L312)*SQRT(252)</f>
        <v>0.36794744748761488</v>
      </c>
      <c r="X312" s="174">
        <f t="shared" si="117"/>
        <v>0.1235616156331534</v>
      </c>
    </row>
    <row r="313" spans="1:24" ht="20.100000000000001" customHeight="1" x14ac:dyDescent="0.25">
      <c r="A313" s="163">
        <f t="shared" si="131"/>
        <v>478</v>
      </c>
      <c r="B313" s="242">
        <v>42711</v>
      </c>
      <c r="C313" s="243">
        <v>2241.35</v>
      </c>
      <c r="D313" s="171">
        <f t="shared" si="132"/>
        <v>1.316318827608336E-2</v>
      </c>
      <c r="E313" s="244">
        <f t="shared" si="124"/>
        <v>6.6070851011205953E-2</v>
      </c>
      <c r="F313" s="245">
        <v>5393.76</v>
      </c>
      <c r="G313" s="171">
        <f t="shared" si="133"/>
        <v>1.1393212075754776E-2</v>
      </c>
      <c r="H313" s="246">
        <f t="shared" si="125"/>
        <v>5.9323997878901039E-2</v>
      </c>
      <c r="I313" s="554">
        <v>321172.03999999998</v>
      </c>
      <c r="J313" s="248">
        <v>300000</v>
      </c>
      <c r="K313" s="248">
        <f t="shared" si="126"/>
        <v>3359.789999999979</v>
      </c>
      <c r="L313" s="171">
        <f t="shared" si="134"/>
        <v>1.0571618935393394E-2</v>
      </c>
      <c r="M313" s="249">
        <f t="shared" si="135"/>
        <v>21172.039999999979</v>
      </c>
      <c r="N313" s="250">
        <f t="shared" si="123"/>
        <v>7.0573466666666598E-2</v>
      </c>
      <c r="O313" s="183">
        <f t="shared" si="108"/>
        <v>5.3926691841004133E-2</v>
      </c>
      <c r="P313" s="249" t="b">
        <f t="shared" si="127"/>
        <v>0</v>
      </c>
      <c r="Q313" s="250">
        <f>COUNTIF(P$2:P313, TRUE)/(COUNTIF(P$2:P313,FALSE) + COUNTIF(P$2:P313, TRUE))</f>
        <v>0.49679487179487181</v>
      </c>
      <c r="R313" s="248">
        <v>220777.60000000001</v>
      </c>
      <c r="S313" s="248">
        <f t="shared" si="118"/>
        <v>100394.43999999997</v>
      </c>
      <c r="T313" s="248">
        <v>-30508</v>
      </c>
      <c r="U313" s="248">
        <f t="shared" si="119"/>
        <v>51680.039999999979</v>
      </c>
      <c r="V313" s="250">
        <f>STDEV(D$2:D313)*SQRT(252)</f>
        <v>0.16887690023643279</v>
      </c>
      <c r="W313" s="250">
        <f>STDEV(L$2:L313)*SQRT(252)</f>
        <v>0.36746067349044381</v>
      </c>
      <c r="X313" s="174">
        <f t="shared" si="117"/>
        <v>0.146755001912896</v>
      </c>
    </row>
    <row r="314" spans="1:24" ht="20.100000000000001" customHeight="1" x14ac:dyDescent="0.25">
      <c r="A314" s="163">
        <f t="shared" si="131"/>
        <v>479</v>
      </c>
      <c r="B314" s="242">
        <v>42712</v>
      </c>
      <c r="C314" s="243">
        <v>2246.19</v>
      </c>
      <c r="D314" s="171">
        <f t="shared" si="132"/>
        <v>2.1594128538604618E-3</v>
      </c>
      <c r="E314" s="244">
        <f t="shared" si="124"/>
        <v>6.8372938110005513E-2</v>
      </c>
      <c r="F314" s="245">
        <v>5417.35</v>
      </c>
      <c r="G314" s="171">
        <f t="shared" si="133"/>
        <v>4.3735724244312211E-3</v>
      </c>
      <c r="H314" s="246">
        <f t="shared" si="125"/>
        <v>6.3957028104562441E-2</v>
      </c>
      <c r="I314" s="554">
        <v>322327.21999999997</v>
      </c>
      <c r="J314" s="248">
        <v>300000</v>
      </c>
      <c r="K314" s="248">
        <f t="shared" si="126"/>
        <v>1155.179999999993</v>
      </c>
      <c r="L314" s="171">
        <f t="shared" si="134"/>
        <v>3.596763902611177E-3</v>
      </c>
      <c r="M314" s="249">
        <f t="shared" si="135"/>
        <v>22327.219999999972</v>
      </c>
      <c r="N314" s="250">
        <f t="shared" si="123"/>
        <v>7.442406666666658E-2</v>
      </c>
      <c r="O314" s="183">
        <f t="shared" si="108"/>
        <v>5.6750293006262983E-2</v>
      </c>
      <c r="P314" s="249" t="b">
        <f t="shared" si="127"/>
        <v>1</v>
      </c>
      <c r="Q314" s="250">
        <f>COUNTIF(P$2:P314, TRUE)/(COUNTIF(P$2:P314,FALSE) + COUNTIF(P$2:P314, TRUE))</f>
        <v>0.49840255591054311</v>
      </c>
      <c r="R314" s="248">
        <v>216214.39999999999</v>
      </c>
      <c r="S314" s="248">
        <f t="shared" si="118"/>
        <v>106112.81999999998</v>
      </c>
      <c r="T314" s="248">
        <v>-30163</v>
      </c>
      <c r="U314" s="248">
        <f t="shared" si="119"/>
        <v>52490.219999999972</v>
      </c>
      <c r="V314" s="250">
        <f>STDEV(D$2:D314)*SQRT(252)</f>
        <v>0.16861379822258454</v>
      </c>
      <c r="W314" s="250">
        <f>STDEV(L$2:L314)*SQRT(252)</f>
        <v>0.36687837723498989</v>
      </c>
      <c r="X314" s="174">
        <f t="shared" si="117"/>
        <v>0.15468421288266263</v>
      </c>
    </row>
    <row r="315" spans="1:24" ht="20.100000000000001" customHeight="1" x14ac:dyDescent="0.25">
      <c r="A315" s="163">
        <f t="shared" si="131"/>
        <v>480</v>
      </c>
      <c r="B315" s="242">
        <v>42713</v>
      </c>
      <c r="C315" s="243">
        <v>2259.5300000000002</v>
      </c>
      <c r="D315" s="171">
        <f t="shared" si="132"/>
        <v>5.9389455032744986E-3</v>
      </c>
      <c r="E315" s="244">
        <f t="shared" si="124"/>
        <v>7.4717946766614099E-2</v>
      </c>
      <c r="F315" s="245">
        <v>5444.49</v>
      </c>
      <c r="G315" s="171">
        <f t="shared" si="133"/>
        <v>5.0098295291977476E-3</v>
      </c>
      <c r="H315" s="246">
        <f t="shared" si="125"/>
        <v>6.9287271441758155E-2</v>
      </c>
      <c r="I315" s="554">
        <v>323626.28000000003</v>
      </c>
      <c r="J315" s="248">
        <v>300000</v>
      </c>
      <c r="K315" s="248">
        <f t="shared" si="126"/>
        <v>1299.0600000000559</v>
      </c>
      <c r="L315" s="171">
        <f t="shared" si="134"/>
        <v>4.0302522387034396E-3</v>
      </c>
      <c r="M315" s="249">
        <f t="shared" si="135"/>
        <v>23626.280000000028</v>
      </c>
      <c r="N315" s="250">
        <f t="shared" si="123"/>
        <v>7.8754266666666753E-2</v>
      </c>
      <c r="O315" s="183">
        <f t="shared" si="108"/>
        <v>5.9927074791666736E-2</v>
      </c>
      <c r="P315" s="249" t="b">
        <f t="shared" si="127"/>
        <v>0</v>
      </c>
      <c r="Q315" s="250">
        <f>COUNTIF(P$2:P315, TRUE)/(COUNTIF(P$2:P315,FALSE) + COUNTIF(P$2:P315, TRUE))</f>
        <v>0.49681528662420382</v>
      </c>
      <c r="R315" s="248">
        <v>204478.8</v>
      </c>
      <c r="S315" s="248">
        <f t="shared" si="118"/>
        <v>119147.48000000004</v>
      </c>
      <c r="T315" s="248">
        <v>-28680</v>
      </c>
      <c r="U315" s="248">
        <f t="shared" si="119"/>
        <v>52306.280000000028</v>
      </c>
      <c r="V315" s="250">
        <f>STDEV(D$2:D315)*SQRT(252)</f>
        <v>0.16842024942459102</v>
      </c>
      <c r="W315" s="250">
        <f>STDEV(L$2:L315)*SQRT(252)</f>
        <v>0.36630175469945664</v>
      </c>
      <c r="X315" s="174">
        <f t="shared" si="117"/>
        <v>0.16360029408222659</v>
      </c>
    </row>
    <row r="316" spans="1:24" ht="20.100000000000001" customHeight="1" x14ac:dyDescent="0.25">
      <c r="A316" s="163">
        <f t="shared" si="131"/>
        <v>483</v>
      </c>
      <c r="B316" s="172">
        <v>42716</v>
      </c>
      <c r="C316" s="215">
        <v>2256.96</v>
      </c>
      <c r="D316" s="171">
        <f t="shared" si="132"/>
        <v>-1.137404681504633E-3</v>
      </c>
      <c r="E316" s="209">
        <f t="shared" si="124"/>
        <v>7.3495557542664708E-2</v>
      </c>
      <c r="F316" s="219">
        <v>5412.54</v>
      </c>
      <c r="G316" s="171">
        <f t="shared" si="133"/>
        <v>-5.8683182446840421E-3</v>
      </c>
      <c r="H316" s="203">
        <f t="shared" si="125"/>
        <v>6.301235343794806E-2</v>
      </c>
      <c r="I316" s="221">
        <v>324351.42</v>
      </c>
      <c r="J316" s="173">
        <v>300000</v>
      </c>
      <c r="K316" s="173">
        <f t="shared" si="126"/>
        <v>725.13999999995576</v>
      </c>
      <c r="L316" s="171">
        <f t="shared" si="134"/>
        <v>2.2406709368595025E-3</v>
      </c>
      <c r="M316" s="182">
        <f t="shared" si="135"/>
        <v>24351.419999999984</v>
      </c>
      <c r="N316" s="184">
        <f t="shared" si="123"/>
        <v>8.1171399999999949E-2</v>
      </c>
      <c r="O316" s="183">
        <f t="shared" si="108"/>
        <v>6.1382720186335366E-2</v>
      </c>
      <c r="P316" s="182" t="b">
        <f t="shared" si="127"/>
        <v>1</v>
      </c>
      <c r="Q316" s="184">
        <f>COUNTIF(P$2:P316, TRUE)/(COUNTIF(P$2:P316,FALSE) + COUNTIF(P$2:P316, TRUE))</f>
        <v>0.49841269841269842</v>
      </c>
      <c r="R316" s="173">
        <v>230456.1</v>
      </c>
      <c r="S316" s="173">
        <f t="shared" si="118"/>
        <v>93895.319999999978</v>
      </c>
      <c r="T316" s="173">
        <v>-29165</v>
      </c>
      <c r="U316" s="173">
        <f t="shared" si="119"/>
        <v>53516.419999999984</v>
      </c>
      <c r="V316" s="184">
        <f>STDEV(D$2:D316)*SQRT(252)</f>
        <v>0.16815582865464937</v>
      </c>
      <c r="W316" s="184">
        <f>STDEV(L$2:L316)*SQRT(252)</f>
        <v>0.36571853063602927</v>
      </c>
      <c r="X316" s="174">
        <f t="shared" si="117"/>
        <v>0.16784142733917065</v>
      </c>
    </row>
    <row r="317" spans="1:24" ht="20.100000000000001" customHeight="1" x14ac:dyDescent="0.25">
      <c r="A317" s="163">
        <f t="shared" si="131"/>
        <v>484</v>
      </c>
      <c r="B317" s="172">
        <v>42717</v>
      </c>
      <c r="C317" s="215">
        <v>2271.7199999999998</v>
      </c>
      <c r="D317" s="171">
        <f t="shared" ref="D317:D324" si="136">(C317-C316)/C316</f>
        <v>6.539770310506063E-3</v>
      </c>
      <c r="E317" s="209">
        <f t="shared" si="124"/>
        <v>8.051597191834238E-2</v>
      </c>
      <c r="F317" s="219">
        <v>5463.82</v>
      </c>
      <c r="G317" s="171">
        <f t="shared" si="133"/>
        <v>9.47429487819023E-3</v>
      </c>
      <c r="H317" s="203">
        <f t="shared" si="125"/>
        <v>7.3083645933578162E-2</v>
      </c>
      <c r="I317" s="221">
        <v>326932.27</v>
      </c>
      <c r="J317" s="173">
        <v>300000</v>
      </c>
      <c r="K317" s="173">
        <f t="shared" si="126"/>
        <v>2580.8500000000349</v>
      </c>
      <c r="L317" s="171">
        <f t="shared" si="134"/>
        <v>7.9569560694386209E-3</v>
      </c>
      <c r="M317" s="182">
        <f t="shared" si="135"/>
        <v>26932.270000000019</v>
      </c>
      <c r="N317" s="184">
        <f t="shared" si="123"/>
        <v>8.9774233333333397E-2</v>
      </c>
      <c r="O317" s="183">
        <f t="shared" si="108"/>
        <v>6.7748013894628145E-2</v>
      </c>
      <c r="P317" s="182" t="b">
        <f t="shared" si="127"/>
        <v>1</v>
      </c>
      <c r="Q317" s="184">
        <f>COUNTIF(P$2:P317, TRUE)/(COUNTIF(P$2:P317,FALSE) + COUNTIF(P$2:P317, TRUE))</f>
        <v>0.5</v>
      </c>
      <c r="R317" s="173">
        <v>227241.15</v>
      </c>
      <c r="S317" s="173">
        <f t="shared" ref="S317:S325" si="137">I317-R317</f>
        <v>99691.120000000024</v>
      </c>
      <c r="T317" s="173">
        <v>-28375</v>
      </c>
      <c r="U317" s="173">
        <f t="shared" ref="U317:U348" si="138">M317-T317</f>
        <v>55307.270000000019</v>
      </c>
      <c r="V317" s="184">
        <f>STDEV(D$2:D317)*SQRT(252)</f>
        <v>0.16798113436370918</v>
      </c>
      <c r="W317" s="184">
        <f>STDEV(L$2:L317)*SQRT(252)</f>
        <v>0.36519230283112208</v>
      </c>
      <c r="X317" s="174">
        <f t="shared" si="117"/>
        <v>0.18551325799973731</v>
      </c>
    </row>
    <row r="318" spans="1:24" ht="20.100000000000001" customHeight="1" x14ac:dyDescent="0.25">
      <c r="A318" s="163">
        <f t="shared" si="131"/>
        <v>485</v>
      </c>
      <c r="B318" s="172">
        <v>42718</v>
      </c>
      <c r="C318" s="215">
        <v>2253.2800000000002</v>
      </c>
      <c r="D318" s="171">
        <f t="shared" si="136"/>
        <v>-8.1171975419504164E-3</v>
      </c>
      <c r="E318" s="209">
        <f t="shared" si="124"/>
        <v>7.1745210327048642E-2</v>
      </c>
      <c r="F318" s="219">
        <v>5436.67</v>
      </c>
      <c r="G318" s="171">
        <f t="shared" si="133"/>
        <v>-4.9690509570226764E-3</v>
      </c>
      <c r="H318" s="203">
        <f t="shared" si="125"/>
        <v>6.775143861578653E-2</v>
      </c>
      <c r="I318" s="221">
        <v>323187.58</v>
      </c>
      <c r="J318" s="173">
        <v>300000</v>
      </c>
      <c r="K318" s="173">
        <f t="shared" si="126"/>
        <v>-3744.6900000000023</v>
      </c>
      <c r="L318" s="171">
        <f t="shared" si="134"/>
        <v>-1.1454023795203827E-2</v>
      </c>
      <c r="M318" s="182">
        <f t="shared" si="135"/>
        <v>23187.580000000016</v>
      </c>
      <c r="N318" s="184">
        <f t="shared" ref="N318:N349" si="139">M318/J318</f>
        <v>7.7291933333333382E-2</v>
      </c>
      <c r="O318" s="183">
        <f t="shared" si="108"/>
        <v>5.8207997216494882E-2</v>
      </c>
      <c r="P318" s="182" t="b">
        <f t="shared" si="127"/>
        <v>0</v>
      </c>
      <c r="Q318" s="184">
        <f>COUNTIF(P$2:P318, TRUE)/(COUNTIF(P$2:P318,FALSE) + COUNTIF(P$2:P318, TRUE))</f>
        <v>0.49842271293375395</v>
      </c>
      <c r="R318" s="173">
        <v>227414.39999999999</v>
      </c>
      <c r="S318" s="173">
        <f t="shared" si="137"/>
        <v>95773.180000000022</v>
      </c>
      <c r="T318" s="173">
        <v>-28896</v>
      </c>
      <c r="U318" s="173">
        <f t="shared" si="138"/>
        <v>52083.580000000016</v>
      </c>
      <c r="V318" s="184">
        <f>STDEV(D$2:D318)*SQRT(252)</f>
        <v>0.1678827042507858</v>
      </c>
      <c r="W318" s="184">
        <f>STDEV(L$2:L318)*SQRT(252)</f>
        <v>0.36477613743457138</v>
      </c>
      <c r="X318" s="174">
        <f t="shared" si="117"/>
        <v>0.15957183390850352</v>
      </c>
    </row>
    <row r="319" spans="1:24" ht="20.100000000000001" customHeight="1" x14ac:dyDescent="0.25">
      <c r="A319" s="163">
        <f t="shared" si="131"/>
        <v>486</v>
      </c>
      <c r="B319" s="172">
        <v>42719</v>
      </c>
      <c r="C319" s="215">
        <v>2262.0300000000002</v>
      </c>
      <c r="D319" s="171">
        <f t="shared" si="136"/>
        <v>3.8832280053965771E-3</v>
      </c>
      <c r="E319" s="209">
        <f t="shared" si="124"/>
        <v>7.5907041342440279E-2</v>
      </c>
      <c r="F319" s="219">
        <v>5456.85</v>
      </c>
      <c r="G319" s="171">
        <f t="shared" si="133"/>
        <v>3.7118309553458811E-3</v>
      </c>
      <c r="H319" s="203">
        <f t="shared" si="125"/>
        <v>7.1714751458255704E-2</v>
      </c>
      <c r="I319" s="221">
        <v>324820.98</v>
      </c>
      <c r="J319" s="173">
        <v>300000</v>
      </c>
      <c r="K319" s="173">
        <f t="shared" si="126"/>
        <v>1633.3999999999651</v>
      </c>
      <c r="L319" s="171">
        <f t="shared" si="134"/>
        <v>5.0540308510616805E-3</v>
      </c>
      <c r="M319" s="182">
        <f t="shared" si="135"/>
        <v>24820.979999999981</v>
      </c>
      <c r="N319" s="184">
        <f t="shared" si="139"/>
        <v>8.2736599999999938E-2</v>
      </c>
      <c r="O319" s="183">
        <f t="shared" si="108"/>
        <v>6.2180129938271558E-2</v>
      </c>
      <c r="P319" s="182" t="b">
        <f t="shared" si="127"/>
        <v>1</v>
      </c>
      <c r="Q319" s="184">
        <f>COUNTIF(P$2:P319, TRUE)/(COUNTIF(P$2:P319,FALSE) + COUNTIF(P$2:P319, TRUE))</f>
        <v>0.5</v>
      </c>
      <c r="R319" s="173">
        <v>232165.8</v>
      </c>
      <c r="S319" s="173">
        <f t="shared" si="137"/>
        <v>92655.18</v>
      </c>
      <c r="T319" s="173">
        <v>-28562</v>
      </c>
      <c r="U319" s="173">
        <f t="shared" si="138"/>
        <v>53382.979999999981</v>
      </c>
      <c r="V319" s="184">
        <f>STDEV(D$2:D319)*SQRT(252)</f>
        <v>0.16764772855773447</v>
      </c>
      <c r="W319" s="184">
        <f>STDEV(L$2:L319)*SQRT(252)</f>
        <v>0.36421868785433931</v>
      </c>
      <c r="X319" s="174">
        <f t="shared" si="117"/>
        <v>0.17072196461028116</v>
      </c>
    </row>
    <row r="320" spans="1:24" ht="20.100000000000001" customHeight="1" x14ac:dyDescent="0.25">
      <c r="A320" s="163">
        <f>B320-$B$2</f>
        <v>487</v>
      </c>
      <c r="B320" s="172">
        <v>42720</v>
      </c>
      <c r="C320" s="215">
        <v>2258.0700000000002</v>
      </c>
      <c r="D320" s="171">
        <f t="shared" si="136"/>
        <v>-1.7506399119375233E-3</v>
      </c>
      <c r="E320" s="209">
        <f t="shared" ref="E320:E351" si="140">(C320-$C$2)/$C$2</f>
        <v>7.4023515534331591E-2</v>
      </c>
      <c r="F320" s="219">
        <v>5437.16</v>
      </c>
      <c r="G320" s="171">
        <f t="shared" si="133"/>
        <v>-3.6083088228557698E-3</v>
      </c>
      <c r="H320" s="203">
        <f t="shared" ref="H320:H351" si="141">(F320-F$2)/F$2</f>
        <v>6.7847673664984204E-2</v>
      </c>
      <c r="I320" s="221">
        <v>327045.52</v>
      </c>
      <c r="J320" s="173">
        <v>300000</v>
      </c>
      <c r="K320" s="173">
        <f t="shared" ref="K320:K351" si="142">I320-I319-J320+J319</f>
        <v>2224.5400000000373</v>
      </c>
      <c r="L320" s="171">
        <f t="shared" si="134"/>
        <v>6.8485108320282678E-3</v>
      </c>
      <c r="M320" s="182">
        <f t="shared" si="135"/>
        <v>27045.520000000019</v>
      </c>
      <c r="N320" s="184">
        <f t="shared" si="139"/>
        <v>9.01517333333334E-2</v>
      </c>
      <c r="O320" s="183">
        <f t="shared" si="108"/>
        <v>6.7613800000000057E-2</v>
      </c>
      <c r="P320" s="182" t="b">
        <f t="shared" ref="P320:P351" si="143">L320&gt;D320</f>
        <v>1</v>
      </c>
      <c r="Q320" s="184">
        <f>COUNTIF(P$2:P320, TRUE)/(COUNTIF(P$2:P320,FALSE) + COUNTIF(P$2:P320, TRUE))</f>
        <v>0.50156739811912221</v>
      </c>
      <c r="R320" s="173">
        <v>231412.84</v>
      </c>
      <c r="S320" s="173">
        <f t="shared" si="137"/>
        <v>95632.680000000022</v>
      </c>
      <c r="T320" s="173">
        <v>-28561</v>
      </c>
      <c r="U320" s="173">
        <f t="shared" si="138"/>
        <v>55606.520000000019</v>
      </c>
      <c r="V320" s="184">
        <f>STDEV(D$2:D320)*SQRT(252)</f>
        <v>0.16739291241779608</v>
      </c>
      <c r="W320" s="184">
        <f>STDEV(L$2:L320)*SQRT(252)</f>
        <v>0.36368405399671344</v>
      </c>
      <c r="X320" s="174">
        <f t="shared" si="117"/>
        <v>0.18591356771614484</v>
      </c>
    </row>
    <row r="321" spans="1:24" ht="20.100000000000001" customHeight="1" x14ac:dyDescent="0.25">
      <c r="A321" s="163">
        <f t="shared" ref="A321:A384" si="144">B321-$B$2</f>
        <v>490</v>
      </c>
      <c r="B321" s="242">
        <v>42723</v>
      </c>
      <c r="C321" s="243">
        <v>2262.5300000000002</v>
      </c>
      <c r="D321" s="171">
        <f t="shared" si="136"/>
        <v>1.9751380603790121E-3</v>
      </c>
      <c r="E321" s="244">
        <f t="shared" si="140"/>
        <v>7.6144860257605515E-2</v>
      </c>
      <c r="F321" s="245">
        <v>5457.44</v>
      </c>
      <c r="G321" s="171">
        <f t="shared" si="133"/>
        <v>3.7298883976192988E-3</v>
      </c>
      <c r="H321" s="246">
        <f t="shared" si="141"/>
        <v>7.1830626313411985E-2</v>
      </c>
      <c r="I321" s="554">
        <v>327054.27</v>
      </c>
      <c r="J321" s="248">
        <v>300000</v>
      </c>
      <c r="K321" s="248">
        <f t="shared" si="142"/>
        <v>8.75</v>
      </c>
      <c r="L321" s="171">
        <f t="shared" si="134"/>
        <v>2.6754685402814872E-5</v>
      </c>
      <c r="M321" s="249">
        <f t="shared" si="135"/>
        <v>27054.270000000019</v>
      </c>
      <c r="N321" s="250">
        <f t="shared" si="139"/>
        <v>9.0180900000000064E-2</v>
      </c>
      <c r="O321" s="183">
        <f t="shared" si="108"/>
        <v>6.7221579030612294E-2</v>
      </c>
      <c r="P321" s="249" t="b">
        <f t="shared" si="143"/>
        <v>0</v>
      </c>
      <c r="Q321" s="250">
        <f>COUNTIF(P$2:P321, TRUE)/(COUNTIF(P$2:P321,FALSE) + COUNTIF(P$2:P321, TRUE))</f>
        <v>0.5</v>
      </c>
      <c r="R321" s="248">
        <v>231413.84</v>
      </c>
      <c r="S321" s="248">
        <f t="shared" si="137"/>
        <v>95640.430000000022</v>
      </c>
      <c r="T321" s="248">
        <v>-28148</v>
      </c>
      <c r="U321" s="248">
        <f t="shared" si="138"/>
        <v>55202.270000000019</v>
      </c>
      <c r="V321" s="250">
        <f>STDEV(D$2:D321)*SQRT(252)</f>
        <v>0.16713630063292181</v>
      </c>
      <c r="W321" s="250">
        <f>STDEV(L$2:L321)*SQRT(252)</f>
        <v>0.36311240060215538</v>
      </c>
      <c r="X321" s="174">
        <f t="shared" si="117"/>
        <v>0.18512609021101351</v>
      </c>
    </row>
    <row r="322" spans="1:24" ht="20.100000000000001" customHeight="1" x14ac:dyDescent="0.25">
      <c r="A322" s="163">
        <f t="shared" si="144"/>
        <v>491</v>
      </c>
      <c r="B322" s="242">
        <v>42724</v>
      </c>
      <c r="C322" s="243">
        <v>2270.7600000000002</v>
      </c>
      <c r="D322" s="171">
        <f t="shared" si="136"/>
        <v>3.6375208284531112E-3</v>
      </c>
      <c r="E322" s="244">
        <f t="shared" si="140"/>
        <v>8.0059359601225316E-2</v>
      </c>
      <c r="F322" s="245">
        <v>5483.94</v>
      </c>
      <c r="G322" s="171">
        <f>(F322-F321)/F321</f>
        <v>4.8557565451933507E-3</v>
      </c>
      <c r="H322" s="246">
        <f t="shared" si="141"/>
        <v>7.7035174892472025E-2</v>
      </c>
      <c r="I322" s="554">
        <v>325810.98</v>
      </c>
      <c r="J322" s="248">
        <v>300000</v>
      </c>
      <c r="K322" s="248">
        <f t="shared" si="142"/>
        <v>-1243.2900000000373</v>
      </c>
      <c r="L322" s="171">
        <f>K322/I321</f>
        <v>-3.8014791857022296E-3</v>
      </c>
      <c r="M322" s="249">
        <f t="shared" si="135"/>
        <v>25810.979999999981</v>
      </c>
      <c r="N322" s="250">
        <f t="shared" si="139"/>
        <v>8.6036599999999935E-2</v>
      </c>
      <c r="O322" s="183">
        <f t="shared" si="108"/>
        <v>6.4001768126272868E-2</v>
      </c>
      <c r="P322" s="249" t="b">
        <f t="shared" si="143"/>
        <v>0</v>
      </c>
      <c r="Q322" s="250">
        <f>COUNTIF(P$2:P322, TRUE)/(COUNTIF(P$2:P322,FALSE) + COUNTIF(P$2:P322, TRUE))</f>
        <v>0.49844236760124611</v>
      </c>
      <c r="R322" s="248">
        <v>230633.3</v>
      </c>
      <c r="S322" s="248">
        <f t="shared" si="137"/>
        <v>95177.68</v>
      </c>
      <c r="T322" s="248">
        <v>-28828</v>
      </c>
      <c r="U322" s="248">
        <f t="shared" si="138"/>
        <v>54638.979999999981</v>
      </c>
      <c r="V322" s="250">
        <f>STDEV(D$2:D322)*SQRT(252)</f>
        <v>0.16690064073830019</v>
      </c>
      <c r="W322" s="250">
        <f>STDEV(L$2:L322)*SQRT(252)</f>
        <v>0.36256564475592484</v>
      </c>
      <c r="X322" s="174">
        <f t="shared" si="117"/>
        <v>0.17652463506121255</v>
      </c>
    </row>
    <row r="323" spans="1:24" ht="20.100000000000001" customHeight="1" x14ac:dyDescent="0.25">
      <c r="A323" s="163">
        <f t="shared" si="144"/>
        <v>492</v>
      </c>
      <c r="B323" s="242">
        <v>42725</v>
      </c>
      <c r="C323" s="243">
        <v>2265.1799999999998</v>
      </c>
      <c r="D323" s="171">
        <f t="shared" si="136"/>
        <v>-2.4573270623052994E-3</v>
      </c>
      <c r="E323" s="244">
        <f t="shared" si="140"/>
        <v>7.7405300507981098E-2</v>
      </c>
      <c r="F323" s="245">
        <v>5471.43</v>
      </c>
      <c r="G323" s="171">
        <f>(F323-F322)/F322</f>
        <v>-2.2812065777523659E-3</v>
      </c>
      <c r="H323" s="246">
        <f t="shared" si="141"/>
        <v>7.4578235167036641E-2</v>
      </c>
      <c r="I323" s="554">
        <v>324443.28000000003</v>
      </c>
      <c r="J323" s="248">
        <v>300000</v>
      </c>
      <c r="K323" s="248">
        <f t="shared" si="142"/>
        <v>-1367.6999999999534</v>
      </c>
      <c r="L323" s="171">
        <f t="shared" ref="L323:L386" si="145">K323/I322</f>
        <v>-4.1978327433899055E-3</v>
      </c>
      <c r="M323" s="249">
        <f t="shared" si="135"/>
        <v>24443.280000000028</v>
      </c>
      <c r="N323" s="250">
        <f t="shared" si="139"/>
        <v>8.1477600000000094E-2</v>
      </c>
      <c r="O323" s="183">
        <f t="shared" si="108"/>
        <v>6.0487181707317143E-2</v>
      </c>
      <c r="P323" s="249" t="b">
        <f t="shared" si="143"/>
        <v>0</v>
      </c>
      <c r="Q323" s="250">
        <f>COUNTIF(P$2:P323, TRUE)/(COUNTIF(P$2:P323,FALSE) + COUNTIF(P$2:P323, TRUE))</f>
        <v>0.49689440993788819</v>
      </c>
      <c r="R323" s="248">
        <v>231596.6</v>
      </c>
      <c r="S323" s="248">
        <f t="shared" si="137"/>
        <v>92846.680000000022</v>
      </c>
      <c r="T323" s="248">
        <v>-28725</v>
      </c>
      <c r="U323" s="248">
        <f t="shared" si="138"/>
        <v>53168.280000000028</v>
      </c>
      <c r="V323" s="250">
        <f>STDEV(D$2:D323)*SQRT(252)</f>
        <v>0.16665750598477963</v>
      </c>
      <c r="W323" s="250">
        <f>STDEV(L$2:L323)*SQRT(252)</f>
        <v>0.36202544499478717</v>
      </c>
      <c r="X323" s="174">
        <f t="shared" si="117"/>
        <v>0.16707991812063958</v>
      </c>
    </row>
    <row r="324" spans="1:24" ht="20.100000000000001" customHeight="1" x14ac:dyDescent="0.25">
      <c r="A324" s="163">
        <f t="shared" si="144"/>
        <v>493</v>
      </c>
      <c r="B324" s="242">
        <v>42726</v>
      </c>
      <c r="C324" s="243">
        <v>2260.96</v>
      </c>
      <c r="D324" s="171">
        <f t="shared" si="136"/>
        <v>-1.8629866059208541E-3</v>
      </c>
      <c r="E324" s="244">
        <f t="shared" si="140"/>
        <v>7.5398108863986596E-2</v>
      </c>
      <c r="F324" s="245">
        <v>5447.42</v>
      </c>
      <c r="G324" s="171">
        <f t="shared" ref="G324:G334" si="146">(F324-F323)/F323</f>
        <v>-4.3882495069845024E-3</v>
      </c>
      <c r="H324" s="246">
        <f t="shared" si="141"/>
        <v>6.9862717756348613E-2</v>
      </c>
      <c r="I324" s="554">
        <v>328249.78000000003</v>
      </c>
      <c r="J324" s="248">
        <v>300000</v>
      </c>
      <c r="K324" s="248">
        <f t="shared" si="142"/>
        <v>3806.5</v>
      </c>
      <c r="L324" s="171">
        <f t="shared" si="145"/>
        <v>1.1732405121782764E-2</v>
      </c>
      <c r="M324" s="249">
        <f t="shared" si="135"/>
        <v>28249.780000000028</v>
      </c>
      <c r="N324" s="250">
        <f t="shared" si="139"/>
        <v>9.4165933333333424E-2</v>
      </c>
      <c r="O324" s="183">
        <f t="shared" si="108"/>
        <v>6.9764923225152195E-2</v>
      </c>
      <c r="P324" s="249" t="b">
        <f t="shared" si="143"/>
        <v>1</v>
      </c>
      <c r="Q324" s="250">
        <f>COUNTIF(P$2:P324, TRUE)/(COUNTIF(P$2:P324,FALSE) + COUNTIF(P$2:P324, TRUE))</f>
        <v>0.49845201238390091</v>
      </c>
      <c r="R324" s="248">
        <v>235403.1</v>
      </c>
      <c r="S324" s="248">
        <f t="shared" si="137"/>
        <v>92846.680000000022</v>
      </c>
      <c r="T324" s="248">
        <v>-28852</v>
      </c>
      <c r="U324" s="248">
        <f t="shared" si="138"/>
        <v>57101.780000000028</v>
      </c>
      <c r="V324" s="250">
        <f>STDEV(D$2:D324)*SQRT(252)</f>
        <v>0.16640858320872839</v>
      </c>
      <c r="W324" s="250">
        <f>STDEV(L$2:L324)*SQRT(252)</f>
        <v>0.36159155840983148</v>
      </c>
      <c r="X324" s="174">
        <f t="shared" si="117"/>
        <v>0.19293847326513064</v>
      </c>
    </row>
    <row r="325" spans="1:24" ht="20.100000000000001" customHeight="1" x14ac:dyDescent="0.25">
      <c r="A325" s="163">
        <f t="shared" si="144"/>
        <v>494</v>
      </c>
      <c r="B325" s="242">
        <v>42727</v>
      </c>
      <c r="C325" s="243">
        <v>2263.79</v>
      </c>
      <c r="D325" s="171">
        <f t="shared" ref="D325:D334" si="147">(C325-C324)/C324</f>
        <v>1.251680702002657E-3</v>
      </c>
      <c r="E325" s="244">
        <f t="shared" si="140"/>
        <v>7.6744163923821801E-2</v>
      </c>
      <c r="F325" s="245">
        <v>5462.68</v>
      </c>
      <c r="G325" s="171">
        <f t="shared" si="146"/>
        <v>2.8013261323709604E-3</v>
      </c>
      <c r="H325" s="246">
        <f t="shared" si="141"/>
        <v>7.2859752145648896E-2</v>
      </c>
      <c r="I325" s="554">
        <v>329298.48</v>
      </c>
      <c r="J325" s="248">
        <v>300000</v>
      </c>
      <c r="K325" s="248">
        <f t="shared" si="142"/>
        <v>1048.6999999999534</v>
      </c>
      <c r="L325" s="171">
        <f t="shared" si="145"/>
        <v>3.1948231618006062E-3</v>
      </c>
      <c r="M325" s="249">
        <f t="shared" si="135"/>
        <v>29298.479999999981</v>
      </c>
      <c r="N325" s="250">
        <f t="shared" si="139"/>
        <v>9.7661599999999932E-2</v>
      </c>
      <c r="O325" s="183">
        <f t="shared" si="108"/>
        <v>7.2208298380566749E-2</v>
      </c>
      <c r="P325" s="249" t="b">
        <f t="shared" si="143"/>
        <v>1</v>
      </c>
      <c r="Q325" s="250">
        <f>COUNTIF(P$2:P325, TRUE)/(COUNTIF(P$2:P325,FALSE) + COUNTIF(P$2:P325, TRUE))</f>
        <v>0.5</v>
      </c>
      <c r="R325" s="248">
        <v>236451.8</v>
      </c>
      <c r="S325" s="248">
        <f t="shared" si="137"/>
        <v>92846.68</v>
      </c>
      <c r="T325" s="248">
        <v>-28456</v>
      </c>
      <c r="U325" s="248">
        <f t="shared" si="138"/>
        <v>57754.479999999981</v>
      </c>
      <c r="V325" s="250">
        <f>STDEV(D$2:D325)*SQRT(252)</f>
        <v>0.16615219867312236</v>
      </c>
      <c r="W325" s="250">
        <f>STDEV(L$2:L325)*SQRT(252)</f>
        <v>0.36103590347828884</v>
      </c>
      <c r="X325" s="174">
        <f t="shared" si="117"/>
        <v>0.20000309577218833</v>
      </c>
    </row>
    <row r="326" spans="1:24" ht="20.100000000000001" customHeight="1" x14ac:dyDescent="0.25">
      <c r="A326" s="163">
        <f t="shared" si="144"/>
        <v>498</v>
      </c>
      <c r="B326" s="172">
        <v>42731</v>
      </c>
      <c r="C326" s="215">
        <v>2268.88</v>
      </c>
      <c r="D326" s="171">
        <f t="shared" si="147"/>
        <v>2.2484417724259521E-3</v>
      </c>
      <c r="E326" s="209">
        <f t="shared" si="140"/>
        <v>7.9165160480203972E-2</v>
      </c>
      <c r="F326" s="219">
        <v>5487.44</v>
      </c>
      <c r="G326" s="171">
        <f t="shared" si="146"/>
        <v>4.5325737550065736E-3</v>
      </c>
      <c r="H326" s="203">
        <f t="shared" si="141"/>
        <v>7.7722568101027123E-2</v>
      </c>
      <c r="I326" s="221">
        <v>330109.08</v>
      </c>
      <c r="J326" s="173">
        <v>300000</v>
      </c>
      <c r="K326" s="173">
        <f t="shared" si="142"/>
        <v>810.60000000003492</v>
      </c>
      <c r="L326" s="171">
        <f t="shared" si="145"/>
        <v>2.4615965430512614E-3</v>
      </c>
      <c r="M326" s="182">
        <f t="shared" si="135"/>
        <v>30109.080000000016</v>
      </c>
      <c r="N326" s="184">
        <f t="shared" si="139"/>
        <v>0.10036360000000005</v>
      </c>
      <c r="O326" s="183">
        <f t="shared" si="108"/>
        <v>7.3610050000000038E-2</v>
      </c>
      <c r="P326" s="182" t="b">
        <f t="shared" si="143"/>
        <v>1</v>
      </c>
      <c r="Q326" s="184">
        <f>COUNTIF(P$2:P326, TRUE)/(COUNTIF(P$2:P326,FALSE) + COUNTIF(P$2:P326, TRUE))</f>
        <v>0.50153846153846149</v>
      </c>
      <c r="R326" s="173">
        <v>237262.4</v>
      </c>
      <c r="S326" s="173">
        <f t="shared" ref="S326:S331" si="148">I326-R326</f>
        <v>92846.680000000022</v>
      </c>
      <c r="T326" s="173">
        <v>-28216</v>
      </c>
      <c r="U326" s="173">
        <f t="shared" si="138"/>
        <v>58325.080000000016</v>
      </c>
      <c r="V326" s="184">
        <f>STDEV(D$2:D326)*SQRT(252)</f>
        <v>0.16590384909473915</v>
      </c>
      <c r="W326" s="184">
        <f>STDEV(L$2:L326)*SQRT(252)</f>
        <v>0.36047958608732461</v>
      </c>
      <c r="X326" s="174">
        <f t="shared" si="117"/>
        <v>0.20420032878690758</v>
      </c>
    </row>
    <row r="327" spans="1:24" ht="20.100000000000001" customHeight="1" x14ac:dyDescent="0.25">
      <c r="A327" s="163">
        <f t="shared" si="144"/>
        <v>499</v>
      </c>
      <c r="B327" s="172">
        <v>42732</v>
      </c>
      <c r="C327" s="215">
        <v>2249.92</v>
      </c>
      <c r="D327" s="171">
        <f t="shared" si="147"/>
        <v>-8.3565459610028016E-3</v>
      </c>
      <c r="E327" s="209">
        <f t="shared" si="140"/>
        <v>7.014706721713819E-2</v>
      </c>
      <c r="F327" s="219">
        <v>5438.55</v>
      </c>
      <c r="G327" s="171">
        <f t="shared" si="146"/>
        <v>-8.9094368229993264E-3</v>
      </c>
      <c r="H327" s="203">
        <f t="shared" si="141"/>
        <v>6.8120666967810425E-2</v>
      </c>
      <c r="I327" s="221">
        <v>326202.98</v>
      </c>
      <c r="J327" s="173">
        <v>300000</v>
      </c>
      <c r="K327" s="173">
        <f t="shared" si="142"/>
        <v>-3906.1000000000349</v>
      </c>
      <c r="L327" s="171">
        <f t="shared" si="145"/>
        <v>-1.1832755403153511E-2</v>
      </c>
      <c r="M327" s="182">
        <f t="shared" si="135"/>
        <v>26202.979999999981</v>
      </c>
      <c r="N327" s="184">
        <f t="shared" si="139"/>
        <v>8.73432666666666E-2</v>
      </c>
      <c r="O327" s="183">
        <f t="shared" ref="O327:O390" si="149">N327/(A327/365.25)</f>
        <v>6.3932120541082119E-2</v>
      </c>
      <c r="P327" s="182" t="b">
        <f t="shared" si="143"/>
        <v>0</v>
      </c>
      <c r="Q327" s="184">
        <f>COUNTIF(P$2:P327, TRUE)/(COUNTIF(P$2:P327,FALSE) + COUNTIF(P$2:P327, TRUE))</f>
        <v>0.5</v>
      </c>
      <c r="R327" s="173">
        <v>235463.51</v>
      </c>
      <c r="S327" s="173">
        <f t="shared" si="148"/>
        <v>90739.469999999972</v>
      </c>
      <c r="T327" s="173">
        <v>-29179</v>
      </c>
      <c r="U327" s="173">
        <f t="shared" si="138"/>
        <v>55381.979999999981</v>
      </c>
      <c r="V327" s="184">
        <f>STDEV(D$2:D327)*SQRT(252)</f>
        <v>0.16582249339031452</v>
      </c>
      <c r="W327" s="184">
        <f>STDEV(L$2:L327)*SQRT(252)</f>
        <v>0.36009473393131058</v>
      </c>
      <c r="X327" s="174">
        <f t="shared" si="117"/>
        <v>0.17754250344932124</v>
      </c>
    </row>
    <row r="328" spans="1:24" ht="20.100000000000001" customHeight="1" x14ac:dyDescent="0.25">
      <c r="A328" s="163">
        <f t="shared" si="144"/>
        <v>500</v>
      </c>
      <c r="B328" s="172">
        <v>42733</v>
      </c>
      <c r="C328" s="215">
        <v>2249.2600000000002</v>
      </c>
      <c r="D328" s="171">
        <f t="shared" si="147"/>
        <v>-2.9334376333374273E-4</v>
      </c>
      <c r="E328" s="209">
        <f t="shared" si="140"/>
        <v>6.983314624912014E-2</v>
      </c>
      <c r="F328" s="219">
        <v>5432.09</v>
      </c>
      <c r="G328" s="171">
        <f t="shared" si="146"/>
        <v>-1.1878166055290539E-3</v>
      </c>
      <c r="H328" s="203">
        <f t="shared" si="141"/>
        <v>6.6851935502877297E-2</v>
      </c>
      <c r="I328" s="221">
        <v>324645.53000000003</v>
      </c>
      <c r="J328" s="173">
        <v>300000</v>
      </c>
      <c r="K328" s="173">
        <f t="shared" si="142"/>
        <v>-1557.4499999999534</v>
      </c>
      <c r="L328" s="171">
        <f t="shared" si="145"/>
        <v>-4.774481214119974E-3</v>
      </c>
      <c r="M328" s="182">
        <f t="shared" si="135"/>
        <v>24645.530000000028</v>
      </c>
      <c r="N328" s="184">
        <f t="shared" si="139"/>
        <v>8.2151766666666765E-2</v>
      </c>
      <c r="O328" s="183">
        <f t="shared" si="149"/>
        <v>6.0011865550000078E-2</v>
      </c>
      <c r="P328" s="182" t="b">
        <f t="shared" si="143"/>
        <v>0</v>
      </c>
      <c r="Q328" s="184">
        <f>COUNTIF(P$2:P328, TRUE)/(COUNTIF(P$2:P328,FALSE) + COUNTIF(P$2:P328, TRUE))</f>
        <v>0.49847094801223241</v>
      </c>
      <c r="R328" s="173">
        <v>245575.8</v>
      </c>
      <c r="S328" s="173">
        <f t="shared" si="148"/>
        <v>79069.73000000004</v>
      </c>
      <c r="T328" s="173">
        <v>-28777</v>
      </c>
      <c r="U328" s="173">
        <f t="shared" si="138"/>
        <v>53422.530000000028</v>
      </c>
      <c r="V328" s="184">
        <f>STDEV(D$2:D328)*SQRT(252)</f>
        <v>0.16556790757023543</v>
      </c>
      <c r="W328" s="184">
        <f>STDEV(L$2:L328)*SQRT(252)</f>
        <v>0.35957326133174794</v>
      </c>
      <c r="X328" s="174">
        <f t="shared" si="117"/>
        <v>0.16689746431015121</v>
      </c>
    </row>
    <row r="329" spans="1:24" ht="20.100000000000001" customHeight="1" x14ac:dyDescent="0.25">
      <c r="A329" s="163">
        <f t="shared" si="144"/>
        <v>501</v>
      </c>
      <c r="B329" s="172">
        <v>42734</v>
      </c>
      <c r="C329" s="215">
        <v>2238.83</v>
      </c>
      <c r="D329" s="171">
        <f t="shared" si="147"/>
        <v>-4.6370806398550145E-3</v>
      </c>
      <c r="E329" s="209">
        <f t="shared" si="140"/>
        <v>6.4872243678773173E-2</v>
      </c>
      <c r="F329" s="219">
        <v>5383.11</v>
      </c>
      <c r="G329" s="171">
        <f t="shared" si="146"/>
        <v>-9.0167872770886472E-3</v>
      </c>
      <c r="H329" s="203">
        <f t="shared" si="141"/>
        <v>5.7232358544297555E-2</v>
      </c>
      <c r="I329" s="473">
        <v>322309.38</v>
      </c>
      <c r="J329" s="173">
        <v>300000</v>
      </c>
      <c r="K329" s="173">
        <f t="shared" si="142"/>
        <v>-2336.1500000000233</v>
      </c>
      <c r="L329" s="171">
        <f t="shared" si="145"/>
        <v>-7.1960023598662305E-3</v>
      </c>
      <c r="M329" s="473">
        <f t="shared" si="135"/>
        <v>22309.380000000005</v>
      </c>
      <c r="N329" s="184">
        <f t="shared" si="139"/>
        <v>7.4364600000000017E-2</v>
      </c>
      <c r="O329" s="183">
        <f t="shared" si="149"/>
        <v>5.4214910479041929E-2</v>
      </c>
      <c r="P329" s="182" t="b">
        <f t="shared" si="143"/>
        <v>0</v>
      </c>
      <c r="Q329" s="184">
        <f>COUNTIF(P$2:P329, TRUE)/(COUNTIF(P$2:P329,FALSE) + COUNTIF(P$2:P329, TRUE))</f>
        <v>0.49695121951219512</v>
      </c>
      <c r="R329" s="173">
        <v>244515.65</v>
      </c>
      <c r="S329" s="173">
        <f t="shared" si="148"/>
        <v>77793.73000000001</v>
      </c>
      <c r="T329" s="173">
        <v>-29211</v>
      </c>
      <c r="U329" s="173">
        <f t="shared" si="138"/>
        <v>51520.380000000005</v>
      </c>
      <c r="V329" s="184">
        <f>STDEV(D$2:D329)*SQRT(252)</f>
        <v>0.16536968849667288</v>
      </c>
      <c r="W329" s="184">
        <f>STDEV(L$2:L329)*SQRT(252)</f>
        <v>0.35908901250550984</v>
      </c>
      <c r="X329" s="174">
        <f t="shared" si="117"/>
        <v>0.15097902912919137</v>
      </c>
    </row>
    <row r="330" spans="1:24" ht="20.100000000000001" customHeight="1" x14ac:dyDescent="0.25">
      <c r="A330" s="163">
        <f t="shared" si="144"/>
        <v>505</v>
      </c>
      <c r="B330" s="242">
        <v>42738</v>
      </c>
      <c r="C330" s="243">
        <v>2257.83</v>
      </c>
      <c r="D330" s="171">
        <f t="shared" si="147"/>
        <v>8.4865755774221358E-3</v>
      </c>
      <c r="E330" s="244">
        <f t="shared" si="140"/>
        <v>7.3909362455052169E-2</v>
      </c>
      <c r="F330" s="245">
        <v>5429.08</v>
      </c>
      <c r="G330" s="171">
        <f t="shared" si="146"/>
        <v>8.5396731629114511E-3</v>
      </c>
      <c r="H330" s="246">
        <f t="shared" si="141"/>
        <v>6.6260777343519872E-2</v>
      </c>
      <c r="I330" s="554">
        <v>327489.65000000002</v>
      </c>
      <c r="J330" s="248">
        <v>300000</v>
      </c>
      <c r="K330" s="248">
        <f t="shared" si="142"/>
        <v>5180.2700000000186</v>
      </c>
      <c r="L330" s="171">
        <f t="shared" si="145"/>
        <v>1.6072352594888855E-2</v>
      </c>
      <c r="M330" s="249">
        <f t="shared" si="135"/>
        <v>27489.650000000023</v>
      </c>
      <c r="N330" s="250">
        <f t="shared" si="139"/>
        <v>9.1632166666666751E-2</v>
      </c>
      <c r="O330" s="183">
        <f t="shared" si="149"/>
        <v>6.6274552227722827E-2</v>
      </c>
      <c r="P330" s="249" t="b">
        <f t="shared" si="143"/>
        <v>1</v>
      </c>
      <c r="Q330" s="250">
        <f>COUNTIF(P$2:P330, TRUE)/(COUNTIF(P$2:P330,FALSE) + COUNTIF(P$2:P330, TRUE))</f>
        <v>0.49848024316109424</v>
      </c>
      <c r="R330" s="248">
        <v>246849.1</v>
      </c>
      <c r="S330" s="248">
        <f t="shared" si="148"/>
        <v>80640.550000000017</v>
      </c>
      <c r="T330" s="248">
        <v>-28453</v>
      </c>
      <c r="U330" s="248">
        <f t="shared" si="138"/>
        <v>55942.650000000023</v>
      </c>
      <c r="V330" s="250">
        <f>STDEV(D$2:D330)*SQRT(252)</f>
        <v>0.16527453966612005</v>
      </c>
      <c r="W330" s="250">
        <f>STDEV(L$2:L330)*SQRT(252)</f>
        <v>0.35879195158503097</v>
      </c>
      <c r="X330" s="174">
        <f t="shared" si="117"/>
        <v>0.18471582747311505</v>
      </c>
    </row>
    <row r="331" spans="1:24" ht="20.100000000000001" customHeight="1" x14ac:dyDescent="0.25">
      <c r="A331" s="163">
        <f t="shared" si="144"/>
        <v>506</v>
      </c>
      <c r="B331" s="242">
        <v>42739</v>
      </c>
      <c r="C331" s="243">
        <v>2270.75</v>
      </c>
      <c r="D331" s="171">
        <f t="shared" si="147"/>
        <v>5.7223085883348493E-3</v>
      </c>
      <c r="E331" s="244">
        <f t="shared" si="140"/>
        <v>8.0054603222921905E-2</v>
      </c>
      <c r="F331" s="245">
        <v>5477</v>
      </c>
      <c r="G331" s="171">
        <f t="shared" si="146"/>
        <v>8.8265415134792767E-3</v>
      </c>
      <c r="H331" s="246">
        <f t="shared" si="141"/>
        <v>7.5672172358937126E-2</v>
      </c>
      <c r="I331" s="554">
        <v>330177.02</v>
      </c>
      <c r="J331" s="248">
        <v>300000</v>
      </c>
      <c r="K331" s="248">
        <f t="shared" si="142"/>
        <v>2687.3699999999953</v>
      </c>
      <c r="L331" s="171">
        <f t="shared" si="145"/>
        <v>8.2059692573490349E-3</v>
      </c>
      <c r="M331" s="249">
        <f t="shared" si="135"/>
        <v>30177.020000000019</v>
      </c>
      <c r="N331" s="250">
        <f t="shared" si="139"/>
        <v>0.10059006666666673</v>
      </c>
      <c r="O331" s="183">
        <f t="shared" si="149"/>
        <v>7.2609726976284636E-2</v>
      </c>
      <c r="P331" s="249" t="b">
        <f t="shared" si="143"/>
        <v>1</v>
      </c>
      <c r="Q331" s="250">
        <f>COUNTIF(P$2:P331, TRUE)/(COUNTIF(P$2:P331,FALSE) + COUNTIF(P$2:P331, TRUE))</f>
        <v>0.5</v>
      </c>
      <c r="R331" s="248">
        <v>236646.05</v>
      </c>
      <c r="S331" s="248">
        <f t="shared" si="148"/>
        <v>93530.97000000003</v>
      </c>
      <c r="T331" s="248">
        <v>-27557</v>
      </c>
      <c r="U331" s="248">
        <f t="shared" si="138"/>
        <v>57734.020000000019</v>
      </c>
      <c r="V331" s="250">
        <f>STDEV(D$2:D331)*SQRT(252)</f>
        <v>0.1650913475554088</v>
      </c>
      <c r="W331" s="250">
        <f>STDEV(L$2:L331)*SQRT(252)</f>
        <v>0.3583037455998867</v>
      </c>
      <c r="X331" s="174">
        <f t="shared" si="117"/>
        <v>0.20264852898681948</v>
      </c>
    </row>
    <row r="332" spans="1:24" ht="20.100000000000001" customHeight="1" x14ac:dyDescent="0.25">
      <c r="A332" s="163">
        <f t="shared" si="144"/>
        <v>507</v>
      </c>
      <c r="B332" s="242">
        <v>42740</v>
      </c>
      <c r="C332" s="332">
        <v>2269</v>
      </c>
      <c r="D332" s="171">
        <f t="shared" si="147"/>
        <v>-7.7067048332048887E-4</v>
      </c>
      <c r="E332" s="244">
        <f t="shared" si="140"/>
        <v>7.9222237019843586E-2</v>
      </c>
      <c r="F332" s="245">
        <v>5487.93</v>
      </c>
      <c r="G332" s="171">
        <f t="shared" si="146"/>
        <v>1.995618039072538E-3</v>
      </c>
      <c r="H332" s="246">
        <f t="shared" si="141"/>
        <v>7.7818803150224977E-2</v>
      </c>
      <c r="I332" s="554">
        <v>330571.57</v>
      </c>
      <c r="J332" s="248">
        <v>300000</v>
      </c>
      <c r="K332" s="248">
        <f t="shared" si="142"/>
        <v>394.54999999998836</v>
      </c>
      <c r="L332" s="171">
        <f t="shared" si="145"/>
        <v>1.1949650523830771E-3</v>
      </c>
      <c r="M332" s="249">
        <f t="shared" si="135"/>
        <v>30571.570000000007</v>
      </c>
      <c r="N332" s="250">
        <f t="shared" si="139"/>
        <v>0.10190523333333336</v>
      </c>
      <c r="O332" s="183">
        <f t="shared" si="149"/>
        <v>7.3413977268244598E-2</v>
      </c>
      <c r="P332" s="249" t="b">
        <f t="shared" si="143"/>
        <v>1</v>
      </c>
      <c r="Q332" s="250">
        <f>COUNTIF(P$2:P332, TRUE)/(COUNTIF(P$2:P332,FALSE) + COUNTIF(P$2:P332, TRUE))</f>
        <v>0.50151057401812693</v>
      </c>
      <c r="R332" s="248">
        <v>239220.1</v>
      </c>
      <c r="S332" s="248">
        <f t="shared" ref="S332:S361" si="150">I332-R332</f>
        <v>91351.47</v>
      </c>
      <c r="T332" s="248">
        <v>-27577</v>
      </c>
      <c r="U332" s="248">
        <f t="shared" si="138"/>
        <v>58148.570000000007</v>
      </c>
      <c r="V332" s="250">
        <f>STDEV(D$2:D332)*SQRT(252)</f>
        <v>0.16484285342326518</v>
      </c>
      <c r="W332" s="250">
        <f>STDEV(L$2:L332)*SQRT(252)</f>
        <v>0.35775897178882049</v>
      </c>
      <c r="X332" s="174">
        <f t="shared" si="117"/>
        <v>0.20520513266563087</v>
      </c>
    </row>
    <row r="333" spans="1:24" ht="20.100000000000001" customHeight="1" x14ac:dyDescent="0.25">
      <c r="A333" s="163">
        <f t="shared" si="144"/>
        <v>508</v>
      </c>
      <c r="B333" s="242">
        <v>42741</v>
      </c>
      <c r="C333" s="332">
        <v>2276.98</v>
      </c>
      <c r="D333" s="171">
        <f t="shared" si="147"/>
        <v>3.516967827236676E-3</v>
      </c>
      <c r="E333" s="244">
        <f t="shared" si="140"/>
        <v>8.3017826905880762E-2</v>
      </c>
      <c r="F333" s="245">
        <v>5521.05</v>
      </c>
      <c r="G333" s="171">
        <f t="shared" si="146"/>
        <v>6.0350624005772466E-3</v>
      </c>
      <c r="H333" s="246">
        <f t="shared" si="141"/>
        <v>8.4323506883752064E-2</v>
      </c>
      <c r="I333" s="554">
        <v>329655.77</v>
      </c>
      <c r="J333" s="248">
        <v>300000</v>
      </c>
      <c r="K333" s="248">
        <f t="shared" si="142"/>
        <v>-915.79999999998836</v>
      </c>
      <c r="L333" s="171">
        <f t="shared" si="145"/>
        <v>-2.7703531794944988E-3</v>
      </c>
      <c r="M333" s="249">
        <f t="shared" si="135"/>
        <v>29655.770000000019</v>
      </c>
      <c r="N333" s="250">
        <f t="shared" si="139"/>
        <v>9.8852566666666725E-2</v>
      </c>
      <c r="O333" s="183">
        <f t="shared" si="149"/>
        <v>7.1074606250000047E-2</v>
      </c>
      <c r="P333" s="249" t="b">
        <f t="shared" si="143"/>
        <v>0</v>
      </c>
      <c r="Q333" s="250">
        <f>COUNTIF(P$2:P333, TRUE)/(COUNTIF(P$2:P333,FALSE) + COUNTIF(P$2:P333, TRUE))</f>
        <v>0.5</v>
      </c>
      <c r="R333" s="248">
        <v>244584.65</v>
      </c>
      <c r="S333" s="248">
        <f t="shared" si="150"/>
        <v>85071.120000000024</v>
      </c>
      <c r="T333" s="248">
        <v>-26799</v>
      </c>
      <c r="U333" s="248">
        <f t="shared" si="138"/>
        <v>56454.770000000019</v>
      </c>
      <c r="V333" s="250">
        <f>STDEV(D$2:D333)*SQRT(252)</f>
        <v>0.16461706321052907</v>
      </c>
      <c r="W333" s="250">
        <f>STDEV(L$2:L333)*SQRT(252)</f>
        <v>0.35723001747832872</v>
      </c>
      <c r="X333" s="174">
        <f t="shared" si="117"/>
        <v>0.19896034143970495</v>
      </c>
    </row>
    <row r="334" spans="1:24" ht="20.100000000000001" customHeight="1" x14ac:dyDescent="0.25">
      <c r="A334" s="163">
        <f t="shared" si="144"/>
        <v>511</v>
      </c>
      <c r="B334" s="172">
        <v>42744</v>
      </c>
      <c r="C334" s="215">
        <v>2268.9</v>
      </c>
      <c r="D334" s="171">
        <f t="shared" si="147"/>
        <v>-3.5485599346502506E-3</v>
      </c>
      <c r="E334" s="209">
        <f t="shared" si="140"/>
        <v>7.9174673236810572E-2</v>
      </c>
      <c r="F334" s="219">
        <v>5531.81</v>
      </c>
      <c r="G334" s="171">
        <f t="shared" si="146"/>
        <v>1.9489046467610722E-3</v>
      </c>
      <c r="H334" s="203">
        <f t="shared" si="141"/>
        <v>8.6436750004910065E-2</v>
      </c>
      <c r="I334" s="221">
        <v>326473.82</v>
      </c>
      <c r="J334" s="173">
        <v>300000</v>
      </c>
      <c r="K334" s="173">
        <f t="shared" si="142"/>
        <v>-3181.9500000000116</v>
      </c>
      <c r="L334" s="171">
        <f t="shared" si="145"/>
        <v>-9.652341289218179E-3</v>
      </c>
      <c r="M334" s="182">
        <f t="shared" si="135"/>
        <v>26473.820000000007</v>
      </c>
      <c r="N334" s="184">
        <f t="shared" si="139"/>
        <v>8.8246066666666692E-2</v>
      </c>
      <c r="O334" s="183">
        <f t="shared" si="149"/>
        <v>6.3076077984344434E-2</v>
      </c>
      <c r="P334" s="182" t="b">
        <f t="shared" si="143"/>
        <v>0</v>
      </c>
      <c r="Q334" s="184">
        <f>COUNTIF(P$2:P334, TRUE)/(COUNTIF(P$2:P334,FALSE) + COUNTIF(P$2:P334, TRUE))</f>
        <v>0.49849849849849848</v>
      </c>
      <c r="R334" s="173">
        <v>241402.7</v>
      </c>
      <c r="S334" s="173">
        <f t="shared" si="150"/>
        <v>85071.12</v>
      </c>
      <c r="T334" s="173">
        <v>-27249</v>
      </c>
      <c r="U334" s="173">
        <f t="shared" si="138"/>
        <v>53722.820000000007</v>
      </c>
      <c r="V334" s="184">
        <f>STDEV(D$2:D334)*SQRT(252)</f>
        <v>0.1644023055783676</v>
      </c>
      <c r="W334" s="184">
        <f>STDEV(L$2:L334)*SQRT(252)</f>
        <v>0.35680577395997881</v>
      </c>
      <c r="X334" s="174">
        <f t="shared" si="117"/>
        <v>0.17677986901473006</v>
      </c>
    </row>
    <row r="335" spans="1:24" ht="20.100000000000001" customHeight="1" x14ac:dyDescent="0.25">
      <c r="A335" s="163">
        <f t="shared" si="144"/>
        <v>512</v>
      </c>
      <c r="B335" s="172">
        <v>42745</v>
      </c>
      <c r="C335" s="215">
        <v>2268.9</v>
      </c>
      <c r="D335" s="171">
        <f>(C335-C334)/C334</f>
        <v>0</v>
      </c>
      <c r="E335" s="209">
        <f t="shared" si="140"/>
        <v>7.9174673236810572E-2</v>
      </c>
      <c r="F335" s="219">
        <v>5551.81</v>
      </c>
      <c r="G335" s="171">
        <f t="shared" ref="G335:G358" si="151">(F335-F334)/F334</f>
        <v>3.6154531699389529E-3</v>
      </c>
      <c r="H335" s="203">
        <f t="shared" si="141"/>
        <v>9.0364711196653499E-2</v>
      </c>
      <c r="I335" s="221">
        <v>326978.32</v>
      </c>
      <c r="J335" s="173">
        <v>300000</v>
      </c>
      <c r="K335" s="173">
        <f t="shared" si="142"/>
        <v>504.5</v>
      </c>
      <c r="L335" s="171">
        <f t="shared" si="145"/>
        <v>1.545300018237297E-3</v>
      </c>
      <c r="M335" s="182">
        <f t="shared" si="135"/>
        <v>26978.320000000007</v>
      </c>
      <c r="N335" s="184">
        <f t="shared" si="139"/>
        <v>8.9927733333333357E-2</v>
      </c>
      <c r="O335" s="183">
        <f t="shared" si="149"/>
        <v>6.4152548046875021E-2</v>
      </c>
      <c r="P335" s="182" t="b">
        <f t="shared" si="143"/>
        <v>1</v>
      </c>
      <c r="Q335" s="184">
        <f>COUNTIF(P$2:P335, TRUE)/(COUNTIF(P$2:P335,FALSE) + COUNTIF(P$2:P335, TRUE))</f>
        <v>0.5</v>
      </c>
      <c r="R335" s="173">
        <v>241907.20000000001</v>
      </c>
      <c r="S335" s="173">
        <f t="shared" si="150"/>
        <v>85071.12</v>
      </c>
      <c r="T335" s="173">
        <v>-27297</v>
      </c>
      <c r="U335" s="173">
        <f t="shared" si="138"/>
        <v>54275.320000000007</v>
      </c>
      <c r="V335" s="184">
        <f>STDEV(D$2:D335)*SQRT(252)</f>
        <v>0.16415470946518282</v>
      </c>
      <c r="W335" s="184">
        <f>STDEV(L$2:L335)*SQRT(252)</f>
        <v>0.35626868426595099</v>
      </c>
      <c r="X335" s="174">
        <f t="shared" si="117"/>
        <v>0.18006788381935301</v>
      </c>
    </row>
    <row r="336" spans="1:24" ht="20.100000000000001" customHeight="1" x14ac:dyDescent="0.25">
      <c r="A336" s="163">
        <f t="shared" si="144"/>
        <v>513</v>
      </c>
      <c r="B336" s="172">
        <v>42746</v>
      </c>
      <c r="C336" s="215">
        <v>2275.3200000000002</v>
      </c>
      <c r="D336" s="171">
        <f>(C336-C335)/C335</f>
        <v>2.8295649874388791E-3</v>
      </c>
      <c r="E336" s="209">
        <f t="shared" si="140"/>
        <v>8.2228268107532254E-2</v>
      </c>
      <c r="F336" s="219">
        <v>5563.64</v>
      </c>
      <c r="G336" s="171">
        <f t="shared" si="151"/>
        <v>2.1308366100424776E-3</v>
      </c>
      <c r="H336" s="203">
        <f t="shared" si="141"/>
        <v>9.2688100241569718E-2</v>
      </c>
      <c r="I336" s="221">
        <v>329085.82</v>
      </c>
      <c r="J336" s="173">
        <v>300000</v>
      </c>
      <c r="K336" s="173">
        <f t="shared" si="142"/>
        <v>2107.5</v>
      </c>
      <c r="L336" s="171">
        <f t="shared" si="145"/>
        <v>6.4453814552597856E-3</v>
      </c>
      <c r="M336" s="182">
        <f t="shared" si="135"/>
        <v>29085.820000000007</v>
      </c>
      <c r="N336" s="184">
        <f t="shared" si="139"/>
        <v>9.695273333333336E-2</v>
      </c>
      <c r="O336" s="183">
        <f t="shared" si="149"/>
        <v>6.9029212183235891E-2</v>
      </c>
      <c r="P336" s="182" t="b">
        <f t="shared" si="143"/>
        <v>1</v>
      </c>
      <c r="Q336" s="184">
        <f>COUNTIF(P$2:P336, TRUE)/(COUNTIF(P$2:P336,FALSE) + COUNTIF(P$2:P336, TRUE))</f>
        <v>0.5014925373134328</v>
      </c>
      <c r="R336" s="173">
        <v>251208.6</v>
      </c>
      <c r="S336" s="173">
        <f t="shared" si="150"/>
        <v>77877.22</v>
      </c>
      <c r="T336" s="173">
        <v>-26997</v>
      </c>
      <c r="U336" s="173">
        <f t="shared" si="138"/>
        <v>56082.820000000007</v>
      </c>
      <c r="V336" s="184">
        <f>STDEV(D$2:D336)*SQRT(252)</f>
        <v>0.16392298199837227</v>
      </c>
      <c r="W336" s="184">
        <f>STDEV(L$2:L336)*SQRT(252)</f>
        <v>0.35576772600589157</v>
      </c>
      <c r="X336" s="174">
        <f t="shared" si="117"/>
        <v>0.19402887653191103</v>
      </c>
    </row>
    <row r="337" spans="1:24" ht="20.100000000000001" customHeight="1" x14ac:dyDescent="0.25">
      <c r="A337" s="163">
        <f t="shared" si="144"/>
        <v>514</v>
      </c>
      <c r="B337" s="172">
        <v>42747</v>
      </c>
      <c r="C337" s="215">
        <v>2270.44</v>
      </c>
      <c r="D337" s="171">
        <f>(C337-C336)/C336</f>
        <v>-2.1447532654747942E-3</v>
      </c>
      <c r="E337" s="209">
        <f t="shared" si="140"/>
        <v>7.9907155495519494E-2</v>
      </c>
      <c r="F337" s="219">
        <v>5547.48</v>
      </c>
      <c r="G337" s="171">
        <f t="shared" si="151"/>
        <v>-2.9045732649849313E-3</v>
      </c>
      <c r="H337" s="203">
        <f t="shared" si="141"/>
        <v>8.9514307598640874E-2</v>
      </c>
      <c r="I337" s="221">
        <v>326943.46999999997</v>
      </c>
      <c r="J337" s="173">
        <v>300000</v>
      </c>
      <c r="K337" s="173">
        <f t="shared" si="142"/>
        <v>-2142.3500000000349</v>
      </c>
      <c r="L337" s="171">
        <f t="shared" si="145"/>
        <v>-6.5100039861943453E-3</v>
      </c>
      <c r="M337" s="182">
        <f t="shared" si="135"/>
        <v>26943.469999999972</v>
      </c>
      <c r="N337" s="184">
        <f t="shared" si="139"/>
        <v>8.9811566666666579E-2</v>
      </c>
      <c r="O337" s="183">
        <f t="shared" si="149"/>
        <v>6.3820378842412387E-2</v>
      </c>
      <c r="P337" s="182" t="b">
        <f t="shared" si="143"/>
        <v>0</v>
      </c>
      <c r="Q337" s="184">
        <f>COUNTIF(P$2:P337, TRUE)/(COUNTIF(P$2:P337,FALSE) + COUNTIF(P$2:P337, TRUE))</f>
        <v>0.5</v>
      </c>
      <c r="R337" s="173">
        <v>249037.25</v>
      </c>
      <c r="S337" s="173">
        <f t="shared" si="150"/>
        <v>77906.219999999972</v>
      </c>
      <c r="T337" s="173">
        <v>-27073</v>
      </c>
      <c r="U337" s="173">
        <f t="shared" si="138"/>
        <v>54016.469999999972</v>
      </c>
      <c r="V337" s="184">
        <f>STDEV(D$2:D337)*SQRT(252)</f>
        <v>0.1636910220978732</v>
      </c>
      <c r="W337" s="184">
        <f>STDEV(L$2:L337)*SQRT(252)</f>
        <v>0.35529082433819081</v>
      </c>
      <c r="X337" s="174">
        <f t="shared" si="117"/>
        <v>0.17962855911433181</v>
      </c>
    </row>
    <row r="338" spans="1:24" ht="20.100000000000001" customHeight="1" x14ac:dyDescent="0.25">
      <c r="A338" s="163">
        <f t="shared" si="144"/>
        <v>515</v>
      </c>
      <c r="B338" s="172">
        <v>42748</v>
      </c>
      <c r="C338" s="215">
        <v>2274.64</v>
      </c>
      <c r="D338" s="171">
        <f>(C338-C337)/C337</f>
        <v>1.8498617008156208E-3</v>
      </c>
      <c r="E338" s="209">
        <f t="shared" si="140"/>
        <v>8.1904834382907396E-2</v>
      </c>
      <c r="F338" s="219">
        <v>5574.12</v>
      </c>
      <c r="G338" s="171">
        <f t="shared" si="151"/>
        <v>4.8021804495014548E-3</v>
      </c>
      <c r="H338" s="203">
        <f t="shared" si="141"/>
        <v>9.4746351906043191E-2</v>
      </c>
      <c r="I338" s="221">
        <v>327247.34999999998</v>
      </c>
      <c r="J338" s="173">
        <v>300000</v>
      </c>
      <c r="K338" s="173">
        <f t="shared" si="142"/>
        <v>303.88000000000466</v>
      </c>
      <c r="L338" s="171">
        <f t="shared" si="145"/>
        <v>9.2945731566378945E-4</v>
      </c>
      <c r="M338" s="182">
        <f t="shared" si="135"/>
        <v>27247.349999999977</v>
      </c>
      <c r="N338" s="184">
        <f t="shared" si="139"/>
        <v>9.0824499999999919E-2</v>
      </c>
      <c r="O338" s="183">
        <f t="shared" si="149"/>
        <v>6.4414851699029066E-2</v>
      </c>
      <c r="P338" s="182" t="b">
        <f t="shared" si="143"/>
        <v>0</v>
      </c>
      <c r="Q338" s="184">
        <f>COUNTIF(P$2:P338, TRUE)/(COUNTIF(P$2:P338,FALSE) + COUNTIF(P$2:P338, TRUE))</f>
        <v>0.49851632047477745</v>
      </c>
      <c r="R338" s="173">
        <v>250832.3</v>
      </c>
      <c r="S338" s="173">
        <f t="shared" si="150"/>
        <v>76415.049999999988</v>
      </c>
      <c r="T338" s="173">
        <v>-26980</v>
      </c>
      <c r="U338" s="173">
        <f t="shared" si="138"/>
        <v>54227.349999999977</v>
      </c>
      <c r="V338" s="184">
        <f>STDEV(D$2:D338)*SQRT(252)</f>
        <v>0.1634521615646928</v>
      </c>
      <c r="W338" s="184">
        <f>STDEV(L$2:L338)*SQRT(252)</f>
        <v>0.35476017854562014</v>
      </c>
      <c r="X338" s="174">
        <f t="shared" si="117"/>
        <v>0.18157294869763879</v>
      </c>
    </row>
    <row r="339" spans="1:24" ht="20.100000000000001" customHeight="1" x14ac:dyDescent="0.25">
      <c r="A339" s="163">
        <f t="shared" si="144"/>
        <v>519</v>
      </c>
      <c r="B339" s="242">
        <v>42752</v>
      </c>
      <c r="C339" s="332">
        <v>2267.89</v>
      </c>
      <c r="D339" s="171">
        <f>(C339-C338)/C338</f>
        <v>-2.9675025498540428E-3</v>
      </c>
      <c r="E339" s="244">
        <f t="shared" si="140"/>
        <v>7.8694279028176703E-2</v>
      </c>
      <c r="F339" s="245">
        <v>5538.72</v>
      </c>
      <c r="G339" s="171">
        <f t="shared" si="151"/>
        <v>-6.3507782394350383E-3</v>
      </c>
      <c r="H339" s="246">
        <f t="shared" si="141"/>
        <v>8.7793860596657392E-2</v>
      </c>
      <c r="I339" s="554">
        <v>326901.49</v>
      </c>
      <c r="J339" s="248">
        <v>300000</v>
      </c>
      <c r="K339" s="248">
        <f t="shared" si="142"/>
        <v>-345.85999999998603</v>
      </c>
      <c r="L339" s="171">
        <f t="shared" si="145"/>
        <v>-1.0568763964016394E-3</v>
      </c>
      <c r="M339" s="249">
        <f t="shared" si="135"/>
        <v>26901.489999999991</v>
      </c>
      <c r="N339" s="250">
        <f t="shared" si="139"/>
        <v>8.9671633333333306E-2</v>
      </c>
      <c r="O339" s="183">
        <f t="shared" si="149"/>
        <v>6.3107059874759133E-2</v>
      </c>
      <c r="P339" s="249" t="b">
        <f t="shared" si="143"/>
        <v>1</v>
      </c>
      <c r="Q339" s="250">
        <f>COUNTIF(P$2:P339, TRUE)/(COUNTIF(P$2:P339,FALSE) + COUNTIF(P$2:P339, TRUE))</f>
        <v>0.5</v>
      </c>
      <c r="R339" s="248">
        <v>246815.4</v>
      </c>
      <c r="S339" s="248">
        <f t="shared" si="150"/>
        <v>80086.09</v>
      </c>
      <c r="T339" s="248">
        <v>-26747</v>
      </c>
      <c r="U339" s="248">
        <f t="shared" si="138"/>
        <v>53648.489999999991</v>
      </c>
      <c r="V339" s="250">
        <f>STDEV(D$2:D339)*SQRT(252)</f>
        <v>0.16323301111868488</v>
      </c>
      <c r="W339" s="250">
        <f>STDEV(L$2:L339)*SQRT(252)</f>
        <v>0.35423530326809799</v>
      </c>
      <c r="X339" s="174">
        <f t="shared" si="117"/>
        <v>0.17815011460615895</v>
      </c>
    </row>
    <row r="340" spans="1:24" ht="20.100000000000001" customHeight="1" x14ac:dyDescent="0.25">
      <c r="A340" s="163">
        <f t="shared" si="144"/>
        <v>520</v>
      </c>
      <c r="B340" s="242">
        <v>42753</v>
      </c>
      <c r="C340" s="332">
        <v>2271.89</v>
      </c>
      <c r="D340" s="171">
        <f t="shared" ref="D340:D348" si="152">(C340-C339)/C339</f>
        <v>1.7637539739581726E-3</v>
      </c>
      <c r="E340" s="244">
        <f t="shared" si="140"/>
        <v>8.0596830349498591E-2</v>
      </c>
      <c r="F340" s="245">
        <v>5555.65</v>
      </c>
      <c r="G340" s="171">
        <f t="shared" si="151"/>
        <v>3.0566629112862504E-3</v>
      </c>
      <c r="H340" s="246">
        <f t="shared" si="141"/>
        <v>9.1118879745468076E-2</v>
      </c>
      <c r="I340" s="554">
        <v>326777.7</v>
      </c>
      <c r="J340" s="248">
        <v>300000</v>
      </c>
      <c r="K340" s="248">
        <f t="shared" si="142"/>
        <v>-123.78999999997905</v>
      </c>
      <c r="L340" s="171">
        <f t="shared" si="145"/>
        <v>-3.7867676895562345E-4</v>
      </c>
      <c r="M340" s="249">
        <f t="shared" si="135"/>
        <v>26777.700000000012</v>
      </c>
      <c r="N340" s="250">
        <f t="shared" si="139"/>
        <v>8.9259000000000033E-2</v>
      </c>
      <c r="O340" s="183">
        <f t="shared" si="149"/>
        <v>6.2695864903846182E-2</v>
      </c>
      <c r="P340" s="249" t="b">
        <f t="shared" si="143"/>
        <v>0</v>
      </c>
      <c r="Q340" s="250">
        <f>COUNTIF(P$2:P340, TRUE)/(COUNTIF(P$2:P340,FALSE) + COUNTIF(P$2:P340, TRUE))</f>
        <v>0.49852507374631266</v>
      </c>
      <c r="R340" s="248">
        <v>244625.7</v>
      </c>
      <c r="S340" s="248">
        <f t="shared" si="150"/>
        <v>82152</v>
      </c>
      <c r="T340" s="248">
        <v>-26746</v>
      </c>
      <c r="U340" s="248">
        <f t="shared" si="138"/>
        <v>53523.700000000012</v>
      </c>
      <c r="V340" s="250">
        <f>STDEV(D$2:D340)*SQRT(252)</f>
        <v>0.16299569851885642</v>
      </c>
      <c r="W340" s="250">
        <f>STDEV(L$2:L340)*SQRT(252)</f>
        <v>0.35371066425752529</v>
      </c>
      <c r="X340" s="174">
        <f t="shared" si="117"/>
        <v>0.17725183671080766</v>
      </c>
    </row>
    <row r="341" spans="1:24" ht="20.100000000000001" customHeight="1" x14ac:dyDescent="0.25">
      <c r="A341" s="163">
        <f t="shared" si="144"/>
        <v>521</v>
      </c>
      <c r="B341" s="242">
        <v>42754</v>
      </c>
      <c r="C341" s="332">
        <v>2263.69</v>
      </c>
      <c r="D341" s="171">
        <f t="shared" si="152"/>
        <v>-3.6093296770529464E-3</v>
      </c>
      <c r="E341" s="244">
        <f t="shared" si="140"/>
        <v>7.6696600140788801E-2</v>
      </c>
      <c r="F341" s="245">
        <v>5540.08</v>
      </c>
      <c r="G341" s="171">
        <f t="shared" si="151"/>
        <v>-2.8025523566098855E-3</v>
      </c>
      <c r="H341" s="246">
        <f t="shared" si="141"/>
        <v>8.8060961957695888E-2</v>
      </c>
      <c r="I341" s="554">
        <v>324862.34999999998</v>
      </c>
      <c r="J341" s="248">
        <v>300000</v>
      </c>
      <c r="K341" s="248">
        <f t="shared" si="142"/>
        <v>-1915.3500000000349</v>
      </c>
      <c r="L341" s="171">
        <f t="shared" si="145"/>
        <v>-5.8613240744397029E-3</v>
      </c>
      <c r="M341" s="249">
        <f t="shared" si="135"/>
        <v>24862.349999999977</v>
      </c>
      <c r="N341" s="250">
        <f t="shared" si="139"/>
        <v>8.287449999999992E-2</v>
      </c>
      <c r="O341" s="183">
        <f t="shared" si="149"/>
        <v>5.8099637476007625E-2</v>
      </c>
      <c r="P341" s="249" t="b">
        <f t="shared" si="143"/>
        <v>0</v>
      </c>
      <c r="Q341" s="250">
        <f>COUNTIF(P$2:P341, TRUE)/(COUNTIF(P$2:P341,FALSE) + COUNTIF(P$2:P341, TRUE))</f>
        <v>0.49705882352941178</v>
      </c>
      <c r="R341" s="248">
        <v>251939.75</v>
      </c>
      <c r="S341" s="248">
        <f t="shared" si="150"/>
        <v>72922.599999999977</v>
      </c>
      <c r="T341" s="248">
        <v>-27278</v>
      </c>
      <c r="U341" s="248">
        <f t="shared" si="138"/>
        <v>52140.349999999977</v>
      </c>
      <c r="V341" s="250">
        <f>STDEV(D$2:D341)*SQRT(252)</f>
        <v>0.16278897536112508</v>
      </c>
      <c r="W341" s="250">
        <f>STDEV(L$2:L341)*SQRT(252)</f>
        <v>0.35323287120524727</v>
      </c>
      <c r="X341" s="174">
        <f t="shared" si="117"/>
        <v>0.16447970223656963</v>
      </c>
    </row>
    <row r="342" spans="1:24" ht="20.100000000000001" customHeight="1" x14ac:dyDescent="0.25">
      <c r="A342" s="163">
        <f t="shared" si="144"/>
        <v>522</v>
      </c>
      <c r="B342" s="242">
        <v>42755</v>
      </c>
      <c r="C342" s="332">
        <v>2271.31</v>
      </c>
      <c r="D342" s="171">
        <f t="shared" si="152"/>
        <v>3.3661852992237853E-3</v>
      </c>
      <c r="E342" s="244">
        <f t="shared" si="140"/>
        <v>8.0320960407906955E-2</v>
      </c>
      <c r="F342" s="245">
        <v>5555.33</v>
      </c>
      <c r="G342" s="171">
        <f t="shared" si="151"/>
        <v>2.7526678315114585E-3</v>
      </c>
      <c r="H342" s="246">
        <f t="shared" si="141"/>
        <v>9.1056032366400239E-2</v>
      </c>
      <c r="I342" s="554">
        <v>326822.08</v>
      </c>
      <c r="J342" s="248">
        <v>300000</v>
      </c>
      <c r="K342" s="248">
        <f t="shared" si="142"/>
        <v>1959.7300000000396</v>
      </c>
      <c r="L342" s="171">
        <f t="shared" si="145"/>
        <v>6.0324934545355584E-3</v>
      </c>
      <c r="M342" s="249">
        <f t="shared" si="135"/>
        <v>26822.080000000016</v>
      </c>
      <c r="N342" s="250">
        <f t="shared" si="139"/>
        <v>8.9406933333333383E-2</v>
      </c>
      <c r="O342" s="183">
        <f t="shared" si="149"/>
        <v>6.2559161685823789E-2</v>
      </c>
      <c r="P342" s="249" t="b">
        <f t="shared" si="143"/>
        <v>1</v>
      </c>
      <c r="Q342" s="250">
        <f>COUNTIF(P$2:P342, TRUE)/(COUNTIF(P$2:P342,FALSE) + COUNTIF(P$2:P342, TRUE))</f>
        <v>0.49853372434017595</v>
      </c>
      <c r="R342" s="248">
        <v>263368.55</v>
      </c>
      <c r="S342" s="248">
        <f t="shared" si="150"/>
        <v>63453.530000000028</v>
      </c>
      <c r="T342" s="248">
        <v>-27778</v>
      </c>
      <c r="U342" s="248">
        <f t="shared" si="138"/>
        <v>54600.080000000016</v>
      </c>
      <c r="V342" s="250">
        <f>STDEV(D$2:D342)*SQRT(252)</f>
        <v>0.16257054597852011</v>
      </c>
      <c r="W342" s="250">
        <f>STDEV(L$2:L342)*SQRT(252)</f>
        <v>0.35274115689547414</v>
      </c>
      <c r="X342" s="174">
        <f t="shared" si="117"/>
        <v>0.17735146711094335</v>
      </c>
    </row>
    <row r="343" spans="1:24" ht="20.100000000000001" customHeight="1" x14ac:dyDescent="0.25">
      <c r="A343" s="163">
        <f t="shared" si="144"/>
        <v>525</v>
      </c>
      <c r="B343" s="172">
        <v>42758</v>
      </c>
      <c r="C343" s="215">
        <v>2265.1999999999998</v>
      </c>
      <c r="D343" s="171">
        <f t="shared" si="152"/>
        <v>-2.6900775323492289E-3</v>
      </c>
      <c r="E343" s="209">
        <f t="shared" si="140"/>
        <v>7.7414813264587698E-2</v>
      </c>
      <c r="F343" s="219">
        <v>5552.94</v>
      </c>
      <c r="G343" s="171">
        <f t="shared" si="151"/>
        <v>-4.3021746682921221E-4</v>
      </c>
      <c r="H343" s="203">
        <f t="shared" si="141"/>
        <v>9.0586641003986834E-2</v>
      </c>
      <c r="I343" s="221">
        <v>324687.64</v>
      </c>
      <c r="J343" s="173">
        <v>300000</v>
      </c>
      <c r="K343" s="173">
        <f t="shared" si="142"/>
        <v>-2134.4400000000023</v>
      </c>
      <c r="L343" s="171">
        <f t="shared" si="145"/>
        <v>-6.530892894384621E-3</v>
      </c>
      <c r="M343" s="182">
        <f t="shared" si="135"/>
        <v>24687.640000000014</v>
      </c>
      <c r="N343" s="184">
        <f t="shared" si="139"/>
        <v>8.2292133333333378E-2</v>
      </c>
      <c r="O343" s="183">
        <f t="shared" si="149"/>
        <v>5.7251812761904795E-2</v>
      </c>
      <c r="P343" s="182" t="b">
        <f t="shared" si="143"/>
        <v>0</v>
      </c>
      <c r="Q343" s="184">
        <f>COUNTIF(P$2:P343, TRUE)/(COUNTIF(P$2:P343,FALSE) + COUNTIF(P$2:P343, TRUE))</f>
        <v>0.49707602339181284</v>
      </c>
      <c r="R343" s="173">
        <v>262468.09999999998</v>
      </c>
      <c r="S343" s="173">
        <f t="shared" si="150"/>
        <v>62219.540000000037</v>
      </c>
      <c r="T343" s="173">
        <v>-28619</v>
      </c>
      <c r="U343" s="173">
        <f t="shared" si="138"/>
        <v>53306.640000000014</v>
      </c>
      <c r="V343" s="184">
        <f>STDEV(D$2:D343)*SQRT(252)</f>
        <v>0.16235136583576509</v>
      </c>
      <c r="W343" s="184">
        <f>STDEV(L$2:L343)*SQRT(252)</f>
        <v>0.3522774110686045</v>
      </c>
      <c r="X343" s="174">
        <f t="shared" si="117"/>
        <v>0.16251911409316919</v>
      </c>
    </row>
    <row r="344" spans="1:24" ht="20.100000000000001" customHeight="1" x14ac:dyDescent="0.25">
      <c r="A344" s="163">
        <f t="shared" si="144"/>
        <v>526</v>
      </c>
      <c r="B344" s="172">
        <v>42759</v>
      </c>
      <c r="C344" s="215">
        <v>2280.0700000000002</v>
      </c>
      <c r="D344" s="171">
        <f t="shared" si="152"/>
        <v>6.5645417623169467E-3</v>
      </c>
      <c r="E344" s="209">
        <f t="shared" si="140"/>
        <v>8.4487547801602003E-2</v>
      </c>
      <c r="F344" s="219">
        <v>5600.95</v>
      </c>
      <c r="G344" s="171">
        <f t="shared" si="151"/>
        <v>8.6458704758200552E-3</v>
      </c>
      <c r="H344" s="203">
        <f t="shared" si="141"/>
        <v>0.10001571184476697</v>
      </c>
      <c r="I344" s="221">
        <v>328611.7</v>
      </c>
      <c r="J344" s="173">
        <v>300000</v>
      </c>
      <c r="K344" s="173">
        <f t="shared" si="142"/>
        <v>3924.0599999999977</v>
      </c>
      <c r="L344" s="171">
        <f t="shared" si="145"/>
        <v>1.208564637693014E-2</v>
      </c>
      <c r="M344" s="182">
        <f t="shared" ref="M344:M361" si="153">I344-J344</f>
        <v>28611.700000000012</v>
      </c>
      <c r="N344" s="184">
        <f t="shared" si="139"/>
        <v>9.5372333333333378E-2</v>
      </c>
      <c r="O344" s="183">
        <f t="shared" si="149"/>
        <v>6.62257504752852E-2</v>
      </c>
      <c r="P344" s="182" t="b">
        <f t="shared" si="143"/>
        <v>1</v>
      </c>
      <c r="Q344" s="184">
        <f>COUNTIF(P$2:P344, TRUE)/(COUNTIF(P$2:P344,FALSE) + COUNTIF(P$2:P344, TRUE))</f>
        <v>0.49854227405247814</v>
      </c>
      <c r="R344" s="173">
        <v>264117.25</v>
      </c>
      <c r="S344" s="173">
        <f t="shared" si="150"/>
        <v>64494.450000000012</v>
      </c>
      <c r="T344" s="173">
        <v>-28448</v>
      </c>
      <c r="U344" s="173">
        <f t="shared" si="138"/>
        <v>57059.700000000012</v>
      </c>
      <c r="V344" s="184">
        <f>STDEV(D$2:D344)*SQRT(252)</f>
        <v>0.16220313783315865</v>
      </c>
      <c r="W344" s="184">
        <f>STDEV(L$2:L344)*SQRT(252)</f>
        <v>0.35189592517189633</v>
      </c>
      <c r="X344" s="174">
        <f t="shared" si="117"/>
        <v>0.18819698023765075</v>
      </c>
    </row>
    <row r="345" spans="1:24" ht="20.100000000000001" customHeight="1" x14ac:dyDescent="0.25">
      <c r="A345" s="163">
        <f t="shared" si="144"/>
        <v>527</v>
      </c>
      <c r="B345" s="172">
        <v>42760</v>
      </c>
      <c r="C345" s="215">
        <v>2298.37</v>
      </c>
      <c r="D345" s="171">
        <f t="shared" si="152"/>
        <v>8.0260693750629254E-3</v>
      </c>
      <c r="E345" s="209">
        <f t="shared" si="140"/>
        <v>9.3191720096649527E-2</v>
      </c>
      <c r="F345" s="219">
        <v>5656.33</v>
      </c>
      <c r="G345" s="171">
        <f t="shared" si="151"/>
        <v>9.887608352154565E-3</v>
      </c>
      <c r="H345" s="203">
        <f t="shared" si="141"/>
        <v>0.11089223638470455</v>
      </c>
      <c r="I345" s="221">
        <v>331080.08</v>
      </c>
      <c r="J345" s="173">
        <v>300000</v>
      </c>
      <c r="K345" s="173">
        <f t="shared" si="142"/>
        <v>2468.3800000000047</v>
      </c>
      <c r="L345" s="171">
        <f t="shared" si="145"/>
        <v>7.511540216005713E-3</v>
      </c>
      <c r="M345" s="182">
        <f t="shared" si="153"/>
        <v>31080.080000000016</v>
      </c>
      <c r="N345" s="184">
        <f t="shared" si="139"/>
        <v>0.10360026666666672</v>
      </c>
      <c r="O345" s="183">
        <f t="shared" si="149"/>
        <v>7.1802651612903265E-2</v>
      </c>
      <c r="P345" s="182" t="b">
        <f t="shared" si="143"/>
        <v>0</v>
      </c>
      <c r="Q345" s="184">
        <f>COUNTIF(P$2:P345, TRUE)/(COUNTIF(P$2:P345,FALSE) + COUNTIF(P$2:P345, TRUE))</f>
        <v>0.49709302325581395</v>
      </c>
      <c r="R345" s="173">
        <v>259620.35</v>
      </c>
      <c r="S345" s="173">
        <f t="shared" si="150"/>
        <v>71459.73000000001</v>
      </c>
      <c r="T345" s="173">
        <v>-28211</v>
      </c>
      <c r="U345" s="173">
        <f t="shared" si="138"/>
        <v>59291.080000000016</v>
      </c>
      <c r="V345" s="184">
        <f>STDEV(D$2:D345)*SQRT(252)</f>
        <v>0.16210153500122582</v>
      </c>
      <c r="W345" s="184">
        <f>STDEV(L$2:L345)*SQRT(252)</f>
        <v>0.35142892173835949</v>
      </c>
      <c r="X345" s="174">
        <f t="shared" si="117"/>
        <v>0.20431628466356189</v>
      </c>
    </row>
    <row r="346" spans="1:24" ht="20.100000000000001" customHeight="1" x14ac:dyDescent="0.25">
      <c r="A346" s="163">
        <f t="shared" si="144"/>
        <v>528</v>
      </c>
      <c r="B346" s="172">
        <v>42761</v>
      </c>
      <c r="C346" s="215">
        <v>2296.6799999999998</v>
      </c>
      <c r="D346" s="171">
        <f t="shared" si="152"/>
        <v>-7.3530371524169506E-4</v>
      </c>
      <c r="E346" s="209">
        <f t="shared" si="140"/>
        <v>9.2387892163390994E-2</v>
      </c>
      <c r="F346" s="219">
        <v>5655.17</v>
      </c>
      <c r="G346" s="171">
        <f t="shared" si="151"/>
        <v>-2.0507997234953663E-4</v>
      </c>
      <c r="H346" s="203">
        <f t="shared" si="141"/>
        <v>0.11066441463558345</v>
      </c>
      <c r="I346" s="221">
        <v>330371.86</v>
      </c>
      <c r="J346" s="173">
        <v>300000</v>
      </c>
      <c r="K346" s="173">
        <f t="shared" si="142"/>
        <v>-708.22000000003027</v>
      </c>
      <c r="L346" s="171">
        <f t="shared" si="145"/>
        <v>-2.1391199373880488E-3</v>
      </c>
      <c r="M346" s="182">
        <f t="shared" si="153"/>
        <v>30371.859999999986</v>
      </c>
      <c r="N346" s="184">
        <f t="shared" si="139"/>
        <v>0.10123953333333328</v>
      </c>
      <c r="O346" s="183">
        <f t="shared" si="149"/>
        <v>7.0033597632575717E-2</v>
      </c>
      <c r="P346" s="182" t="b">
        <f t="shared" si="143"/>
        <v>0</v>
      </c>
      <c r="Q346" s="184">
        <f>COUNTIF(P$2:P346, TRUE)/(COUNTIF(P$2:P346,FALSE) + COUNTIF(P$2:P346, TRUE))</f>
        <v>0.4956521739130435</v>
      </c>
      <c r="R346" s="173">
        <v>261550.96</v>
      </c>
      <c r="S346" s="173">
        <f t="shared" si="150"/>
        <v>68820.899999999994</v>
      </c>
      <c r="T346" s="173">
        <v>-28489</v>
      </c>
      <c r="U346" s="173">
        <f t="shared" si="138"/>
        <v>58860.859999999986</v>
      </c>
      <c r="V346" s="184">
        <f>STDEV(D$2:D346)*SQRT(252)</f>
        <v>0.16186754333702152</v>
      </c>
      <c r="W346" s="184">
        <f>STDEV(L$2:L346)*SQRT(252)</f>
        <v>0.35092507165589804</v>
      </c>
      <c r="X346" s="174">
        <f t="shared" si="117"/>
        <v>0.19956852128606997</v>
      </c>
    </row>
    <row r="347" spans="1:24" ht="20.100000000000001" customHeight="1" x14ac:dyDescent="0.25">
      <c r="A347" s="163">
        <f t="shared" si="144"/>
        <v>529</v>
      </c>
      <c r="B347" s="172">
        <v>42762</v>
      </c>
      <c r="C347" s="215">
        <v>2294.69</v>
      </c>
      <c r="D347" s="171">
        <f t="shared" si="152"/>
        <v>-8.6646811919805194E-4</v>
      </c>
      <c r="E347" s="209">
        <f t="shared" si="140"/>
        <v>9.1441372881033461E-2</v>
      </c>
      <c r="F347" s="219">
        <v>5660.78</v>
      </c>
      <c r="G347" s="171">
        <f t="shared" si="151"/>
        <v>9.9201261854191345E-4</v>
      </c>
      <c r="H347" s="203">
        <f t="shared" si="141"/>
        <v>0.11176620774986742</v>
      </c>
      <c r="I347" s="221">
        <v>328778.71999999997</v>
      </c>
      <c r="J347" s="173">
        <v>300000</v>
      </c>
      <c r="K347" s="173">
        <f t="shared" si="142"/>
        <v>-1593.140000000014</v>
      </c>
      <c r="L347" s="171">
        <f t="shared" si="145"/>
        <v>-4.822263009930731E-3</v>
      </c>
      <c r="M347" s="182">
        <f t="shared" si="153"/>
        <v>28778.719999999972</v>
      </c>
      <c r="N347" s="184">
        <f t="shared" si="139"/>
        <v>9.5929066666666576E-2</v>
      </c>
      <c r="O347" s="183">
        <f t="shared" si="149"/>
        <v>6.6234577693761745E-2</v>
      </c>
      <c r="P347" s="182" t="b">
        <f t="shared" si="143"/>
        <v>0</v>
      </c>
      <c r="Q347" s="184">
        <f>COUNTIF(P$2:P347, TRUE)/(COUNTIF(P$2:P347,FALSE) + COUNTIF(P$2:P347, TRUE))</f>
        <v>0.49421965317919075</v>
      </c>
      <c r="R347" s="173">
        <v>258478.8</v>
      </c>
      <c r="S347" s="173">
        <f t="shared" si="150"/>
        <v>70299.919999999984</v>
      </c>
      <c r="T347" s="173">
        <v>-28586</v>
      </c>
      <c r="U347" s="173">
        <f t="shared" si="138"/>
        <v>57364.719999999972</v>
      </c>
      <c r="V347" s="184">
        <f>STDEV(D$2:D347)*SQRT(252)</f>
        <v>0.16163521958957874</v>
      </c>
      <c r="W347" s="184">
        <f>STDEV(L$2:L347)*SQRT(252)</f>
        <v>0.35044708647568024</v>
      </c>
      <c r="X347" s="174">
        <f t="shared" ref="X347:X410" si="154">O347/W347</f>
        <v>0.18900022357115012</v>
      </c>
    </row>
    <row r="348" spans="1:24" ht="20.100000000000001" customHeight="1" x14ac:dyDescent="0.25">
      <c r="A348" s="163">
        <f t="shared" si="144"/>
        <v>532</v>
      </c>
      <c r="B348" s="242">
        <v>42765</v>
      </c>
      <c r="C348" s="332">
        <v>2280.9</v>
      </c>
      <c r="D348" s="171">
        <f t="shared" si="152"/>
        <v>-6.0095263412486928E-3</v>
      </c>
      <c r="E348" s="244">
        <f t="shared" si="140"/>
        <v>8.488232720077625E-2</v>
      </c>
      <c r="F348" s="245">
        <v>5613.71</v>
      </c>
      <c r="G348" s="171">
        <f t="shared" si="151"/>
        <v>-8.3151085186139919E-3</v>
      </c>
      <c r="H348" s="246">
        <f t="shared" si="141"/>
        <v>0.10252175108509932</v>
      </c>
      <c r="I348" s="554">
        <v>323091.52</v>
      </c>
      <c r="J348" s="248">
        <v>300000</v>
      </c>
      <c r="K348" s="248">
        <f t="shared" si="142"/>
        <v>-5687.1999999999534</v>
      </c>
      <c r="L348" s="171">
        <f t="shared" si="145"/>
        <v>-1.7297956510080561E-2</v>
      </c>
      <c r="M348" s="249">
        <f t="shared" si="153"/>
        <v>23091.520000000019</v>
      </c>
      <c r="N348" s="250">
        <f t="shared" si="139"/>
        <v>7.6971733333333389E-2</v>
      </c>
      <c r="O348" s="183">
        <f t="shared" si="149"/>
        <v>5.2845724812030113E-2</v>
      </c>
      <c r="P348" s="249" t="b">
        <f t="shared" si="143"/>
        <v>0</v>
      </c>
      <c r="Q348" s="250">
        <f>COUNTIF(P$2:P348, TRUE)/(COUNTIF(P$2:P348,FALSE) + COUNTIF(P$2:P348, TRUE))</f>
        <v>0.49279538904899134</v>
      </c>
      <c r="R348" s="248">
        <v>273132.59999999998</v>
      </c>
      <c r="S348" s="248">
        <f t="shared" si="150"/>
        <v>49958.920000000042</v>
      </c>
      <c r="T348" s="248">
        <v>-28819</v>
      </c>
      <c r="U348" s="248">
        <f t="shared" si="138"/>
        <v>51910.520000000019</v>
      </c>
      <c r="V348" s="250">
        <f>STDEV(D$2:D348)*SQRT(252)</f>
        <v>0.16149074119515683</v>
      </c>
      <c r="W348" s="250">
        <f>STDEV(L$2:L348)*SQRT(252)</f>
        <v>0.35027731512032595</v>
      </c>
      <c r="X348" s="174">
        <f t="shared" si="154"/>
        <v>0.15086824790202799</v>
      </c>
    </row>
    <row r="349" spans="1:24" ht="20.100000000000001" customHeight="1" x14ac:dyDescent="0.25">
      <c r="A349" s="163">
        <f t="shared" si="144"/>
        <v>533</v>
      </c>
      <c r="B349" s="242">
        <v>42766</v>
      </c>
      <c r="C349" s="332">
        <v>2278.87</v>
      </c>
      <c r="D349" s="171">
        <f t="shared" ref="D349:D363" si="155">(C349-C348)/C348</f>
        <v>-8.8999956157665837E-4</v>
      </c>
      <c r="E349" s="244">
        <f t="shared" si="140"/>
        <v>8.3916782405205295E-2</v>
      </c>
      <c r="F349" s="245">
        <v>5614.78</v>
      </c>
      <c r="G349" s="171">
        <f t="shared" si="151"/>
        <v>1.9060478720840743E-4</v>
      </c>
      <c r="H349" s="246">
        <f t="shared" si="141"/>
        <v>0.10273189700885754</v>
      </c>
      <c r="I349" s="584">
        <v>326440.17</v>
      </c>
      <c r="J349" s="248">
        <v>300000</v>
      </c>
      <c r="K349" s="248">
        <f t="shared" si="142"/>
        <v>3348.6499999999651</v>
      </c>
      <c r="L349" s="171">
        <f t="shared" si="145"/>
        <v>1.0364400774121107E-2</v>
      </c>
      <c r="M349" s="472">
        <f t="shared" si="153"/>
        <v>26440.169999999984</v>
      </c>
      <c r="N349" s="250">
        <f t="shared" si="139"/>
        <v>8.8133899999999946E-2</v>
      </c>
      <c r="O349" s="183">
        <f t="shared" si="149"/>
        <v>6.039569788930578E-2</v>
      </c>
      <c r="P349" s="249" t="b">
        <f t="shared" si="143"/>
        <v>1</v>
      </c>
      <c r="Q349" s="250">
        <f>COUNTIF(P$2:P349, TRUE)/(COUNTIF(P$2:P349,FALSE) + COUNTIF(P$2:P349, TRUE))</f>
        <v>0.4942528735632184</v>
      </c>
      <c r="R349" s="248">
        <v>269996.05</v>
      </c>
      <c r="S349" s="248">
        <f t="shared" si="150"/>
        <v>56444.119999999995</v>
      </c>
      <c r="T349" s="248">
        <v>-28046</v>
      </c>
      <c r="U349" s="248">
        <f t="shared" ref="U349:U361" si="156">M349-T349</f>
        <v>54486.169999999984</v>
      </c>
      <c r="V349" s="250">
        <f>STDEV(D$2:D349)*SQRT(252)</f>
        <v>0.16126032344317026</v>
      </c>
      <c r="W349" s="250">
        <f>STDEV(L$2:L349)*SQRT(252)</f>
        <v>0.34986792755966306</v>
      </c>
      <c r="X349" s="174">
        <f t="shared" si="154"/>
        <v>0.17262427656792431</v>
      </c>
    </row>
    <row r="350" spans="1:24" ht="20.100000000000001" customHeight="1" x14ac:dyDescent="0.25">
      <c r="A350" s="163">
        <f t="shared" si="144"/>
        <v>534</v>
      </c>
      <c r="B350" s="242">
        <v>42767</v>
      </c>
      <c r="C350" s="332">
        <v>2279.5500000000002</v>
      </c>
      <c r="D350" s="171">
        <f t="shared" si="155"/>
        <v>2.9839350204280678E-4</v>
      </c>
      <c r="E350" s="244">
        <f t="shared" si="140"/>
        <v>8.4240216129830167E-2</v>
      </c>
      <c r="F350" s="245">
        <v>5642.65</v>
      </c>
      <c r="G350" s="171">
        <f t="shared" si="151"/>
        <v>4.9636851310291569E-3</v>
      </c>
      <c r="H350" s="246">
        <f t="shared" si="141"/>
        <v>0.10820551092955198</v>
      </c>
      <c r="I350" s="554">
        <v>325798.71999999997</v>
      </c>
      <c r="J350" s="248">
        <v>300000</v>
      </c>
      <c r="K350" s="248">
        <f t="shared" si="142"/>
        <v>-641.45000000001164</v>
      </c>
      <c r="L350" s="171">
        <f t="shared" si="145"/>
        <v>-1.9649848852854464E-3</v>
      </c>
      <c r="M350" s="587">
        <f t="shared" si="153"/>
        <v>25798.719999999972</v>
      </c>
      <c r="N350" s="250">
        <f t="shared" ref="N350:N361" si="157">M350/J350</f>
        <v>8.5995733333333241E-2</v>
      </c>
      <c r="O350" s="183">
        <f t="shared" si="149"/>
        <v>5.8820115355805183E-2</v>
      </c>
      <c r="P350" s="249" t="b">
        <f t="shared" si="143"/>
        <v>0</v>
      </c>
      <c r="Q350" s="250">
        <f>COUNTIF(P$2:P350, TRUE)/(COUNTIF(P$2:P350,FALSE) + COUNTIF(P$2:P350, TRUE))</f>
        <v>0.49283667621776506</v>
      </c>
      <c r="R350" s="248">
        <v>267944.34999999998</v>
      </c>
      <c r="S350" s="248">
        <f t="shared" si="150"/>
        <v>57854.369999999995</v>
      </c>
      <c r="T350" s="248">
        <v>-28725</v>
      </c>
      <c r="U350" s="248">
        <f t="shared" si="156"/>
        <v>54523.719999999972</v>
      </c>
      <c r="V350" s="250">
        <f>STDEV(D$2:D350)*SQRT(252)</f>
        <v>0.1610277927077004</v>
      </c>
      <c r="W350" s="250">
        <f>STDEV(L$2:L350)*SQRT(252)</f>
        <v>0.34937088827322704</v>
      </c>
      <c r="X350" s="174">
        <f t="shared" si="154"/>
        <v>0.16836009332810997</v>
      </c>
    </row>
    <row r="351" spans="1:24" ht="20.100000000000001" customHeight="1" x14ac:dyDescent="0.25">
      <c r="A351" s="163">
        <f t="shared" si="144"/>
        <v>535</v>
      </c>
      <c r="B351" s="242">
        <v>42768</v>
      </c>
      <c r="C351" s="332">
        <v>2280.85</v>
      </c>
      <c r="D351" s="171">
        <f t="shared" si="155"/>
        <v>5.7028799543757628E-4</v>
      </c>
      <c r="E351" s="244">
        <f t="shared" si="140"/>
        <v>8.4858545309259639E-2</v>
      </c>
      <c r="F351" s="245">
        <v>5636.19</v>
      </c>
      <c r="G351" s="171">
        <f t="shared" si="151"/>
        <v>-1.1448521528005524E-3</v>
      </c>
      <c r="H351" s="246">
        <f t="shared" si="141"/>
        <v>0.10693677946461885</v>
      </c>
      <c r="I351" s="554">
        <v>326587.24</v>
      </c>
      <c r="J351" s="248">
        <v>300000</v>
      </c>
      <c r="K351" s="248">
        <f t="shared" si="142"/>
        <v>788.52000000001863</v>
      </c>
      <c r="L351" s="171">
        <f t="shared" si="145"/>
        <v>2.4202673356114434E-3</v>
      </c>
      <c r="M351" s="587">
        <f t="shared" si="153"/>
        <v>26587.239999999991</v>
      </c>
      <c r="N351" s="250">
        <f t="shared" si="157"/>
        <v>8.8624133333333299E-2</v>
      </c>
      <c r="O351" s="183">
        <f t="shared" si="149"/>
        <v>6.0504606915887826E-2</v>
      </c>
      <c r="P351" s="249" t="b">
        <f t="shared" si="143"/>
        <v>1</v>
      </c>
      <c r="Q351" s="250">
        <f>COUNTIF(P$2:P351, TRUE)/(COUNTIF(P$2:P351,FALSE) + COUNTIF(P$2:P351, TRUE))</f>
        <v>0.49428571428571427</v>
      </c>
      <c r="R351" s="248">
        <v>272398.15000000002</v>
      </c>
      <c r="S351" s="248">
        <f t="shared" si="150"/>
        <v>54189.089999999967</v>
      </c>
      <c r="T351" s="248">
        <v>-29233</v>
      </c>
      <c r="U351" s="248">
        <f t="shared" si="156"/>
        <v>55820.239999999991</v>
      </c>
      <c r="V351" s="250">
        <f>STDEV(D$2:D351)*SQRT(252)</f>
        <v>0.16079644900185747</v>
      </c>
      <c r="W351" s="250">
        <f>STDEV(L$2:L351)*SQRT(252)</f>
        <v>0.34887158546682562</v>
      </c>
      <c r="X351" s="174">
        <f t="shared" si="154"/>
        <v>0.17342944921962195</v>
      </c>
    </row>
    <row r="352" spans="1:24" ht="20.100000000000001" customHeight="1" x14ac:dyDescent="0.25">
      <c r="A352" s="163">
        <f t="shared" si="144"/>
        <v>536</v>
      </c>
      <c r="B352" s="242">
        <v>42769</v>
      </c>
      <c r="C352" s="332">
        <v>2297.42</v>
      </c>
      <c r="D352" s="171">
        <f t="shared" si="155"/>
        <v>7.2648354780016945E-3</v>
      </c>
      <c r="E352" s="244">
        <f t="shared" ref="E352:E361" si="158">(C352-$C$2)/$C$2</f>
        <v>9.2739864157835666E-2</v>
      </c>
      <c r="F352" s="245">
        <v>5666.76</v>
      </c>
      <c r="G352" s="171">
        <f t="shared" si="151"/>
        <v>5.4238767678166672E-3</v>
      </c>
      <c r="H352" s="246">
        <f t="shared" ref="H352:H361" si="159">(F352-F$2)/F$2</f>
        <v>0.1129406681461988</v>
      </c>
      <c r="I352" s="554">
        <v>330217.57</v>
      </c>
      <c r="J352" s="248">
        <v>300000</v>
      </c>
      <c r="K352" s="248">
        <f t="shared" ref="K352:K361" si="160">I352-I351-J352+J351</f>
        <v>3630.3300000000163</v>
      </c>
      <c r="L352" s="171">
        <f t="shared" si="145"/>
        <v>1.1115957867796723E-2</v>
      </c>
      <c r="M352" s="587">
        <f t="shared" si="153"/>
        <v>30217.570000000007</v>
      </c>
      <c r="N352" s="250">
        <f t="shared" si="157"/>
        <v>0.10072523333333336</v>
      </c>
      <c r="O352" s="183">
        <f t="shared" si="149"/>
        <v>6.8637857229477628E-2</v>
      </c>
      <c r="P352" s="249" t="b">
        <f t="shared" ref="P352:P361" si="161">L352&gt;D352</f>
        <v>1</v>
      </c>
      <c r="Q352" s="250">
        <f>COUNTIF(P$2:P352, TRUE)/(COUNTIF(P$2:P352,FALSE) + COUNTIF(P$2:P352, TRUE))</f>
        <v>0.49572649572649574</v>
      </c>
      <c r="R352" s="248">
        <v>260496.3</v>
      </c>
      <c r="S352" s="248">
        <f t="shared" si="150"/>
        <v>69721.270000000019</v>
      </c>
      <c r="T352" s="248">
        <v>-28712</v>
      </c>
      <c r="U352" s="248">
        <f t="shared" si="156"/>
        <v>58929.570000000007</v>
      </c>
      <c r="V352" s="250">
        <f>STDEV(D$2:D352)*SQRT(252)</f>
        <v>0.16067512606366424</v>
      </c>
      <c r="W352" s="250">
        <f>STDEV(L$2:L352)*SQRT(252)</f>
        <v>0.34848319217701207</v>
      </c>
      <c r="X352" s="174">
        <f t="shared" si="154"/>
        <v>0.19696174383817347</v>
      </c>
    </row>
    <row r="353" spans="1:24" ht="20.100000000000001" customHeight="1" x14ac:dyDescent="0.25">
      <c r="A353" s="163">
        <f t="shared" si="144"/>
        <v>539</v>
      </c>
      <c r="B353" s="172">
        <v>42772</v>
      </c>
      <c r="C353" s="215">
        <v>2292.56</v>
      </c>
      <c r="D353" s="171">
        <f t="shared" si="155"/>
        <v>-2.115416423640487E-3</v>
      </c>
      <c r="E353" s="209">
        <f t="shared" si="158"/>
        <v>9.0428264302429506E-2</v>
      </c>
      <c r="F353" s="219">
        <v>5663.55</v>
      </c>
      <c r="G353" s="171">
        <f t="shared" si="151"/>
        <v>-5.6646125828516407E-4</v>
      </c>
      <c r="H353" s="203">
        <f t="shared" si="159"/>
        <v>0.11231023037492398</v>
      </c>
      <c r="I353" s="221">
        <v>324431.87</v>
      </c>
      <c r="J353" s="173">
        <v>300000</v>
      </c>
      <c r="K353" s="173">
        <f t="shared" si="160"/>
        <v>-5785.7000000000116</v>
      </c>
      <c r="L353" s="171">
        <f t="shared" si="145"/>
        <v>-1.7520872677974135E-2</v>
      </c>
      <c r="M353" s="182">
        <f t="shared" si="153"/>
        <v>24431.869999999995</v>
      </c>
      <c r="N353" s="184">
        <f t="shared" si="157"/>
        <v>8.1439566666666657E-2</v>
      </c>
      <c r="O353" s="183">
        <f t="shared" si="149"/>
        <v>5.5187016187384037E-2</v>
      </c>
      <c r="P353" s="182" t="b">
        <f t="shared" si="161"/>
        <v>0</v>
      </c>
      <c r="Q353" s="184">
        <f>COUNTIF(P$2:P353, TRUE)/(COUNTIF(P$2:P353,FALSE) + COUNTIF(P$2:P353, TRUE))</f>
        <v>0.49431818181818182</v>
      </c>
      <c r="R353" s="173">
        <v>275813.84999999998</v>
      </c>
      <c r="S353" s="173">
        <f t="shared" si="150"/>
        <v>48618.020000000019</v>
      </c>
      <c r="T353" s="173">
        <v>-29700</v>
      </c>
      <c r="U353" s="173">
        <f t="shared" si="156"/>
        <v>54131.869999999995</v>
      </c>
      <c r="V353" s="184">
        <f>STDEV(D$2:D353)*SQRT(252)</f>
        <v>0.16045852618505879</v>
      </c>
      <c r="W353" s="184">
        <f>STDEV(L$2:L353)*SQRT(252)</f>
        <v>0.34832898633424447</v>
      </c>
      <c r="X353" s="174">
        <f t="shared" si="154"/>
        <v>0.15843360257830646</v>
      </c>
    </row>
    <row r="354" spans="1:24" ht="20.100000000000001" customHeight="1" x14ac:dyDescent="0.25">
      <c r="A354" s="163">
        <f t="shared" si="144"/>
        <v>540</v>
      </c>
      <c r="B354" s="172">
        <v>42773</v>
      </c>
      <c r="C354" s="215">
        <v>2293.08</v>
      </c>
      <c r="D354" s="171">
        <f t="shared" si="155"/>
        <v>2.2682067208709122E-4</v>
      </c>
      <c r="E354" s="209">
        <f t="shared" si="158"/>
        <v>9.0675595974201342E-2</v>
      </c>
      <c r="F354" s="219">
        <v>5674.21</v>
      </c>
      <c r="G354" s="171">
        <f t="shared" si="151"/>
        <v>1.8822116870160683E-3</v>
      </c>
      <c r="H354" s="203">
        <f t="shared" si="159"/>
        <v>0.11440383369012319</v>
      </c>
      <c r="I354" s="221">
        <v>321983.64</v>
      </c>
      <c r="J354" s="173">
        <v>300000</v>
      </c>
      <c r="K354" s="173">
        <f t="shared" si="160"/>
        <v>-2448.2299999999814</v>
      </c>
      <c r="L354" s="171">
        <f t="shared" si="145"/>
        <v>-7.5462068507634022E-3</v>
      </c>
      <c r="M354" s="182">
        <f t="shared" si="153"/>
        <v>21983.640000000014</v>
      </c>
      <c r="N354" s="184">
        <f t="shared" si="157"/>
        <v>7.3278800000000047E-2</v>
      </c>
      <c r="O354" s="183">
        <f t="shared" si="149"/>
        <v>4.9564966111111143E-2</v>
      </c>
      <c r="P354" s="182" t="b">
        <f t="shared" si="161"/>
        <v>0</v>
      </c>
      <c r="Q354" s="184">
        <f>COUNTIF(P$2:P354, TRUE)/(COUNTIF(P$2:P354,FALSE) + COUNTIF(P$2:P354, TRUE))</f>
        <v>0.49291784702549574</v>
      </c>
      <c r="R354" s="173">
        <v>303519</v>
      </c>
      <c r="S354" s="173">
        <f t="shared" si="150"/>
        <v>18464.640000000014</v>
      </c>
      <c r="T354" s="173">
        <v>-29290</v>
      </c>
      <c r="U354" s="173">
        <f t="shared" si="156"/>
        <v>51273.640000000014</v>
      </c>
      <c r="V354" s="184">
        <f>STDEV(D$2:D354)*SQRT(252)</f>
        <v>0.16022980090956176</v>
      </c>
      <c r="W354" s="184">
        <f>STDEV(L$2:L354)*SQRT(252)</f>
        <v>0.34790227833602405</v>
      </c>
      <c r="X354" s="174">
        <f t="shared" si="154"/>
        <v>0.14246806990794825</v>
      </c>
    </row>
    <row r="355" spans="1:24" ht="20.100000000000001" customHeight="1" x14ac:dyDescent="0.25">
      <c r="A355" s="163">
        <f t="shared" si="144"/>
        <v>541</v>
      </c>
      <c r="B355" s="172">
        <v>42774</v>
      </c>
      <c r="C355" s="215">
        <v>2294.67</v>
      </c>
      <c r="D355" s="171">
        <f t="shared" si="155"/>
        <v>6.9339054895605282E-4</v>
      </c>
      <c r="E355" s="209">
        <f t="shared" si="158"/>
        <v>9.1431860124426861E-2</v>
      </c>
      <c r="F355" s="219">
        <v>5682.45</v>
      </c>
      <c r="G355" s="171">
        <f t="shared" si="151"/>
        <v>1.4521845331772673E-3</v>
      </c>
      <c r="H355" s="203">
        <f t="shared" si="159"/>
        <v>0.11602215370112144</v>
      </c>
      <c r="I355" s="221">
        <v>320220.33</v>
      </c>
      <c r="J355" s="173">
        <v>300000</v>
      </c>
      <c r="K355" s="173">
        <f t="shared" si="160"/>
        <v>-1763.3099999999977</v>
      </c>
      <c r="L355" s="171">
        <f t="shared" si="145"/>
        <v>-5.4763962541699253E-3</v>
      </c>
      <c r="M355" s="182">
        <f t="shared" si="153"/>
        <v>20220.330000000016</v>
      </c>
      <c r="N355" s="184">
        <f t="shared" si="157"/>
        <v>6.7401100000000061E-2</v>
      </c>
      <c r="O355" s="183">
        <f t="shared" si="149"/>
        <v>4.5505086460258824E-2</v>
      </c>
      <c r="P355" s="182" t="b">
        <f t="shared" si="161"/>
        <v>0</v>
      </c>
      <c r="Q355" s="184">
        <f>COUNTIF(P$2:P355, TRUE)/(COUNTIF(P$2:P355,FALSE) + COUNTIF(P$2:P355, TRUE))</f>
        <v>0.49152542372881358</v>
      </c>
      <c r="R355" s="173">
        <v>292567</v>
      </c>
      <c r="S355" s="173">
        <f t="shared" si="150"/>
        <v>27653.330000000016</v>
      </c>
      <c r="T355" s="173">
        <v>-30165</v>
      </c>
      <c r="U355" s="173">
        <f t="shared" si="156"/>
        <v>50385.330000000016</v>
      </c>
      <c r="V355" s="184">
        <f>STDEV(D$2:D355)*SQRT(252)</f>
        <v>0.16000238989195567</v>
      </c>
      <c r="W355" s="184">
        <f>STDEV(L$2:L355)*SQRT(252)</f>
        <v>0.34744654612529025</v>
      </c>
      <c r="X355" s="174">
        <f t="shared" si="154"/>
        <v>0.13097003544208369</v>
      </c>
    </row>
    <row r="356" spans="1:24" ht="20.100000000000001" customHeight="1" x14ac:dyDescent="0.25">
      <c r="A356" s="163">
        <f t="shared" si="144"/>
        <v>542</v>
      </c>
      <c r="B356" s="172">
        <v>42775</v>
      </c>
      <c r="C356" s="215">
        <v>2307.87</v>
      </c>
      <c r="D356" s="171">
        <f t="shared" si="155"/>
        <v>5.7524611382027994E-3</v>
      </c>
      <c r="E356" s="209">
        <f t="shared" si="158"/>
        <v>9.7710279484789025E-2</v>
      </c>
      <c r="F356" s="219">
        <v>5715.18</v>
      </c>
      <c r="G356" s="171">
        <f t="shared" si="151"/>
        <v>5.7598395058470336E-3</v>
      </c>
      <c r="H356" s="203">
        <f t="shared" si="159"/>
        <v>0.12245026219140964</v>
      </c>
      <c r="I356" s="221">
        <v>320817.13</v>
      </c>
      <c r="J356" s="173">
        <v>300000</v>
      </c>
      <c r="K356" s="173">
        <f t="shared" si="160"/>
        <v>596.79999999998836</v>
      </c>
      <c r="L356" s="171">
        <f t="shared" si="145"/>
        <v>1.8637167727607686E-3</v>
      </c>
      <c r="M356" s="182">
        <f t="shared" si="153"/>
        <v>20817.130000000005</v>
      </c>
      <c r="N356" s="184">
        <f t="shared" si="157"/>
        <v>6.9390433333333348E-2</v>
      </c>
      <c r="O356" s="183">
        <f t="shared" si="149"/>
        <v>4.676172652214023E-2</v>
      </c>
      <c r="P356" s="182" t="b">
        <f t="shared" si="161"/>
        <v>0</v>
      </c>
      <c r="Q356" s="184">
        <f>COUNTIF(P$2:P356, TRUE)/(COUNTIF(P$2:P356,FALSE) + COUNTIF(P$2:P356, TRUE))</f>
        <v>0.49014084507042255</v>
      </c>
      <c r="R356" s="173">
        <v>304352.8</v>
      </c>
      <c r="S356" s="173">
        <f t="shared" si="150"/>
        <v>16464.330000000016</v>
      </c>
      <c r="T356" s="173">
        <v>-31263</v>
      </c>
      <c r="U356" s="173">
        <f t="shared" si="156"/>
        <v>52080.130000000005</v>
      </c>
      <c r="V356" s="184">
        <f>STDEV(D$2:D356)*SQRT(252)</f>
        <v>0.15984184975435473</v>
      </c>
      <c r="W356" s="184">
        <f>STDEV(L$2:L356)*SQRT(252)</f>
        <v>0.34695557071098138</v>
      </c>
      <c r="X356" s="174">
        <f t="shared" si="154"/>
        <v>0.13477727544860021</v>
      </c>
    </row>
    <row r="357" spans="1:24" ht="20.100000000000001" customHeight="1" x14ac:dyDescent="0.25">
      <c r="A357" s="163">
        <f t="shared" si="144"/>
        <v>543</v>
      </c>
      <c r="B357" s="172">
        <v>42776</v>
      </c>
      <c r="C357" s="215">
        <v>2316.1</v>
      </c>
      <c r="D357" s="171">
        <f t="shared" si="155"/>
        <v>3.566058746809837E-3</v>
      </c>
      <c r="E357" s="209">
        <f t="shared" si="158"/>
        <v>0.10162477882840883</v>
      </c>
      <c r="F357" s="219">
        <v>5734.12</v>
      </c>
      <c r="G357" s="171">
        <f t="shared" si="151"/>
        <v>3.3139813619167896E-3</v>
      </c>
      <c r="H357" s="203">
        <f t="shared" si="159"/>
        <v>0.12617004143999058</v>
      </c>
      <c r="I357" s="221">
        <v>324003.01</v>
      </c>
      <c r="J357" s="173">
        <v>300000</v>
      </c>
      <c r="K357" s="173">
        <f t="shared" si="160"/>
        <v>3185.8800000000047</v>
      </c>
      <c r="L357" s="171">
        <f t="shared" si="145"/>
        <v>9.9305171142201939E-3</v>
      </c>
      <c r="M357" s="182">
        <f t="shared" si="153"/>
        <v>24003.010000000009</v>
      </c>
      <c r="N357" s="184">
        <f t="shared" si="157"/>
        <v>8.0010033333333369E-2</v>
      </c>
      <c r="O357" s="183">
        <f t="shared" si="149"/>
        <v>5.3818903637200759E-2</v>
      </c>
      <c r="P357" s="182" t="b">
        <f t="shared" si="161"/>
        <v>1</v>
      </c>
      <c r="Q357" s="184">
        <f>COUNTIF(P$2:P357, TRUE)/(COUNTIF(P$2:P357,FALSE) + COUNTIF(P$2:P357, TRUE))</f>
        <v>0.49157303370786515</v>
      </c>
      <c r="R357" s="173">
        <v>304805.15000000002</v>
      </c>
      <c r="S357" s="173">
        <f t="shared" si="150"/>
        <v>19197.859999999986</v>
      </c>
      <c r="T357" s="173">
        <v>-29099</v>
      </c>
      <c r="U357" s="173">
        <f t="shared" si="156"/>
        <v>53102.010000000009</v>
      </c>
      <c r="V357" s="184">
        <f>STDEV(D$2:D357)*SQRT(252)</f>
        <v>0.15963944268127239</v>
      </c>
      <c r="W357" s="184">
        <f>STDEV(L$2:L357)*SQRT(252)</f>
        <v>0.34655330158164083</v>
      </c>
      <c r="X357" s="174">
        <f t="shared" si="154"/>
        <v>0.15529762201536013</v>
      </c>
    </row>
    <row r="358" spans="1:24" ht="20.100000000000001" customHeight="1" x14ac:dyDescent="0.25">
      <c r="A358" s="163">
        <f t="shared" si="144"/>
        <v>546</v>
      </c>
      <c r="B358" s="242">
        <v>42779</v>
      </c>
      <c r="C358" s="332">
        <v>2328.25</v>
      </c>
      <c r="D358" s="171">
        <f t="shared" si="155"/>
        <v>5.2458874832693285E-3</v>
      </c>
      <c r="E358" s="244">
        <f t="shared" si="158"/>
        <v>0.10740377846692412</v>
      </c>
      <c r="F358" s="245">
        <v>5763.95</v>
      </c>
      <c r="G358" s="171">
        <f t="shared" si="151"/>
        <v>5.2021931874463613E-3</v>
      </c>
      <c r="H358" s="246">
        <f t="shared" si="159"/>
        <v>0.1320285955574759</v>
      </c>
      <c r="I358" s="554">
        <v>323021.71000000002</v>
      </c>
      <c r="J358" s="248">
        <v>300000</v>
      </c>
      <c r="K358" s="248">
        <f t="shared" si="160"/>
        <v>-981.29999999998836</v>
      </c>
      <c r="L358" s="171">
        <f t="shared" si="145"/>
        <v>-3.0286755669337402E-3</v>
      </c>
      <c r="M358" s="587">
        <f t="shared" si="153"/>
        <v>23021.710000000021</v>
      </c>
      <c r="N358" s="250">
        <f t="shared" si="157"/>
        <v>7.6739033333333401E-2</v>
      </c>
      <c r="O358" s="183">
        <f t="shared" si="149"/>
        <v>5.1335040155677705E-2</v>
      </c>
      <c r="P358" s="249" t="b">
        <f t="shared" si="161"/>
        <v>0</v>
      </c>
      <c r="Q358" s="250">
        <f>COUNTIF(P$2:P358, TRUE)/(COUNTIF(P$2:P358,FALSE) + COUNTIF(P$2:P358, TRUE))</f>
        <v>0.49019607843137253</v>
      </c>
      <c r="R358" s="248">
        <v>303829.84999999998</v>
      </c>
      <c r="S358" s="248">
        <f t="shared" si="150"/>
        <v>19191.860000000044</v>
      </c>
      <c r="T358" s="248">
        <v>-28482</v>
      </c>
      <c r="U358" s="248">
        <f t="shared" si="156"/>
        <v>51503.710000000021</v>
      </c>
      <c r="V358" s="250">
        <f>STDEV(D$2:D358)*SQRT(252)</f>
        <v>0.15946823741298166</v>
      </c>
      <c r="W358" s="250">
        <f>STDEV(L$2:L358)*SQRT(252)</f>
        <v>0.34607892866590223</v>
      </c>
      <c r="X358" s="174">
        <f t="shared" si="154"/>
        <v>0.14833333064676568</v>
      </c>
    </row>
    <row r="359" spans="1:24" ht="20.100000000000001" customHeight="1" x14ac:dyDescent="0.25">
      <c r="A359" s="163">
        <f t="shared" si="144"/>
        <v>547</v>
      </c>
      <c r="B359" s="242">
        <v>42780</v>
      </c>
      <c r="C359" s="332">
        <v>2337.58</v>
      </c>
      <c r="D359" s="171">
        <f t="shared" si="155"/>
        <v>4.0073016213894247E-3</v>
      </c>
      <c r="E359" s="244">
        <f t="shared" si="158"/>
        <v>0.1118414794239074</v>
      </c>
      <c r="F359" s="245">
        <v>5782.57</v>
      </c>
      <c r="G359" s="171">
        <f>(F359-F358)/F358</f>
        <v>3.2304235810511699E-3</v>
      </c>
      <c r="H359" s="246">
        <f t="shared" si="159"/>
        <v>0.135685527426989</v>
      </c>
      <c r="I359" s="554">
        <v>323822.24</v>
      </c>
      <c r="J359" s="248">
        <v>300000</v>
      </c>
      <c r="K359" s="248">
        <f t="shared" si="160"/>
        <v>800.52999999996973</v>
      </c>
      <c r="L359" s="171">
        <f t="shared" si="145"/>
        <v>2.4782544801709139E-3</v>
      </c>
      <c r="M359" s="587">
        <f t="shared" si="153"/>
        <v>23822.239999999991</v>
      </c>
      <c r="N359" s="250">
        <f t="shared" si="157"/>
        <v>7.9407466666666635E-2</v>
      </c>
      <c r="O359" s="183">
        <f t="shared" si="149"/>
        <v>5.3022993053016436E-2</v>
      </c>
      <c r="P359" s="249" t="b">
        <f t="shared" si="161"/>
        <v>0</v>
      </c>
      <c r="Q359" s="250">
        <f>COUNTIF(P$2:P359, TRUE)/(COUNTIF(P$2:P359,FALSE) + COUNTIF(P$2:P359, TRUE))</f>
        <v>0.48882681564245811</v>
      </c>
      <c r="R359" s="248">
        <v>305870.8</v>
      </c>
      <c r="S359" s="248">
        <f t="shared" si="150"/>
        <v>17951.440000000002</v>
      </c>
      <c r="T359" s="248">
        <v>-29398</v>
      </c>
      <c r="U359" s="248">
        <f t="shared" si="156"/>
        <v>53220.239999999991</v>
      </c>
      <c r="V359" s="250">
        <f>STDEV(D$2:D359)*SQRT(252)</f>
        <v>0.15927396470902513</v>
      </c>
      <c r="W359" s="250">
        <f>STDEV(L$2:L359)*SQRT(252)</f>
        <v>0.34559585796203202</v>
      </c>
      <c r="X359" s="174">
        <f t="shared" si="154"/>
        <v>0.15342485111277482</v>
      </c>
    </row>
    <row r="360" spans="1:24" ht="20.100000000000001" customHeight="1" x14ac:dyDescent="0.25">
      <c r="A360" s="163">
        <f t="shared" si="144"/>
        <v>548</v>
      </c>
      <c r="B360" s="242">
        <v>42781</v>
      </c>
      <c r="C360" s="332">
        <v>2349.25</v>
      </c>
      <c r="D360" s="171">
        <f t="shared" si="155"/>
        <v>4.9923425080639263E-3</v>
      </c>
      <c r="E360" s="244">
        <f t="shared" si="158"/>
        <v>0.11739217290386406</v>
      </c>
      <c r="F360" s="245">
        <v>5819.44</v>
      </c>
      <c r="G360" s="171">
        <f t="shared" ref="G360:G367" si="162">(F360-F359)/F359</f>
        <v>6.376057704446274E-3</v>
      </c>
      <c r="H360" s="246">
        <f t="shared" si="159"/>
        <v>0.14292672388396799</v>
      </c>
      <c r="I360" s="554">
        <v>324896.15000000002</v>
      </c>
      <c r="J360" s="248">
        <v>300000</v>
      </c>
      <c r="K360" s="248">
        <f t="shared" si="160"/>
        <v>1073.9100000000326</v>
      </c>
      <c r="L360" s="171">
        <f t="shared" si="145"/>
        <v>3.3163565294342741E-3</v>
      </c>
      <c r="M360" s="587">
        <f t="shared" si="153"/>
        <v>24896.150000000023</v>
      </c>
      <c r="N360" s="250">
        <f t="shared" si="157"/>
        <v>8.2987166666666751E-2</v>
      </c>
      <c r="O360" s="183">
        <f t="shared" si="149"/>
        <v>5.5312158074817569E-2</v>
      </c>
      <c r="P360" s="249" t="b">
        <f t="shared" si="161"/>
        <v>0</v>
      </c>
      <c r="Q360" s="250">
        <f>COUNTIF(P$2:P360, TRUE)/(COUNTIF(P$2:P360,FALSE) + COUNTIF(P$2:P360, TRUE))</f>
        <v>0.48746518105849584</v>
      </c>
      <c r="R360" s="248">
        <v>284558.05</v>
      </c>
      <c r="S360" s="248">
        <f t="shared" si="150"/>
        <v>40338.100000000035</v>
      </c>
      <c r="T360" s="248">
        <v>-27681</v>
      </c>
      <c r="U360" s="248">
        <f t="shared" si="156"/>
        <v>52577.150000000023</v>
      </c>
      <c r="V360" s="250">
        <f>STDEV(D$2:D360)*SQRT(252)</f>
        <v>0.15909847799191273</v>
      </c>
      <c r="W360" s="250">
        <f>STDEV(L$2:L360)*SQRT(252)</f>
        <v>0.34511860211054446</v>
      </c>
      <c r="X360" s="174">
        <f t="shared" si="154"/>
        <v>0.16026999917292378</v>
      </c>
    </row>
    <row r="361" spans="1:24" ht="20.100000000000001" customHeight="1" x14ac:dyDescent="0.25">
      <c r="A361" s="163">
        <f t="shared" si="144"/>
        <v>549</v>
      </c>
      <c r="B361" s="242">
        <v>42782</v>
      </c>
      <c r="C361" s="332">
        <v>2347.2199999999998</v>
      </c>
      <c r="D361" s="171">
        <f t="shared" si="155"/>
        <v>-8.6410556560612964E-4</v>
      </c>
      <c r="E361" s="244">
        <f t="shared" si="158"/>
        <v>0.1164266281082931</v>
      </c>
      <c r="F361" s="245">
        <v>5814.9</v>
      </c>
      <c r="G361" s="171">
        <f t="shared" si="162"/>
        <v>-7.8014379390456195E-4</v>
      </c>
      <c r="H361" s="246">
        <f t="shared" si="159"/>
        <v>0.14203507669344223</v>
      </c>
      <c r="I361" s="554">
        <v>324092.39</v>
      </c>
      <c r="J361" s="248">
        <v>300000</v>
      </c>
      <c r="K361" s="248">
        <f t="shared" si="160"/>
        <v>-803.76000000000931</v>
      </c>
      <c r="L361" s="171">
        <f t="shared" si="145"/>
        <v>-2.4738981979318909E-3</v>
      </c>
      <c r="M361" s="587">
        <f t="shared" si="153"/>
        <v>24092.390000000014</v>
      </c>
      <c r="N361" s="250">
        <f t="shared" si="157"/>
        <v>8.0307966666666716E-2</v>
      </c>
      <c r="O361" s="183">
        <f t="shared" si="149"/>
        <v>5.3428934107468157E-2</v>
      </c>
      <c r="P361" s="249" t="b">
        <f t="shared" si="161"/>
        <v>0</v>
      </c>
      <c r="Q361" s="250">
        <f>COUNTIF(P$2:P361, TRUE)/(COUNTIF(P$2:P361,FALSE) + COUNTIF(P$2:P361, TRUE))</f>
        <v>0.4861111111111111</v>
      </c>
      <c r="R361" s="248">
        <v>276682.59999999998</v>
      </c>
      <c r="S361" s="248">
        <f t="shared" si="150"/>
        <v>47409.790000000037</v>
      </c>
      <c r="T361" s="248">
        <v>-27918</v>
      </c>
      <c r="U361" s="248">
        <f t="shared" si="156"/>
        <v>52010.390000000014</v>
      </c>
      <c r="V361" s="250">
        <f>STDEV(D$2:D361)*SQRT(252)</f>
        <v>0.15887942855924012</v>
      </c>
      <c r="W361" s="250">
        <f>STDEV(L$2:L361)*SQRT(252)</f>
        <v>0.34464640532598995</v>
      </c>
      <c r="X361" s="174">
        <f t="shared" si="154"/>
        <v>0.15502536304399125</v>
      </c>
    </row>
    <row r="362" spans="1:24" ht="20.100000000000001" customHeight="1" x14ac:dyDescent="0.25">
      <c r="A362" s="163">
        <f t="shared" si="144"/>
        <v>550</v>
      </c>
      <c r="B362" s="242">
        <v>42783</v>
      </c>
      <c r="C362" s="332">
        <v>2351.16</v>
      </c>
      <c r="D362" s="171">
        <f t="shared" si="155"/>
        <v>1.6785814708463864E-3</v>
      </c>
      <c r="E362" s="244">
        <f t="shared" ref="E362" si="163">(C362-$C$2)/$C$2</f>
        <v>0.11830064115979519</v>
      </c>
      <c r="F362" s="245">
        <v>5838.57</v>
      </c>
      <c r="G362" s="171">
        <f t="shared" si="162"/>
        <v>4.0705773100139422E-3</v>
      </c>
      <c r="H362" s="246">
        <f t="shared" ref="H362" si="164">(F362-F$2)/F$2</f>
        <v>0.1466838187638706</v>
      </c>
      <c r="I362" s="554">
        <v>324795.14</v>
      </c>
      <c r="J362" s="248">
        <v>300000</v>
      </c>
      <c r="K362" s="248">
        <f t="shared" ref="K362" si="165">I362-I361-J362+J361</f>
        <v>702.75</v>
      </c>
      <c r="L362" s="171">
        <f t="shared" si="145"/>
        <v>2.1683631633559798E-3</v>
      </c>
      <c r="M362" s="587">
        <f t="shared" ref="M362" si="166">I362-J362</f>
        <v>24795.140000000014</v>
      </c>
      <c r="N362" s="250">
        <f t="shared" ref="N362" si="167">M362/J362</f>
        <v>8.2650466666666714E-2</v>
      </c>
      <c r="O362" s="183">
        <f t="shared" si="149"/>
        <v>5.4887423545454575E-2</v>
      </c>
      <c r="P362" s="249" t="b">
        <f t="shared" ref="P362" si="168">L362&gt;D362</f>
        <v>1</v>
      </c>
      <c r="Q362" s="250">
        <f>COUNTIF(P$2:P362, TRUE)/(COUNTIF(P$2:P362,FALSE) + COUNTIF(P$2:P362, TRUE))</f>
        <v>0.48753462603878117</v>
      </c>
      <c r="R362" s="248">
        <v>278866.34999999998</v>
      </c>
      <c r="S362" s="248">
        <f t="shared" ref="S362" si="169">I362-R362</f>
        <v>45928.790000000037</v>
      </c>
      <c r="T362" s="248">
        <v>-28366</v>
      </c>
      <c r="U362" s="248">
        <f t="shared" ref="U362" si="170">M362-T362</f>
        <v>53161.140000000014</v>
      </c>
      <c r="V362" s="250">
        <f>STDEV(D$2:D362)*SQRT(252)</f>
        <v>0.15866184861852722</v>
      </c>
      <c r="W362" s="250">
        <f>STDEV(L$2:L362)*SQRT(252)</f>
        <v>0.34416833184520351</v>
      </c>
      <c r="X362" s="174">
        <f t="shared" si="154"/>
        <v>0.15947842513918822</v>
      </c>
    </row>
    <row r="363" spans="1:24" ht="20.100000000000001" customHeight="1" x14ac:dyDescent="0.25">
      <c r="A363" s="163">
        <f t="shared" si="144"/>
        <v>554</v>
      </c>
      <c r="B363" s="172">
        <v>42787</v>
      </c>
      <c r="C363" s="215">
        <v>2365.38</v>
      </c>
      <c r="D363" s="171">
        <f t="shared" si="155"/>
        <v>6.048078395345385E-3</v>
      </c>
      <c r="E363" s="209">
        <f t="shared" ref="E363" si="171">(C363-$C$2)/$C$2</f>
        <v>0.12506421110709465</v>
      </c>
      <c r="F363" s="219">
        <v>5865.94</v>
      </c>
      <c r="G363" s="171">
        <f t="shared" si="162"/>
        <v>4.6877917024202662E-3</v>
      </c>
      <c r="H363" s="203">
        <f t="shared" ref="H363" si="172">(F363-F$2)/F$2</f>
        <v>0.15205923365477145</v>
      </c>
      <c r="I363" s="221">
        <v>327591.99</v>
      </c>
      <c r="J363" s="173">
        <v>300000</v>
      </c>
      <c r="K363" s="173">
        <f t="shared" ref="K363" si="173">I363-I362-J363+J362</f>
        <v>2796.8499999999767</v>
      </c>
      <c r="L363" s="171">
        <f t="shared" si="145"/>
        <v>8.6111202279688555E-3</v>
      </c>
      <c r="M363" s="182">
        <f t="shared" ref="M363" si="174">I363-J363</f>
        <v>27591.989999999991</v>
      </c>
      <c r="N363" s="184">
        <f t="shared" ref="N363" si="175">M363/J363</f>
        <v>9.1973299999999966E-2</v>
      </c>
      <c r="O363" s="183">
        <f t="shared" si="149"/>
        <v>6.0637631453068573E-2</v>
      </c>
      <c r="P363" s="182" t="b">
        <f t="shared" ref="P363" si="176">L363&gt;D363</f>
        <v>1</v>
      </c>
      <c r="Q363" s="184">
        <f>COUNTIF(P$2:P363, TRUE)/(COUNTIF(P$2:P363,FALSE) + COUNTIF(P$2:P363, TRUE))</f>
        <v>0.4889502762430939</v>
      </c>
      <c r="R363" s="173">
        <v>277216.90000000002</v>
      </c>
      <c r="S363" s="173">
        <f t="shared" ref="S363" si="177">I363-R363</f>
        <v>50375.089999999967</v>
      </c>
      <c r="T363" s="173">
        <v>-27825</v>
      </c>
      <c r="U363" s="173">
        <f t="shared" ref="U363" si="178">M363-T363</f>
        <v>55416.989999999991</v>
      </c>
      <c r="V363" s="184">
        <f>STDEV(D$2:D363)*SQRT(252)</f>
        <v>0.15851258059839493</v>
      </c>
      <c r="W363" s="184">
        <f>STDEV(L$2:L363)*SQRT(252)</f>
        <v>0.34375388760818432</v>
      </c>
      <c r="X363" s="174">
        <f t="shared" si="154"/>
        <v>0.17639838744801115</v>
      </c>
    </row>
    <row r="364" spans="1:24" ht="20.100000000000001" customHeight="1" x14ac:dyDescent="0.25">
      <c r="A364" s="163">
        <f t="shared" si="144"/>
        <v>555</v>
      </c>
      <c r="B364" s="172">
        <v>42788</v>
      </c>
      <c r="C364" s="215">
        <v>2362.8200000000002</v>
      </c>
      <c r="D364" s="171">
        <f t="shared" ref="D364:D367" si="179">(C364-C363)/C363</f>
        <v>-1.0822785345271986E-3</v>
      </c>
      <c r="E364" s="209">
        <f t="shared" ref="E364" si="180">(C364-$C$2)/$C$2</f>
        <v>0.12384657826144865</v>
      </c>
      <c r="F364" s="219">
        <v>5860.62</v>
      </c>
      <c r="G364" s="171">
        <f t="shared" si="162"/>
        <v>-9.069305175299627E-4</v>
      </c>
      <c r="H364" s="203">
        <f t="shared" ref="H364" si="181">(F364-F$2)/F$2</f>
        <v>0.15101439597776775</v>
      </c>
      <c r="I364" s="221">
        <v>323529.21999999997</v>
      </c>
      <c r="J364" s="173">
        <v>300000</v>
      </c>
      <c r="K364" s="173">
        <f t="shared" ref="K364" si="182">I364-I363-J364+J363</f>
        <v>-4062.7700000000186</v>
      </c>
      <c r="L364" s="171">
        <f t="shared" si="145"/>
        <v>-1.2401921060402053E-2</v>
      </c>
      <c r="M364" s="182">
        <f t="shared" ref="M364" si="183">I364-J364</f>
        <v>23529.219999999972</v>
      </c>
      <c r="N364" s="184">
        <f t="shared" ref="N364" si="184">M364/J364</f>
        <v>7.8430733333333238E-2</v>
      </c>
      <c r="O364" s="183">
        <f t="shared" si="149"/>
        <v>5.1615901531531463E-2</v>
      </c>
      <c r="P364" s="182" t="b">
        <f t="shared" ref="P364" si="185">L364&gt;D364</f>
        <v>0</v>
      </c>
      <c r="Q364" s="184">
        <f>COUNTIF(P$2:P364, TRUE)/(COUNTIF(P$2:P364,FALSE) + COUNTIF(P$2:P364, TRUE))</f>
        <v>0.48760330578512395</v>
      </c>
      <c r="R364" s="173">
        <v>282939</v>
      </c>
      <c r="S364" s="173">
        <f t="shared" ref="S364" si="186">I364-R364</f>
        <v>40590.219999999972</v>
      </c>
      <c r="T364" s="173">
        <v>-27755</v>
      </c>
      <c r="U364" s="173">
        <f t="shared" ref="U364" si="187">M364-T364</f>
        <v>51284.219999999972</v>
      </c>
      <c r="V364" s="184">
        <f>STDEV(D$2:D364)*SQRT(252)</f>
        <v>0.15829755838348511</v>
      </c>
      <c r="W364" s="184">
        <f>STDEV(L$2:L364)*SQRT(252)</f>
        <v>0.34345146520795911</v>
      </c>
      <c r="X364" s="174">
        <f t="shared" si="154"/>
        <v>0.15028586790357162</v>
      </c>
    </row>
    <row r="365" spans="1:24" ht="20.100000000000001" customHeight="1" x14ac:dyDescent="0.25">
      <c r="A365" s="163">
        <f t="shared" si="144"/>
        <v>556</v>
      </c>
      <c r="B365" s="172">
        <v>42789</v>
      </c>
      <c r="C365" s="215">
        <v>2363.81</v>
      </c>
      <c r="D365" s="171">
        <f t="shared" si="179"/>
        <v>4.1899086684545658E-4</v>
      </c>
      <c r="E365" s="209">
        <f t="shared" ref="E365" si="188">(C365-$C$2)/$C$2</f>
        <v>0.12431745971347571</v>
      </c>
      <c r="F365" s="219">
        <v>5835.5</v>
      </c>
      <c r="G365" s="171">
        <f t="shared" si="162"/>
        <v>-4.2862359272568245E-3</v>
      </c>
      <c r="H365" s="203">
        <f t="shared" ref="H365" si="189">(F365-F$2)/F$2</f>
        <v>0.14608087672093803</v>
      </c>
      <c r="I365" s="221">
        <v>324343.32</v>
      </c>
      <c r="J365" s="173">
        <v>300000</v>
      </c>
      <c r="K365" s="173">
        <f t="shared" ref="K365" si="190">I365-I364-J365+J364</f>
        <v>814.10000000003492</v>
      </c>
      <c r="L365" s="171">
        <f t="shared" si="145"/>
        <v>2.5163105823951077E-3</v>
      </c>
      <c r="M365" s="182">
        <f t="shared" ref="M365" si="191">I365-J365</f>
        <v>24343.320000000007</v>
      </c>
      <c r="N365" s="184">
        <f t="shared" ref="N365" si="192">M365/J365</f>
        <v>8.1144400000000019E-2</v>
      </c>
      <c r="O365" s="183">
        <f t="shared" si="149"/>
        <v>5.3305741187050372E-2</v>
      </c>
      <c r="P365" s="182" t="b">
        <f t="shared" ref="P365" si="193">L365&gt;D365</f>
        <v>1</v>
      </c>
      <c r="Q365" s="184">
        <f>COUNTIF(P$2:P365, TRUE)/(COUNTIF(P$2:P365,FALSE) + COUNTIF(P$2:P365, TRUE))</f>
        <v>0.48901098901098899</v>
      </c>
      <c r="R365" s="173">
        <v>285337.09999999998</v>
      </c>
      <c r="S365" s="173">
        <f t="shared" ref="S365" si="194">I365-R365</f>
        <v>39006.22000000003</v>
      </c>
      <c r="T365" s="173">
        <v>-27553</v>
      </c>
      <c r="U365" s="173">
        <f t="shared" ref="U365" si="195">M365-T365</f>
        <v>51896.320000000007</v>
      </c>
      <c r="V365" s="184">
        <f>STDEV(D$2:D365)*SQRT(252)</f>
        <v>0.15807876897869375</v>
      </c>
      <c r="W365" s="184">
        <f>STDEV(L$2:L365)*SQRT(252)</f>
        <v>0.34298022830974206</v>
      </c>
      <c r="X365" s="174">
        <f t="shared" si="154"/>
        <v>0.15541928305823646</v>
      </c>
    </row>
    <row r="366" spans="1:24" ht="20.100000000000001" customHeight="1" x14ac:dyDescent="0.25">
      <c r="A366" s="163">
        <f t="shared" si="144"/>
        <v>557</v>
      </c>
      <c r="B366" s="172">
        <v>42790</v>
      </c>
      <c r="C366" s="215">
        <v>2367.34</v>
      </c>
      <c r="D366" s="171">
        <f t="shared" si="179"/>
        <v>1.4933518345383937E-3</v>
      </c>
      <c r="E366" s="209">
        <f t="shared" ref="E366" si="196">(C366-$C$2)/$C$2</f>
        <v>0.12599646125454239</v>
      </c>
      <c r="F366" s="219">
        <v>5845.3</v>
      </c>
      <c r="G366" s="171">
        <f t="shared" si="162"/>
        <v>1.6793762316854052E-3</v>
      </c>
      <c r="H366" s="203">
        <f t="shared" ref="H366" si="197">(F366-F$2)/F$2</f>
        <v>0.14800557770489237</v>
      </c>
      <c r="I366" s="221">
        <v>322787.92</v>
      </c>
      <c r="J366" s="173">
        <v>300000</v>
      </c>
      <c r="K366" s="173">
        <f t="shared" ref="K366" si="198">I366-I365-J366+J365</f>
        <v>-1555.4000000000233</v>
      </c>
      <c r="L366" s="171">
        <f t="shared" si="145"/>
        <v>-4.7955357921353929E-3</v>
      </c>
      <c r="M366" s="182">
        <f t="shared" ref="M366" si="199">I366-J366</f>
        <v>22787.919999999984</v>
      </c>
      <c r="N366" s="184">
        <f t="shared" ref="N366" si="200">M366/J366</f>
        <v>7.5959733333333279E-2</v>
      </c>
      <c r="O366" s="183">
        <f t="shared" si="149"/>
        <v>4.9810220107719891E-2</v>
      </c>
      <c r="P366" s="182" t="b">
        <f t="shared" ref="P366" si="201">L366&gt;D366</f>
        <v>0</v>
      </c>
      <c r="Q366" s="184">
        <f>COUNTIF(P$2:P366, TRUE)/(COUNTIF(P$2:P366,FALSE) + COUNTIF(P$2:P366, TRUE))</f>
        <v>0.48767123287671232</v>
      </c>
      <c r="R366" s="173">
        <v>281387.75</v>
      </c>
      <c r="S366" s="173">
        <f t="shared" ref="S366" si="202">I366-R366</f>
        <v>41400.169999999984</v>
      </c>
      <c r="T366" s="173">
        <v>-27481</v>
      </c>
      <c r="U366" s="173">
        <f t="shared" ref="U366" si="203">M366-T366</f>
        <v>50268.919999999984</v>
      </c>
      <c r="V366" s="184">
        <f>STDEV(D$2:D366)*SQRT(252)</f>
        <v>0.1578636357935907</v>
      </c>
      <c r="W366" s="184">
        <f>STDEV(L$2:L366)*SQRT(252)</f>
        <v>0.34253765890970073</v>
      </c>
      <c r="X366" s="174">
        <f t="shared" si="154"/>
        <v>0.1454153107318655</v>
      </c>
    </row>
    <row r="367" spans="1:24" ht="20.100000000000001" customHeight="1" x14ac:dyDescent="0.25">
      <c r="A367" s="163">
        <f t="shared" si="144"/>
        <v>560</v>
      </c>
      <c r="B367" s="242">
        <v>42793</v>
      </c>
      <c r="C367" s="332">
        <v>2369.75</v>
      </c>
      <c r="D367" s="171">
        <f t="shared" si="179"/>
        <v>1.0180202252316332E-3</v>
      </c>
      <c r="E367" s="244">
        <f t="shared" ref="E367" si="204">(C367-$C$2)/$C$2</f>
        <v>0.12714274842563875</v>
      </c>
      <c r="F367" s="245">
        <v>5861.89</v>
      </c>
      <c r="G367" s="171">
        <f t="shared" si="162"/>
        <v>2.8381776812139918E-3</v>
      </c>
      <c r="H367" s="246">
        <f t="shared" ref="H367" si="205">(F367-F$2)/F$2</f>
        <v>0.15126382151344356</v>
      </c>
      <c r="I367" s="554">
        <v>323797.27</v>
      </c>
      <c r="J367" s="248">
        <v>300000</v>
      </c>
      <c r="K367" s="248">
        <f t="shared" ref="K367" si="206">I367-I366-J367+J366</f>
        <v>1009.3500000000349</v>
      </c>
      <c r="L367" s="171">
        <f t="shared" si="145"/>
        <v>3.126975755474477E-3</v>
      </c>
      <c r="M367" s="587">
        <f t="shared" ref="M367" si="207">I367-J367</f>
        <v>23797.270000000019</v>
      </c>
      <c r="N367" s="250">
        <f t="shared" ref="N367" si="208">M367/J367</f>
        <v>7.9324233333333397E-2</v>
      </c>
      <c r="O367" s="183">
        <f t="shared" si="149"/>
        <v>5.1737814687500043E-2</v>
      </c>
      <c r="P367" s="249" t="b">
        <f t="shared" ref="P367" si="209">L367&gt;D367</f>
        <v>1</v>
      </c>
      <c r="Q367" s="250">
        <f>COUNTIF(P$2:P367, TRUE)/(COUNTIF(P$2:P367,FALSE) + COUNTIF(P$2:P367, TRUE))</f>
        <v>0.48907103825136611</v>
      </c>
      <c r="R367" s="248">
        <v>291059.09999999998</v>
      </c>
      <c r="S367" s="248">
        <f t="shared" ref="S367" si="210">I367-R367</f>
        <v>32738.170000000042</v>
      </c>
      <c r="T367" s="248">
        <v>-27481</v>
      </c>
      <c r="U367" s="248">
        <f t="shared" ref="U367" si="211">M367-T367</f>
        <v>51278.270000000019</v>
      </c>
      <c r="V367" s="250">
        <f>STDEV(D$2:D367)*SQRT(252)</f>
        <v>0.15764754565745331</v>
      </c>
      <c r="W367" s="250">
        <f>STDEV(L$2:L367)*SQRT(252)</f>
        <v>0.34207298681396164</v>
      </c>
      <c r="X367" s="174">
        <f t="shared" si="154"/>
        <v>0.15124788183183244</v>
      </c>
    </row>
    <row r="368" spans="1:24" ht="20.100000000000001" customHeight="1" x14ac:dyDescent="0.25">
      <c r="A368" s="163">
        <f t="shared" si="144"/>
        <v>561</v>
      </c>
      <c r="B368" s="242">
        <v>42794</v>
      </c>
      <c r="C368" s="332">
        <v>2363.64</v>
      </c>
      <c r="D368" s="171">
        <f t="shared" ref="D368" si="212">(C368-C367)/C367</f>
        <v>-2.5783310475789123E-3</v>
      </c>
      <c r="E368" s="244">
        <f t="shared" ref="E368" si="213">(C368-$C$2)/$C$2</f>
        <v>0.1242366012823195</v>
      </c>
      <c r="F368" s="245">
        <v>5825.43</v>
      </c>
      <c r="G368" s="171">
        <f t="shared" ref="G368" si="214">(F368-F367)/F367</f>
        <v>-6.2198369467867934E-3</v>
      </c>
      <c r="H368" s="246">
        <f t="shared" ref="H368" si="215">(F368-F$2)/F$2</f>
        <v>0.14410314826089529</v>
      </c>
      <c r="I368" s="653">
        <v>320573.07</v>
      </c>
      <c r="J368" s="248">
        <v>300000</v>
      </c>
      <c r="K368" s="248">
        <f t="shared" ref="K368" si="216">I368-I367-J368+J367</f>
        <v>-3224.2000000000116</v>
      </c>
      <c r="L368" s="171">
        <f t="shared" si="145"/>
        <v>-9.9574650521297211E-3</v>
      </c>
      <c r="M368" s="414">
        <f t="shared" ref="M368" si="217">I368-J368</f>
        <v>20573.070000000007</v>
      </c>
      <c r="N368" s="250">
        <f t="shared" ref="N368" si="218">M368/J368</f>
        <v>6.8576900000000024E-2</v>
      </c>
      <c r="O368" s="183">
        <f t="shared" si="149"/>
        <v>4.4648329278074883E-2</v>
      </c>
      <c r="P368" s="249" t="b">
        <f t="shared" ref="P368" si="219">L368&gt;D368</f>
        <v>0</v>
      </c>
      <c r="Q368" s="250">
        <f>COUNTIF(P$2:P368, TRUE)/(COUNTIF(P$2:P368,FALSE) + COUNTIF(P$2:P368, TRUE))</f>
        <v>0.4877384196185286</v>
      </c>
      <c r="R368" s="248">
        <v>291060.09999999998</v>
      </c>
      <c r="S368" s="248">
        <f t="shared" ref="S368" si="220">I368-R368</f>
        <v>29512.97000000003</v>
      </c>
      <c r="T368" s="248">
        <v>-28947</v>
      </c>
      <c r="U368" s="248">
        <f t="shared" ref="U368" si="221">M368-T368</f>
        <v>49520.070000000007</v>
      </c>
      <c r="V368" s="250">
        <f>STDEV(D$2:D368)*SQRT(252)</f>
        <v>0.15745054015923535</v>
      </c>
      <c r="W368" s="250">
        <f>STDEV(L$2:L368)*SQRT(252)</f>
        <v>0.34171768375155076</v>
      </c>
      <c r="X368" s="174">
        <f t="shared" si="154"/>
        <v>0.13065852720263929</v>
      </c>
    </row>
    <row r="369" spans="1:24" ht="20.100000000000001" customHeight="1" x14ac:dyDescent="0.25">
      <c r="A369" s="163">
        <f t="shared" si="144"/>
        <v>562</v>
      </c>
      <c r="B369" s="242">
        <v>42795</v>
      </c>
      <c r="C369" s="332">
        <v>2395.96</v>
      </c>
      <c r="D369" s="171">
        <f t="shared" ref="D369:D377" si="222">(C369-C368)/C368</f>
        <v>1.3673825117192197E-2</v>
      </c>
      <c r="E369" s="244">
        <f t="shared" ref="E369" si="223">(C369-$C$2)/$C$2</f>
        <v>0.13960921595860046</v>
      </c>
      <c r="F369" s="245">
        <v>5904.02</v>
      </c>
      <c r="G369" s="171">
        <f t="shared" ref="G369:G382" si="224">(F369-F368)/F368</f>
        <v>1.3490849602518637E-2</v>
      </c>
      <c r="H369" s="246">
        <f t="shared" ref="H369" si="225">(F369-F$2)/F$2</f>
        <v>0.1595380717638511</v>
      </c>
      <c r="I369" s="554">
        <v>325744.14</v>
      </c>
      <c r="J369" s="248">
        <v>300000</v>
      </c>
      <c r="K369" s="248">
        <f t="shared" ref="K369" si="226">I369-I368-J369+J368</f>
        <v>5171.070000000007</v>
      </c>
      <c r="L369" s="171">
        <f t="shared" si="145"/>
        <v>1.613070617566225E-2</v>
      </c>
      <c r="M369" s="587">
        <f t="shared" ref="M369" si="227">I369-J369</f>
        <v>25744.140000000014</v>
      </c>
      <c r="N369" s="250">
        <f t="shared" ref="N369" si="228">M369/J369</f>
        <v>8.5813800000000051E-2</v>
      </c>
      <c r="O369" s="183">
        <f t="shared" si="149"/>
        <v>5.5771335320284728E-2</v>
      </c>
      <c r="P369" s="249" t="b">
        <f t="shared" ref="P369" si="229">L369&gt;D369</f>
        <v>1</v>
      </c>
      <c r="Q369" s="250">
        <f>COUNTIF(P$2:P369, TRUE)/(COUNTIF(P$2:P369,FALSE) + COUNTIF(P$2:P369, TRUE))</f>
        <v>0.4891304347826087</v>
      </c>
      <c r="R369" s="248">
        <v>291563.05</v>
      </c>
      <c r="S369" s="248">
        <f t="shared" ref="S369" si="230">I369-R369</f>
        <v>34181.090000000026</v>
      </c>
      <c r="T369" s="248">
        <v>-28845</v>
      </c>
      <c r="U369" s="248">
        <f t="shared" ref="U369" si="231">M369-T369</f>
        <v>54589.140000000014</v>
      </c>
      <c r="V369" s="250">
        <f>STDEV(D$2:D369)*SQRT(252)</f>
        <v>0.15762134629623176</v>
      </c>
      <c r="W369" s="250">
        <f>STDEV(L$2:L369)*SQRT(252)</f>
        <v>0.34149211977878058</v>
      </c>
      <c r="X369" s="174">
        <f t="shared" si="154"/>
        <v>0.16331660993059965</v>
      </c>
    </row>
    <row r="370" spans="1:24" ht="20.100000000000001" customHeight="1" x14ac:dyDescent="0.25">
      <c r="A370" s="163">
        <f t="shared" si="144"/>
        <v>563</v>
      </c>
      <c r="B370" s="242">
        <v>42796</v>
      </c>
      <c r="C370" s="332">
        <v>2381.92</v>
      </c>
      <c r="D370" s="171">
        <f t="shared" si="222"/>
        <v>-5.8598641045760208E-3</v>
      </c>
      <c r="E370" s="244">
        <f t="shared" ref="E370" si="232">(C370-$C$2)/$C$2</f>
        <v>0.13293126082076065</v>
      </c>
      <c r="F370" s="245">
        <v>5861.22</v>
      </c>
      <c r="G370" s="171">
        <f t="shared" si="224"/>
        <v>-7.2492979359826317E-3</v>
      </c>
      <c r="H370" s="246">
        <f t="shared" ref="H370" si="233">(F370-F$2)/F$2</f>
        <v>0.15113223481352014</v>
      </c>
      <c r="I370" s="554">
        <v>374005.77</v>
      </c>
      <c r="J370" s="248">
        <v>350000</v>
      </c>
      <c r="K370" s="248">
        <f t="shared" ref="K370" si="234">I370-I369-J370+J369</f>
        <v>-1738.3699999999953</v>
      </c>
      <c r="L370" s="171">
        <f t="shared" si="145"/>
        <v>-5.3366117345963471E-3</v>
      </c>
      <c r="M370" s="587">
        <f t="shared" ref="M370" si="235">I370-J370</f>
        <v>24005.770000000019</v>
      </c>
      <c r="N370" s="250">
        <f t="shared" ref="N370" si="236">M370/J370</f>
        <v>6.8587914285714341E-2</v>
      </c>
      <c r="O370" s="183">
        <f t="shared" si="149"/>
        <v>4.4496866239533146E-2</v>
      </c>
      <c r="P370" s="249" t="b">
        <f t="shared" ref="P370" si="237">L370&gt;D370</f>
        <v>1</v>
      </c>
      <c r="Q370" s="250">
        <f>COUNTIF(P$2:P370, TRUE)/(COUNTIF(P$2:P370,FALSE) + COUNTIF(P$2:P370, TRUE))</f>
        <v>0.49051490514905149</v>
      </c>
      <c r="R370" s="248">
        <v>304393.15000000002</v>
      </c>
      <c r="S370" s="248">
        <f t="shared" ref="S370" si="238">I370-R370</f>
        <v>69612.62</v>
      </c>
      <c r="T370" s="248">
        <v>-27836</v>
      </c>
      <c r="U370" s="248">
        <f t="shared" ref="U370" si="239">M370-T370</f>
        <v>51841.770000000019</v>
      </c>
      <c r="V370" s="250">
        <f>STDEV(D$2:D370)*SQRT(252)</f>
        <v>0.15749181284138711</v>
      </c>
      <c r="W370" s="250">
        <f>STDEV(L$2:L370)*SQRT(252)</f>
        <v>0.34106282769709534</v>
      </c>
      <c r="X370" s="174">
        <f t="shared" si="154"/>
        <v>0.1304653061724208</v>
      </c>
    </row>
    <row r="371" spans="1:24" ht="20.100000000000001" customHeight="1" x14ac:dyDescent="0.25">
      <c r="A371" s="163">
        <f t="shared" si="144"/>
        <v>564</v>
      </c>
      <c r="B371" s="242">
        <v>42797</v>
      </c>
      <c r="C371" s="332">
        <v>2383.12</v>
      </c>
      <c r="D371" s="171">
        <f t="shared" si="222"/>
        <v>5.0379525760723201E-4</v>
      </c>
      <c r="E371" s="244">
        <f t="shared" ref="E371" si="240">(C371-$C$2)/$C$2</f>
        <v>0.13350202621715712</v>
      </c>
      <c r="F371" s="245">
        <v>5870.75</v>
      </c>
      <c r="G371" s="171">
        <f t="shared" si="224"/>
        <v>1.6259413569188232E-3</v>
      </c>
      <c r="H371" s="246">
        <f t="shared" ref="H371" si="241">(F371-F$2)/F$2</f>
        <v>0.15300390832138583</v>
      </c>
      <c r="I371" s="554">
        <v>372756.96</v>
      </c>
      <c r="J371" s="248">
        <v>350000</v>
      </c>
      <c r="K371" s="248">
        <f t="shared" ref="K371" si="242">I371-I370-J371+J370</f>
        <v>-1248.8099999999977</v>
      </c>
      <c r="L371" s="171">
        <f t="shared" si="145"/>
        <v>-3.3390126574785132E-3</v>
      </c>
      <c r="M371" s="587">
        <f t="shared" ref="M371" si="243">I371-J371</f>
        <v>22756.960000000021</v>
      </c>
      <c r="N371" s="250">
        <f t="shared" ref="N371" si="244">M371/J371</f>
        <v>6.5019885714285769E-2</v>
      </c>
      <c r="O371" s="183">
        <f t="shared" si="149"/>
        <v>4.2107293009118578E-2</v>
      </c>
      <c r="P371" s="249" t="b">
        <f t="shared" ref="P371" si="245">L371&gt;D371</f>
        <v>0</v>
      </c>
      <c r="Q371" s="250">
        <f>COUNTIF(P$2:P371, TRUE)/(COUNTIF(P$2:P371,FALSE) + COUNTIF(P$2:P371, TRUE))</f>
        <v>0.48918918918918919</v>
      </c>
      <c r="R371" s="248">
        <v>303942.95</v>
      </c>
      <c r="S371" s="248">
        <f t="shared" ref="S371" si="246">I371-R371</f>
        <v>68814.010000000009</v>
      </c>
      <c r="T371" s="248">
        <v>-28592</v>
      </c>
      <c r="U371" s="248">
        <f t="shared" ref="U371" si="247">M371-T371</f>
        <v>51348.960000000021</v>
      </c>
      <c r="V371" s="250">
        <f>STDEV(D$2:D371)*SQRT(252)</f>
        <v>0.15727771285381495</v>
      </c>
      <c r="W371" s="250">
        <f>STDEV(L$2:L371)*SQRT(252)</f>
        <v>0.34061512766334867</v>
      </c>
      <c r="X371" s="174">
        <f t="shared" si="154"/>
        <v>0.12362132386185695</v>
      </c>
    </row>
    <row r="372" spans="1:24" ht="20.100000000000001" customHeight="1" x14ac:dyDescent="0.25">
      <c r="A372" s="163">
        <f t="shared" si="144"/>
        <v>567</v>
      </c>
      <c r="B372" s="172">
        <v>42800</v>
      </c>
      <c r="C372" s="215">
        <v>2375.31</v>
      </c>
      <c r="D372" s="171">
        <f t="shared" si="222"/>
        <v>-3.2772164221692344E-3</v>
      </c>
      <c r="E372" s="209">
        <f t="shared" ref="E372" si="248">(C372-$C$2)/$C$2</f>
        <v>0.12978729476227616</v>
      </c>
      <c r="F372" s="219">
        <v>5849.17</v>
      </c>
      <c r="G372" s="171">
        <f t="shared" si="224"/>
        <v>-3.6758506153387431E-3</v>
      </c>
      <c r="H372" s="203">
        <f t="shared" ref="H372" si="249">(F372-F$2)/F$2</f>
        <v>0.14876563819549468</v>
      </c>
      <c r="I372" s="221">
        <v>373390.96</v>
      </c>
      <c r="J372" s="173">
        <v>350000</v>
      </c>
      <c r="K372" s="173">
        <f t="shared" ref="K372" si="250">I372-I371-J372+J371</f>
        <v>634</v>
      </c>
      <c r="L372" s="171">
        <f t="shared" si="145"/>
        <v>1.7008401399131487E-3</v>
      </c>
      <c r="M372" s="182">
        <f t="shared" ref="M372" si="251">I372-J372</f>
        <v>23390.960000000021</v>
      </c>
      <c r="N372" s="184">
        <f t="shared" ref="N372" si="252">M372/J372</f>
        <v>6.6831314285714344E-2</v>
      </c>
      <c r="O372" s="183">
        <f t="shared" si="149"/>
        <v>4.3051388964474718E-2</v>
      </c>
      <c r="P372" s="182" t="b">
        <f t="shared" ref="P372" si="253">L372&gt;D372</f>
        <v>1</v>
      </c>
      <c r="Q372" s="184">
        <f>COUNTIF(P$2:P372, TRUE)/(COUNTIF(P$2:P372,FALSE) + COUNTIF(P$2:P372, TRUE))</f>
        <v>0.49056603773584906</v>
      </c>
      <c r="R372" s="173">
        <v>304576.95</v>
      </c>
      <c r="S372" s="173">
        <f t="shared" ref="S372" si="254">I372-R372</f>
        <v>68814.010000000009</v>
      </c>
      <c r="T372" s="173">
        <v>-29562</v>
      </c>
      <c r="U372" s="173">
        <f t="shared" ref="U372" si="255">M372-T372</f>
        <v>52952.960000000021</v>
      </c>
      <c r="V372" s="184">
        <f>STDEV(D$2:D372)*SQRT(252)</f>
        <v>0.15709358659899947</v>
      </c>
      <c r="W372" s="184">
        <f>STDEV(L$2:L372)*SQRT(252)</f>
        <v>0.34015438804580067</v>
      </c>
      <c r="X372" s="174">
        <f t="shared" si="154"/>
        <v>0.12656426163368498</v>
      </c>
    </row>
    <row r="373" spans="1:24" ht="20.100000000000001" customHeight="1" x14ac:dyDescent="0.25">
      <c r="A373" s="163">
        <f t="shared" si="144"/>
        <v>568</v>
      </c>
      <c r="B373" s="172">
        <v>42801</v>
      </c>
      <c r="C373" s="215">
        <v>2368.39</v>
      </c>
      <c r="D373" s="171">
        <f t="shared" si="222"/>
        <v>-2.9133039476952789E-3</v>
      </c>
      <c r="E373" s="209">
        <f t="shared" ref="E373" si="256">(C373-$C$2)/$C$2</f>
        <v>0.12649588097638925</v>
      </c>
      <c r="F373" s="219">
        <v>5833.92</v>
      </c>
      <c r="G373" s="171">
        <f t="shared" si="224"/>
        <v>-2.6072075183316609E-3</v>
      </c>
      <c r="H373" s="203">
        <f t="shared" ref="H373" si="257">(F373-F$2)/F$2</f>
        <v>0.14577056778679032</v>
      </c>
      <c r="I373" s="221">
        <v>368594.91</v>
      </c>
      <c r="J373" s="173">
        <v>350000</v>
      </c>
      <c r="K373" s="173">
        <f t="shared" ref="K373" si="258">I373-I372-J373+J372</f>
        <v>-4796.0500000000466</v>
      </c>
      <c r="L373" s="171">
        <f t="shared" si="145"/>
        <v>-1.2844579847353686E-2</v>
      </c>
      <c r="M373" s="182">
        <f t="shared" ref="M373" si="259">I373-J373</f>
        <v>18594.909999999974</v>
      </c>
      <c r="N373" s="184">
        <f t="shared" ref="N373" si="260">M373/J373</f>
        <v>5.3128314285714212E-2</v>
      </c>
      <c r="O373" s="183">
        <f t="shared" si="149"/>
        <v>3.416393801559351E-2</v>
      </c>
      <c r="P373" s="182" t="b">
        <f t="shared" ref="P373" si="261">L373&gt;D373</f>
        <v>0</v>
      </c>
      <c r="Q373" s="184">
        <f>COUNTIF(P$2:P373, TRUE)/(COUNTIF(P$2:P373,FALSE) + COUNTIF(P$2:P373, TRUE))</f>
        <v>0.489247311827957</v>
      </c>
      <c r="R373" s="173">
        <v>299780.90000000002</v>
      </c>
      <c r="S373" s="173">
        <f t="shared" ref="S373" si="262">I373-R373</f>
        <v>68814.009999999951</v>
      </c>
      <c r="T373" s="173">
        <v>-31802</v>
      </c>
      <c r="U373" s="173">
        <f t="shared" ref="U373" si="263">M373-T373</f>
        <v>50396.909999999974</v>
      </c>
      <c r="V373" s="184">
        <f>STDEV(D$2:D373)*SQRT(252)</f>
        <v>0.15690461195475305</v>
      </c>
      <c r="W373" s="184">
        <f>STDEV(L$2:L373)*SQRT(252)</f>
        <v>0.3398764241842348</v>
      </c>
      <c r="X373" s="174">
        <f t="shared" si="154"/>
        <v>0.10051870498988912</v>
      </c>
    </row>
    <row r="374" spans="1:24" ht="20.100000000000001" customHeight="1" x14ac:dyDescent="0.25">
      <c r="A374" s="163">
        <f t="shared" si="144"/>
        <v>569</v>
      </c>
      <c r="B374" s="172">
        <v>42802</v>
      </c>
      <c r="C374" s="215">
        <v>2369.39</v>
      </c>
      <c r="D374" s="171">
        <f t="shared" si="222"/>
        <v>4.2222775809727285E-4</v>
      </c>
      <c r="E374" s="209">
        <f t="shared" ref="E374" si="264">(C374-$C$2)/$C$2</f>
        <v>0.12697151880671972</v>
      </c>
      <c r="F374" s="219">
        <v>5834.92</v>
      </c>
      <c r="G374" s="171">
        <f t="shared" si="224"/>
        <v>1.7141133234600405E-4</v>
      </c>
      <c r="H374" s="203">
        <f t="shared" ref="H374" si="265">(F374-F$2)/F$2</f>
        <v>0.1459669658463775</v>
      </c>
      <c r="I374" s="221">
        <v>359694.56</v>
      </c>
      <c r="J374" s="173">
        <v>350000</v>
      </c>
      <c r="K374" s="173">
        <f t="shared" ref="K374" si="266">I374-I373-J374+J373</f>
        <v>-8900.3499999999767</v>
      </c>
      <c r="L374" s="171">
        <f t="shared" si="145"/>
        <v>-2.4146698064821288E-2</v>
      </c>
      <c r="M374" s="182">
        <f t="shared" ref="M374" si="267">I374-J374</f>
        <v>9694.5599999999977</v>
      </c>
      <c r="N374" s="184">
        <f t="shared" ref="N374" si="268">M374/J374</f>
        <v>2.7698742857142852E-2</v>
      </c>
      <c r="O374" s="183">
        <f t="shared" si="149"/>
        <v>1.7780256289229218E-2</v>
      </c>
      <c r="P374" s="182" t="b">
        <f t="shared" ref="P374" si="269">L374&gt;D374</f>
        <v>0</v>
      </c>
      <c r="Q374" s="184">
        <f>COUNTIF(P$2:P374, TRUE)/(COUNTIF(P$2:P374,FALSE) + COUNTIF(P$2:P374, TRUE))</f>
        <v>0.48793565683646112</v>
      </c>
      <c r="R374" s="173">
        <v>301406.55</v>
      </c>
      <c r="S374" s="173">
        <f t="shared" ref="S374" si="270">I374-R374</f>
        <v>58288.010000000009</v>
      </c>
      <c r="T374" s="173">
        <v>-32022</v>
      </c>
      <c r="U374" s="173">
        <f t="shared" ref="U374" si="271">M374-T374</f>
        <v>41716.559999999998</v>
      </c>
      <c r="V374" s="184">
        <f>STDEV(D$2:D374)*SQRT(252)</f>
        <v>0.1566930134881471</v>
      </c>
      <c r="W374" s="184">
        <f>STDEV(L$2:L374)*SQRT(252)</f>
        <v>0.34002930219024635</v>
      </c>
      <c r="X374" s="174">
        <f t="shared" si="154"/>
        <v>5.2290364902966999E-2</v>
      </c>
    </row>
    <row r="375" spans="1:24" ht="20.100000000000001" customHeight="1" x14ac:dyDescent="0.25">
      <c r="A375" s="163">
        <f t="shared" si="144"/>
        <v>570</v>
      </c>
      <c r="B375" s="172">
        <v>42803</v>
      </c>
      <c r="C375" s="215">
        <v>2364.87</v>
      </c>
      <c r="D375" s="171">
        <f t="shared" si="222"/>
        <v>-1.9076639979066267E-3</v>
      </c>
      <c r="E375" s="209">
        <f t="shared" ref="E375" si="272">(C375-$C$2)/$C$2</f>
        <v>0.12482163581362599</v>
      </c>
      <c r="F375" s="219">
        <v>5838.8</v>
      </c>
      <c r="G375" s="171">
        <f t="shared" si="224"/>
        <v>6.6496198748228067E-4</v>
      </c>
      <c r="H375" s="203">
        <f t="shared" ref="H375" si="273">(F375-F$2)/F$2</f>
        <v>0.14672899031757575</v>
      </c>
      <c r="I375" s="221">
        <v>368952.54</v>
      </c>
      <c r="J375" s="173">
        <v>350000</v>
      </c>
      <c r="K375" s="173">
        <f t="shared" ref="K375" si="274">I375-I374-J375+J374</f>
        <v>9257.9799999999814</v>
      </c>
      <c r="L375" s="171">
        <f t="shared" si="145"/>
        <v>2.573844875496583E-2</v>
      </c>
      <c r="M375" s="182">
        <f t="shared" ref="M375" si="275">I375-J375</f>
        <v>18952.539999999979</v>
      </c>
      <c r="N375" s="184">
        <f t="shared" ref="N375" si="276">M375/J375</f>
        <v>5.4150114285714229E-2</v>
      </c>
      <c r="O375" s="183">
        <f t="shared" si="149"/>
        <v>3.4698823233082668E-2</v>
      </c>
      <c r="P375" s="182" t="b">
        <f t="shared" ref="P375" si="277">L375&gt;D375</f>
        <v>1</v>
      </c>
      <c r="Q375" s="184">
        <f>COUNTIF(P$2:P375, TRUE)/(COUNTIF(P$2:P375,FALSE) + COUNTIF(P$2:P375, TRUE))</f>
        <v>0.48930481283422461</v>
      </c>
      <c r="R375" s="173">
        <v>279646.25</v>
      </c>
      <c r="S375" s="173">
        <f t="shared" ref="S375" si="278">I375-R375</f>
        <v>89306.289999999979</v>
      </c>
      <c r="T375" s="173">
        <v>-32329</v>
      </c>
      <c r="U375" s="173">
        <f t="shared" ref="U375" si="279">M375-T375</f>
        <v>51281.539999999979</v>
      </c>
      <c r="V375" s="184">
        <f>STDEV(D$2:D375)*SQRT(252)</f>
        <v>0.15649345994634845</v>
      </c>
      <c r="W375" s="184">
        <f>STDEV(L$2:L375)*SQRT(252)</f>
        <v>0.34020267972894408</v>
      </c>
      <c r="X375" s="174">
        <f t="shared" si="154"/>
        <v>0.10199456177337844</v>
      </c>
    </row>
    <row r="376" spans="1:24" ht="20.100000000000001" customHeight="1" x14ac:dyDescent="0.25">
      <c r="A376" s="163">
        <f t="shared" si="144"/>
        <v>571</v>
      </c>
      <c r="B376" s="172">
        <v>42804</v>
      </c>
      <c r="C376" s="215">
        <v>2372.6</v>
      </c>
      <c r="D376" s="171">
        <f t="shared" si="222"/>
        <v>3.2686786165835834E-3</v>
      </c>
      <c r="E376" s="209">
        <f t="shared" ref="E376" si="280">(C376-$C$2)/$C$2</f>
        <v>0.12849831624208055</v>
      </c>
      <c r="F376" s="219">
        <v>5861.72</v>
      </c>
      <c r="G376" s="171">
        <f t="shared" si="224"/>
        <v>3.9254641364664094E-3</v>
      </c>
      <c r="H376" s="203">
        <f t="shared" ref="H376" si="281">(F376-F$2)/F$2</f>
        <v>0.15123043384331372</v>
      </c>
      <c r="I376" s="221">
        <v>320075.84000000003</v>
      </c>
      <c r="J376" s="173">
        <v>300000</v>
      </c>
      <c r="K376" s="173">
        <f t="shared" ref="K376" si="282">I376-I375-J376+J375</f>
        <v>1123.3000000000466</v>
      </c>
      <c r="L376" s="171">
        <f t="shared" si="145"/>
        <v>3.0445650272526831E-3</v>
      </c>
      <c r="M376" s="182">
        <f t="shared" ref="M376" si="283">I376-J376</f>
        <v>20075.840000000026</v>
      </c>
      <c r="N376" s="184">
        <f t="shared" ref="N376" si="284">M376/J376</f>
        <v>6.6919466666666746E-2</v>
      </c>
      <c r="O376" s="183">
        <f t="shared" si="149"/>
        <v>4.2806191243432629E-2</v>
      </c>
      <c r="P376" s="182" t="b">
        <f t="shared" ref="P376" si="285">L376&gt;D376</f>
        <v>0</v>
      </c>
      <c r="Q376" s="184">
        <f>COUNTIF(P$2:P376, TRUE)/(COUNTIF(P$2:P376,FALSE) + COUNTIF(P$2:P376, TRUE))</f>
        <v>0.48799999999999999</v>
      </c>
      <c r="R376" s="173">
        <v>269279.3</v>
      </c>
      <c r="S376" s="173">
        <f t="shared" ref="S376" si="286">I376-R376</f>
        <v>50796.540000000037</v>
      </c>
      <c r="T376" s="173">
        <v>-32569</v>
      </c>
      <c r="U376" s="173">
        <f t="shared" ref="U376" si="287">M376-T376</f>
        <v>52644.840000000026</v>
      </c>
      <c r="V376" s="184">
        <f>STDEV(D$2:D376)*SQRT(252)</f>
        <v>0.15630173237062933</v>
      </c>
      <c r="W376" s="184">
        <f>STDEV(L$2:L376)*SQRT(252)</f>
        <v>0.33975219328051109</v>
      </c>
      <c r="X376" s="174">
        <f t="shared" si="154"/>
        <v>0.12599239118992342</v>
      </c>
    </row>
    <row r="377" spans="1:24" ht="20.100000000000001" customHeight="1" x14ac:dyDescent="0.25">
      <c r="A377" s="163">
        <f t="shared" si="144"/>
        <v>574</v>
      </c>
      <c r="B377" s="242">
        <v>42807</v>
      </c>
      <c r="C377" s="332">
        <v>2373.4699999999998</v>
      </c>
      <c r="D377" s="171">
        <f t="shared" si="222"/>
        <v>3.6668633566546864E-4</v>
      </c>
      <c r="E377" s="244">
        <f t="shared" ref="E377" si="288">(C377-$C$2)/$C$2</f>
        <v>0.12891212115446801</v>
      </c>
      <c r="F377" s="245">
        <v>5875.78</v>
      </c>
      <c r="G377" s="171">
        <f t="shared" si="224"/>
        <v>2.3986133762785478E-3</v>
      </c>
      <c r="H377" s="246">
        <f t="shared" ref="H377" si="289">(F377-F$2)/F$2</f>
        <v>0.15399179056110926</v>
      </c>
      <c r="I377" s="554">
        <v>317453.64</v>
      </c>
      <c r="J377" s="248">
        <v>300000</v>
      </c>
      <c r="K377" s="248">
        <f t="shared" ref="K377" si="290">I377-I376-J377+J376</f>
        <v>-2622.2000000000116</v>
      </c>
      <c r="L377" s="171">
        <f t="shared" si="145"/>
        <v>-8.1924333932858265E-3</v>
      </c>
      <c r="M377" s="587">
        <f t="shared" ref="M377" si="291">I377-J377</f>
        <v>17453.640000000014</v>
      </c>
      <c r="N377" s="250">
        <f t="shared" ref="N377" si="292">M377/J377</f>
        <v>5.8178800000000044E-2</v>
      </c>
      <c r="O377" s="183">
        <f t="shared" si="149"/>
        <v>3.7020569163763097E-2</v>
      </c>
      <c r="P377" s="249" t="b">
        <f t="shared" ref="P377" si="293">L377&gt;D377</f>
        <v>0</v>
      </c>
      <c r="Q377" s="250">
        <f>COUNTIF(P$2:P377, TRUE)/(COUNTIF(P$2:P377,FALSE) + COUNTIF(P$2:P377, TRUE))</f>
        <v>0.48670212765957449</v>
      </c>
      <c r="R377" s="248">
        <v>266657.09999999998</v>
      </c>
      <c r="S377" s="248">
        <f t="shared" ref="S377" si="294">I377-R377</f>
        <v>50796.540000000037</v>
      </c>
      <c r="T377" s="248">
        <v>-33037</v>
      </c>
      <c r="U377" s="248">
        <f t="shared" ref="U377" si="295">M377-T377</f>
        <v>50490.640000000014</v>
      </c>
      <c r="V377" s="250">
        <f>STDEV(D$2:D377)*SQRT(252)</f>
        <v>0.15609263301968265</v>
      </c>
      <c r="W377" s="250">
        <f>STDEV(L$2:L377)*SQRT(252)</f>
        <v>0.33937458902110801</v>
      </c>
      <c r="X377" s="174">
        <f t="shared" si="154"/>
        <v>0.10908468212232748</v>
      </c>
    </row>
    <row r="378" spans="1:24" ht="20.100000000000001" customHeight="1" x14ac:dyDescent="0.25">
      <c r="A378" s="163">
        <f t="shared" si="144"/>
        <v>575</v>
      </c>
      <c r="B378" s="242">
        <v>42808</v>
      </c>
      <c r="C378" s="332">
        <v>2365.4499999999998</v>
      </c>
      <c r="D378" s="171">
        <f t="shared" ref="D378:D382" si="296">(C378-C377)/C377</f>
        <v>-3.3790189048102494E-3</v>
      </c>
      <c r="E378" s="244">
        <f t="shared" ref="E378" si="297">(C378-$C$2)/$C$2</f>
        <v>0.12509750575521764</v>
      </c>
      <c r="F378" s="245">
        <v>5856.81</v>
      </c>
      <c r="G378" s="171">
        <f t="shared" si="224"/>
        <v>-3.2285075343187366E-3</v>
      </c>
      <c r="H378" s="246">
        <f t="shared" ref="H378" si="298">(F378-F$2)/F$2</f>
        <v>0.15026611937074075</v>
      </c>
      <c r="I378" s="554">
        <v>413367.17</v>
      </c>
      <c r="J378" s="248">
        <v>400000</v>
      </c>
      <c r="K378" s="248">
        <f t="shared" ref="K378" si="299">I378-I377-J378+J377</f>
        <v>-4086.4700000000303</v>
      </c>
      <c r="L378" s="171">
        <f t="shared" si="145"/>
        <v>-1.2872651263346769E-2</v>
      </c>
      <c r="M378" s="587">
        <f t="shared" ref="M378" si="300">I378-J378</f>
        <v>13367.169999999984</v>
      </c>
      <c r="N378" s="250">
        <f t="shared" ref="N378" si="301">M378/J378</f>
        <v>3.3417924999999959E-2</v>
      </c>
      <c r="O378" s="183">
        <f t="shared" si="149"/>
        <v>2.1227647141304321E-2</v>
      </c>
      <c r="P378" s="249" t="b">
        <f t="shared" ref="P378" si="302">L378&gt;D378</f>
        <v>0</v>
      </c>
      <c r="Q378" s="250">
        <f>COUNTIF(P$2:P378, TRUE)/(COUNTIF(P$2:P378,FALSE) + COUNTIF(P$2:P378, TRUE))</f>
        <v>0.48541114058355439</v>
      </c>
      <c r="R378" s="248">
        <v>277189.8</v>
      </c>
      <c r="S378" s="248">
        <f t="shared" ref="S378" si="303">I378-R378</f>
        <v>136177.37</v>
      </c>
      <c r="T378" s="248">
        <v>-33401</v>
      </c>
      <c r="U378" s="248">
        <f t="shared" ref="U378" si="304">M378-T378</f>
        <v>46768.169999999984</v>
      </c>
      <c r="V378" s="250">
        <f>STDEV(D$2:D378)*SQRT(252)</f>
        <v>0.15591460635897464</v>
      </c>
      <c r="W378" s="250">
        <f>STDEV(L$2:L378)*SQRT(252)</f>
        <v>0.33910114383939616</v>
      </c>
      <c r="X378" s="174">
        <f t="shared" si="154"/>
        <v>6.2599750920799252E-2</v>
      </c>
    </row>
    <row r="379" spans="1:24" ht="20.100000000000001" customHeight="1" x14ac:dyDescent="0.25">
      <c r="A379" s="163">
        <f t="shared" si="144"/>
        <v>576</v>
      </c>
      <c r="B379" s="242">
        <v>42809</v>
      </c>
      <c r="C379" s="332">
        <v>2385.2600000000002</v>
      </c>
      <c r="D379" s="171">
        <f t="shared" si="296"/>
        <v>8.3747278530513867E-3</v>
      </c>
      <c r="E379" s="244">
        <f t="shared" ref="E379" si="305">(C379-$C$2)/$C$2</f>
        <v>0.13451989117406449</v>
      </c>
      <c r="F379" s="245">
        <v>5900.04</v>
      </c>
      <c r="G379" s="171">
        <f t="shared" si="224"/>
        <v>7.3811511727373026E-3</v>
      </c>
      <c r="H379" s="246">
        <f t="shared" ref="H379" si="306">(F379-F$2)/F$2</f>
        <v>0.15875640748669406</v>
      </c>
      <c r="I379" s="554">
        <v>417096.77</v>
      </c>
      <c r="J379" s="248">
        <v>400000</v>
      </c>
      <c r="K379" s="248">
        <f t="shared" ref="K379" si="307">I379-I378-J379+J378</f>
        <v>3729.6000000000349</v>
      </c>
      <c r="L379" s="171">
        <f t="shared" si="145"/>
        <v>9.0224871994552328E-3</v>
      </c>
      <c r="M379" s="587">
        <f t="shared" ref="M379" si="308">I379-J379</f>
        <v>17096.770000000019</v>
      </c>
      <c r="N379" s="250">
        <f t="shared" ref="N379:N384" si="309">M379/J379</f>
        <v>4.2741925000000049E-2</v>
      </c>
      <c r="O379" s="183">
        <f t="shared" si="149"/>
        <v>2.7103277962239613E-2</v>
      </c>
      <c r="P379" s="249" t="b">
        <f t="shared" ref="P379" si="310">L379&gt;D379</f>
        <v>1</v>
      </c>
      <c r="Q379" s="250">
        <f>COUNTIF(P$2:P379, TRUE)/(COUNTIF(P$2:P379,FALSE) + COUNTIF(P$2:P379, TRUE))</f>
        <v>0.48677248677248675</v>
      </c>
      <c r="R379" s="248">
        <v>272622.8</v>
      </c>
      <c r="S379" s="248">
        <f t="shared" ref="S379" si="311">I379-R379</f>
        <v>144473.97000000003</v>
      </c>
      <c r="T379" s="248">
        <v>-33400</v>
      </c>
      <c r="U379" s="248">
        <f t="shared" ref="U379" si="312">M379-T379</f>
        <v>50496.770000000019</v>
      </c>
      <c r="V379" s="250">
        <f>STDEV(D$2:D379)*SQRT(252)</f>
        <v>0.15584490061103998</v>
      </c>
      <c r="W379" s="250">
        <f>STDEV(L$2:L379)*SQRT(252)</f>
        <v>0.33872055138052226</v>
      </c>
      <c r="X379" s="174">
        <f t="shared" si="154"/>
        <v>8.0016632742757623E-2</v>
      </c>
    </row>
    <row r="380" spans="1:24" ht="20.100000000000001" customHeight="1" x14ac:dyDescent="0.25">
      <c r="A380" s="163">
        <f t="shared" si="144"/>
        <v>577</v>
      </c>
      <c r="B380" s="242">
        <v>42810</v>
      </c>
      <c r="C380" s="332">
        <v>2381.38</v>
      </c>
      <c r="D380" s="171">
        <f t="shared" si="296"/>
        <v>-1.6266570520614562E-3</v>
      </c>
      <c r="E380" s="244">
        <f t="shared" ref="E380" si="313">(C380-$C$2)/$C$2</f>
        <v>0.1326744163923822</v>
      </c>
      <c r="F380" s="245">
        <v>5900.76</v>
      </c>
      <c r="G380" s="171">
        <f t="shared" si="224"/>
        <v>1.2203307096227393E-4</v>
      </c>
      <c r="H380" s="246">
        <f t="shared" ref="H380" si="314">(F380-F$2)/F$2</f>
        <v>0.15889781408959688</v>
      </c>
      <c r="I380" s="554">
        <v>418538.3</v>
      </c>
      <c r="J380" s="248">
        <v>400000</v>
      </c>
      <c r="K380" s="248">
        <f t="shared" ref="K380" si="315">I380-I379-J380+J379</f>
        <v>1441.5299999999697</v>
      </c>
      <c r="L380" s="171">
        <f t="shared" si="145"/>
        <v>3.4561044431007455E-3</v>
      </c>
      <c r="M380" s="587">
        <f t="shared" ref="M380" si="316">I380-J380</f>
        <v>18538.299999999988</v>
      </c>
      <c r="N380" s="250">
        <f t="shared" si="309"/>
        <v>4.634574999999997E-2</v>
      </c>
      <c r="O380" s="183">
        <f t="shared" si="149"/>
        <v>2.9337582647313672E-2</v>
      </c>
      <c r="P380" s="249" t="b">
        <f t="shared" ref="P380" si="317">L380&gt;D380</f>
        <v>1</v>
      </c>
      <c r="Q380" s="250">
        <f>COUNTIF(P$2:P380, TRUE)/(COUNTIF(P$2:P380,FALSE) + COUNTIF(P$2:P380, TRUE))</f>
        <v>0.48812664907651715</v>
      </c>
      <c r="R380" s="248">
        <v>275894.34999999998</v>
      </c>
      <c r="S380" s="248">
        <f t="shared" ref="S380" si="318">I380-R380</f>
        <v>142643.95000000001</v>
      </c>
      <c r="T380" s="248">
        <v>-31087</v>
      </c>
      <c r="U380" s="248">
        <f t="shared" ref="U380" si="319">M380-T380</f>
        <v>49625.299999999988</v>
      </c>
      <c r="V380" s="250">
        <f>STDEV(D$2:D380)*SQRT(252)</f>
        <v>0.15564672021947359</v>
      </c>
      <c r="W380" s="250">
        <f>STDEV(L$2:L380)*SQRT(252)</f>
        <v>0.33827914909370027</v>
      </c>
      <c r="X380" s="174">
        <f t="shared" si="154"/>
        <v>8.6725956139813473E-2</v>
      </c>
    </row>
    <row r="381" spans="1:24" ht="20.100000000000001" customHeight="1" x14ac:dyDescent="0.25">
      <c r="A381" s="163">
        <f t="shared" si="144"/>
        <v>578</v>
      </c>
      <c r="B381" s="242">
        <v>42811</v>
      </c>
      <c r="C381" s="332">
        <v>2378.25</v>
      </c>
      <c r="D381" s="171">
        <f t="shared" si="296"/>
        <v>-1.3143639402363792E-3</v>
      </c>
      <c r="E381" s="244">
        <f t="shared" ref="E381" si="320">(C381-$C$2)/$C$2</f>
        <v>0.13118566998344777</v>
      </c>
      <c r="F381" s="245">
        <v>5900.99</v>
      </c>
      <c r="G381" s="171">
        <f t="shared" si="224"/>
        <v>3.8978029948610593E-5</v>
      </c>
      <c r="H381" s="246">
        <f t="shared" ref="H381" si="321">(F381-F$2)/F$2</f>
        <v>0.15894298564330184</v>
      </c>
      <c r="I381" s="554">
        <v>417260.19</v>
      </c>
      <c r="J381" s="248">
        <v>400000</v>
      </c>
      <c r="K381" s="248">
        <f t="shared" ref="K381" si="322">I381-I380-J381+J380</f>
        <v>-1278.109999999986</v>
      </c>
      <c r="L381" s="171">
        <f t="shared" si="145"/>
        <v>-3.0537468136129621E-3</v>
      </c>
      <c r="M381" s="587">
        <f t="shared" ref="M381" si="323">I381-J381</f>
        <v>17260.190000000002</v>
      </c>
      <c r="N381" s="250">
        <f t="shared" si="309"/>
        <v>4.3150475000000008E-2</v>
      </c>
      <c r="O381" s="183">
        <f t="shared" si="149"/>
        <v>2.7267666079152254E-2</v>
      </c>
      <c r="P381" s="249" t="b">
        <f t="shared" ref="P381" si="324">L381&gt;D381</f>
        <v>0</v>
      </c>
      <c r="Q381" s="250">
        <f>COUNTIF(P$2:P381, TRUE)/(COUNTIF(P$2:P381,FALSE) + COUNTIF(P$2:P381, TRUE))</f>
        <v>0.48684210526315791</v>
      </c>
      <c r="R381" s="248">
        <v>272622.8</v>
      </c>
      <c r="S381" s="248">
        <f t="shared" ref="S381" si="325">I381-R381</f>
        <v>144637.39000000001</v>
      </c>
      <c r="T381" s="248">
        <v>-31412</v>
      </c>
      <c r="U381" s="248">
        <f t="shared" ref="U381" si="326">M381-T381</f>
        <v>48672.19</v>
      </c>
      <c r="V381" s="250">
        <f>STDEV(D$2:D381)*SQRT(252)</f>
        <v>0.15544682366475293</v>
      </c>
      <c r="W381" s="250">
        <f>STDEV(L$2:L381)*SQRT(252)</f>
        <v>0.33784447155709396</v>
      </c>
      <c r="X381" s="174">
        <f t="shared" si="154"/>
        <v>8.0710706774268351E-2</v>
      </c>
    </row>
    <row r="382" spans="1:24" ht="20.100000000000001" customHeight="1" x14ac:dyDescent="0.25">
      <c r="A382" s="163">
        <f t="shared" si="144"/>
        <v>581</v>
      </c>
      <c r="B382" s="172">
        <v>42814</v>
      </c>
      <c r="C382" s="215">
        <v>2373.4699999999998</v>
      </c>
      <c r="D382" s="171">
        <f t="shared" si="296"/>
        <v>-2.0098812151793126E-3</v>
      </c>
      <c r="E382" s="209">
        <f t="shared" ref="E382" si="327">(C382-$C$2)/$C$2</f>
        <v>0.12891212115446801</v>
      </c>
      <c r="F382" s="219">
        <v>5901.52</v>
      </c>
      <c r="G382" s="171">
        <f t="shared" si="224"/>
        <v>8.9815437748692146E-5</v>
      </c>
      <c r="H382" s="203">
        <f t="shared" ref="H382" si="328">(F382-F$2)/F$2</f>
        <v>0.15904707661488318</v>
      </c>
      <c r="I382" s="221">
        <v>416415.39</v>
      </c>
      <c r="J382" s="173">
        <v>400000</v>
      </c>
      <c r="K382" s="173">
        <f t="shared" ref="K382" si="329">I382-I381-J382+J381</f>
        <v>-844.79999999998836</v>
      </c>
      <c r="L382" s="171">
        <f t="shared" si="145"/>
        <v>-2.0246359951089231E-3</v>
      </c>
      <c r="M382" s="182">
        <f t="shared" ref="M382" si="330">I382-J382</f>
        <v>16415.390000000014</v>
      </c>
      <c r="N382" s="184">
        <f t="shared" si="309"/>
        <v>4.1038475000000033E-2</v>
      </c>
      <c r="O382" s="183">
        <f t="shared" si="149"/>
        <v>2.579914456755596E-2</v>
      </c>
      <c r="P382" s="182" t="b">
        <f t="shared" ref="P382" si="331">L382&gt;D382</f>
        <v>0</v>
      </c>
      <c r="Q382" s="184">
        <f>COUNTIF(P$2:P382, TRUE)/(COUNTIF(P$2:P382,FALSE) + COUNTIF(P$2:P382, TRUE))</f>
        <v>0.48556430446194226</v>
      </c>
      <c r="R382" s="173">
        <v>273908</v>
      </c>
      <c r="S382" s="173">
        <f t="shared" ref="S382" si="332">I382-R382</f>
        <v>142507.39000000001</v>
      </c>
      <c r="T382" s="173">
        <v>-32614</v>
      </c>
      <c r="U382" s="173">
        <f t="shared" ref="U382" si="333">M382-T382</f>
        <v>49029.390000000014</v>
      </c>
      <c r="V382" s="184">
        <f>STDEV(D$2:D382)*SQRT(252)</f>
        <v>0.15525374064420308</v>
      </c>
      <c r="W382" s="184">
        <f>STDEV(L$2:L382)*SQRT(252)</f>
        <v>0.33740515012051464</v>
      </c>
      <c r="X382" s="174">
        <f t="shared" si="154"/>
        <v>7.646339884954631E-2</v>
      </c>
    </row>
    <row r="383" spans="1:24" ht="20.100000000000001" customHeight="1" x14ac:dyDescent="0.25">
      <c r="A383" s="163">
        <f t="shared" si="144"/>
        <v>582</v>
      </c>
      <c r="B383" s="172">
        <v>42815</v>
      </c>
      <c r="C383" s="215">
        <v>2344.02</v>
      </c>
      <c r="D383" s="171">
        <f t="shared" ref="D383" si="334">(C383-C382)/C382</f>
        <v>-1.240799335993285E-2</v>
      </c>
      <c r="E383" s="209">
        <f t="shared" ref="E383" si="335">(C383-$C$2)/$C$2</f>
        <v>0.11490458705123567</v>
      </c>
      <c r="F383" s="219">
        <v>5793.82</v>
      </c>
      <c r="G383" s="171">
        <f t="shared" ref="G383:G387" si="336">(F383-F382)/F382</f>
        <v>-1.8249535712833425E-2</v>
      </c>
      <c r="H383" s="203">
        <f t="shared" ref="H383" si="337">(F383-F$2)/F$2</f>
        <v>0.13789500559734469</v>
      </c>
      <c r="I383" s="221">
        <v>411936.49</v>
      </c>
      <c r="J383" s="173">
        <v>400000</v>
      </c>
      <c r="K383" s="173">
        <f t="shared" ref="K383" si="338">I383-I382-J383+J382</f>
        <v>-4478.9000000000233</v>
      </c>
      <c r="L383" s="171">
        <f t="shared" si="145"/>
        <v>-1.0755846463791895E-2</v>
      </c>
      <c r="M383" s="182">
        <f t="shared" ref="M383" si="339">I383-J383</f>
        <v>11936.489999999991</v>
      </c>
      <c r="N383" s="184">
        <f t="shared" si="309"/>
        <v>2.9841224999999978E-2</v>
      </c>
      <c r="O383" s="183">
        <f t="shared" si="149"/>
        <v>1.8727675998711325E-2</v>
      </c>
      <c r="P383" s="182" t="b">
        <f t="shared" ref="P383" si="340">L383&gt;D383</f>
        <v>1</v>
      </c>
      <c r="Q383" s="184">
        <f>COUNTIF(P$2:P383, TRUE)/(COUNTIF(P$2:P383,FALSE) + COUNTIF(P$2:P383, TRUE))</f>
        <v>0.48691099476439792</v>
      </c>
      <c r="R383" s="173">
        <v>281359.3</v>
      </c>
      <c r="S383" s="173">
        <f t="shared" ref="S383" si="341">I383-R383</f>
        <v>130577.19</v>
      </c>
      <c r="T383" s="173">
        <v>-32572</v>
      </c>
      <c r="U383" s="173">
        <f t="shared" ref="U383" si="342">M383-T383</f>
        <v>44508.489999999991</v>
      </c>
      <c r="V383" s="184">
        <f>STDEV(D$2:D383)*SQRT(252)</f>
        <v>0.15539701480265106</v>
      </c>
      <c r="W383" s="184">
        <f>STDEV(L$2:L383)*SQRT(252)</f>
        <v>0.33708689228182726</v>
      </c>
      <c r="X383" s="174">
        <f t="shared" si="154"/>
        <v>5.5557413911703608E-2</v>
      </c>
    </row>
    <row r="384" spans="1:24" ht="20.100000000000001" customHeight="1" x14ac:dyDescent="0.25">
      <c r="A384" s="163">
        <f t="shared" si="144"/>
        <v>583</v>
      </c>
      <c r="B384" s="172">
        <v>42816</v>
      </c>
      <c r="C384" s="215">
        <v>2348.4499999999998</v>
      </c>
      <c r="D384" s="171">
        <f t="shared" ref="D384:D387" si="343">(C384-C383)/C383</f>
        <v>1.8899156150544091E-3</v>
      </c>
      <c r="E384" s="209">
        <f t="shared" ref="E384" si="344">(C384-$C$2)/$C$2</f>
        <v>0.11701166263959958</v>
      </c>
      <c r="F384" s="219">
        <v>5821.64</v>
      </c>
      <c r="G384" s="171">
        <f t="shared" si="336"/>
        <v>4.8016679841625422E-3</v>
      </c>
      <c r="H384" s="203">
        <f t="shared" ref="H384" si="345">(F384-F$2)/F$2</f>
        <v>0.1433587996150599</v>
      </c>
      <c r="I384" s="221">
        <v>410749.09</v>
      </c>
      <c r="J384" s="173">
        <v>400000</v>
      </c>
      <c r="K384" s="173">
        <f t="shared" ref="K384" si="346">I384-I383-J384+J383</f>
        <v>-1187.3999999999651</v>
      </c>
      <c r="L384" s="171">
        <f t="shared" si="145"/>
        <v>-2.8824831711314653E-3</v>
      </c>
      <c r="M384" s="182">
        <f t="shared" ref="M384" si="347">I384-J384</f>
        <v>10749.090000000026</v>
      </c>
      <c r="N384" s="184">
        <f t="shared" si="309"/>
        <v>2.6872725000000063E-2</v>
      </c>
      <c r="O384" s="183">
        <f t="shared" si="149"/>
        <v>1.6835785259434001E-2</v>
      </c>
      <c r="P384" s="182" t="b">
        <f t="shared" ref="P384" si="348">L384&gt;D384</f>
        <v>0</v>
      </c>
      <c r="Q384" s="184">
        <f>COUNTIF(P$2:P384, TRUE)/(COUNTIF(P$2:P384,FALSE) + COUNTIF(P$2:P384, TRUE))</f>
        <v>0.48563968668407309</v>
      </c>
      <c r="R384" s="173">
        <v>286091.90000000002</v>
      </c>
      <c r="S384" s="173">
        <f t="shared" ref="S384" si="349">I384-R384</f>
        <v>124657.19</v>
      </c>
      <c r="T384" s="173">
        <v>-33152</v>
      </c>
      <c r="U384" s="173">
        <f t="shared" ref="U384" si="350">M384-T384</f>
        <v>43901.090000000026</v>
      </c>
      <c r="V384" s="184">
        <f>STDEV(D$2:D384)*SQRT(252)</f>
        <v>0.15519809817215222</v>
      </c>
      <c r="W384" s="184">
        <f>STDEV(L$2:L384)*SQRT(252)</f>
        <v>0.33665574417634986</v>
      </c>
      <c r="X384" s="174">
        <f t="shared" si="154"/>
        <v>5.0008905389759037E-2</v>
      </c>
    </row>
    <row r="385" spans="1:24" ht="20.100000000000001" customHeight="1" x14ac:dyDescent="0.25">
      <c r="A385" s="163">
        <f t="shared" ref="A385:A448" si="351">B385-$B$2</f>
        <v>584</v>
      </c>
      <c r="B385" s="172">
        <v>42817</v>
      </c>
      <c r="C385" s="215">
        <v>2345.96</v>
      </c>
      <c r="D385" s="171">
        <f t="shared" si="343"/>
        <v>-1.0602737976110974E-3</v>
      </c>
      <c r="E385" s="209">
        <f t="shared" ref="E385" si="352">(C385-$C$2)/$C$2</f>
        <v>0.11582732444207681</v>
      </c>
      <c r="F385" s="219">
        <v>5817.69</v>
      </c>
      <c r="G385" s="171">
        <f t="shared" si="336"/>
        <v>-6.7850296480042173E-4</v>
      </c>
      <c r="H385" s="203">
        <f t="shared" ref="H385" si="353">(F385-F$2)/F$2</f>
        <v>0.14258302727969044</v>
      </c>
      <c r="I385" s="221">
        <v>409192.08</v>
      </c>
      <c r="J385" s="173">
        <v>400000</v>
      </c>
      <c r="K385" s="173">
        <f t="shared" ref="K385" si="354">I385-I384-J385+J384</f>
        <v>-1557.0100000000093</v>
      </c>
      <c r="L385" s="171">
        <f t="shared" si="145"/>
        <v>-3.7906596457706315E-3</v>
      </c>
      <c r="M385" s="182">
        <f t="shared" ref="M385" si="355">I385-J385</f>
        <v>9192.0800000000163</v>
      </c>
      <c r="N385" s="184">
        <f t="shared" ref="N385" si="356">M385/J385</f>
        <v>2.2980200000000041E-2</v>
      </c>
      <c r="O385" s="183">
        <f t="shared" si="149"/>
        <v>1.4372462414383587E-2</v>
      </c>
      <c r="P385" s="182" t="b">
        <f t="shared" ref="P385" si="357">L385&gt;D385</f>
        <v>0</v>
      </c>
      <c r="Q385" s="184">
        <f>COUNTIF(P$2:P385, TRUE)/(COUNTIF(P$2:P385,FALSE) + COUNTIF(P$2:P385, TRUE))</f>
        <v>0.484375</v>
      </c>
      <c r="R385" s="173">
        <v>281636.95</v>
      </c>
      <c r="S385" s="173">
        <f t="shared" ref="S385" si="358">I385-R385</f>
        <v>127555.13</v>
      </c>
      <c r="T385" s="173">
        <v>-33283</v>
      </c>
      <c r="U385" s="173">
        <f t="shared" ref="U385" si="359">M385-T385</f>
        <v>42475.080000000016</v>
      </c>
      <c r="V385" s="184">
        <f>STDEV(D$2:D385)*SQRT(252)</f>
        <v>0.15499897175263969</v>
      </c>
      <c r="W385" s="184">
        <f>STDEV(L$2:L385)*SQRT(252)</f>
        <v>0.336233128166948</v>
      </c>
      <c r="X385" s="174">
        <f t="shared" si="154"/>
        <v>4.274552746404961E-2</v>
      </c>
    </row>
    <row r="386" spans="1:24" ht="20.100000000000001" customHeight="1" x14ac:dyDescent="0.25">
      <c r="A386" s="163">
        <f t="shared" si="351"/>
        <v>585</v>
      </c>
      <c r="B386" s="172">
        <v>42818</v>
      </c>
      <c r="C386" s="215">
        <v>2343.98</v>
      </c>
      <c r="D386" s="171">
        <f t="shared" si="343"/>
        <v>-8.4400416034374759E-4</v>
      </c>
      <c r="E386" s="209">
        <f t="shared" ref="E386" si="360">(C386-$C$2)/$C$2</f>
        <v>0.11488556153802247</v>
      </c>
      <c r="F386" s="219">
        <v>5828.73</v>
      </c>
      <c r="G386" s="171">
        <f t="shared" si="336"/>
        <v>1.8976604116066624E-3</v>
      </c>
      <c r="H386" s="203">
        <f t="shared" ref="H386" si="361">(F386-F$2)/F$2</f>
        <v>0.14475126185753281</v>
      </c>
      <c r="I386" s="221">
        <v>410959.03</v>
      </c>
      <c r="J386" s="173">
        <v>400000</v>
      </c>
      <c r="K386" s="173">
        <f t="shared" ref="K386" si="362">I386-I385-J386+J385</f>
        <v>1766.9500000000116</v>
      </c>
      <c r="L386" s="171">
        <f t="shared" si="145"/>
        <v>4.3181432055087957E-3</v>
      </c>
      <c r="M386" s="182">
        <f t="shared" ref="M386" si="363">I386-J386</f>
        <v>10959.030000000028</v>
      </c>
      <c r="N386" s="184">
        <f t="shared" ref="N386" si="364">M386/J386</f>
        <v>2.739757500000007E-2</v>
      </c>
      <c r="O386" s="183">
        <f t="shared" si="149"/>
        <v>1.710592182692312E-2</v>
      </c>
      <c r="P386" s="182" t="b">
        <f t="shared" ref="P386" si="365">L386&gt;D386</f>
        <v>1</v>
      </c>
      <c r="Q386" s="184">
        <f>COUNTIF(P$2:P386, TRUE)/(COUNTIF(P$2:P386,FALSE) + COUNTIF(P$2:P386, TRUE))</f>
        <v>0.48571428571428571</v>
      </c>
      <c r="R386" s="173">
        <v>286251.90000000002</v>
      </c>
      <c r="S386" s="173">
        <f t="shared" ref="S386" si="366">I386-R386</f>
        <v>124707.13</v>
      </c>
      <c r="T386" s="173">
        <v>-32644</v>
      </c>
      <c r="U386" s="173">
        <f t="shared" ref="U386" si="367">M386-T386</f>
        <v>43603.030000000028</v>
      </c>
      <c r="V386" s="184">
        <f>STDEV(D$2:D386)*SQRT(252)</f>
        <v>0.15479943060985338</v>
      </c>
      <c r="W386" s="184">
        <f>STDEV(L$2:L386)*SQRT(252)</f>
        <v>0.33580795162240923</v>
      </c>
      <c r="X386" s="174">
        <f t="shared" si="154"/>
        <v>5.0939597303393938E-2</v>
      </c>
    </row>
    <row r="387" spans="1:24" ht="20.100000000000001" customHeight="1" x14ac:dyDescent="0.25">
      <c r="A387" s="163">
        <f t="shared" si="351"/>
        <v>588</v>
      </c>
      <c r="B387" s="242">
        <v>42821</v>
      </c>
      <c r="C387" s="332">
        <v>2341.59</v>
      </c>
      <c r="D387" s="171">
        <f t="shared" si="343"/>
        <v>-1.0196332733213903E-3</v>
      </c>
      <c r="E387" s="244">
        <f t="shared" ref="E387" si="368">(C387-$C$2)/$C$2</f>
        <v>0.1137487871235327</v>
      </c>
      <c r="F387" s="245">
        <v>5840.37</v>
      </c>
      <c r="G387" s="171">
        <f t="shared" si="336"/>
        <v>1.9970044932601664E-3</v>
      </c>
      <c r="H387" s="246">
        <f t="shared" ref="H387" si="369">(F387-F$2)/F$2</f>
        <v>0.14703733527112753</v>
      </c>
      <c r="I387" s="554">
        <v>411631.08</v>
      </c>
      <c r="J387" s="248">
        <v>400000</v>
      </c>
      <c r="K387" s="248">
        <f t="shared" ref="K387" si="370">I387-I386-J387+J386</f>
        <v>672.04999999998836</v>
      </c>
      <c r="L387" s="171">
        <f t="shared" ref="L387" si="371">K387/I386</f>
        <v>1.6353211657132544E-3</v>
      </c>
      <c r="M387" s="587">
        <f t="shared" ref="M387" si="372">I387-J387</f>
        <v>11631.080000000016</v>
      </c>
      <c r="N387" s="250">
        <f t="shared" ref="N387" si="373">M387/J387</f>
        <v>2.907770000000004E-2</v>
      </c>
      <c r="O387" s="183">
        <f t="shared" si="149"/>
        <v>1.8062295790816349E-2</v>
      </c>
      <c r="P387" s="249" t="b">
        <f t="shared" ref="P387" si="374">L387&gt;D387</f>
        <v>1</v>
      </c>
      <c r="Q387" s="250">
        <f>COUNTIF(P$2:P387, TRUE)/(COUNTIF(P$2:P387,FALSE) + COUNTIF(P$2:P387, TRUE))</f>
        <v>0.48704663212435234</v>
      </c>
      <c r="R387" s="248">
        <v>286923.95</v>
      </c>
      <c r="S387" s="248">
        <f t="shared" ref="S387" si="375">I387-R387</f>
        <v>124707.13</v>
      </c>
      <c r="T387" s="248">
        <v>-32983</v>
      </c>
      <c r="U387" s="248">
        <f t="shared" ref="U387" si="376">M387-T387</f>
        <v>44614.080000000016</v>
      </c>
      <c r="V387" s="250">
        <f>STDEV(D$2:D387)*SQRT(252)</f>
        <v>0.15460159662915288</v>
      </c>
      <c r="W387" s="250">
        <f>STDEV(L$2:L387)*SQRT(252)</f>
        <v>0.33537159778544912</v>
      </c>
      <c r="X387" s="174">
        <f t="shared" si="154"/>
        <v>5.3857559525274816E-2</v>
      </c>
    </row>
    <row r="388" spans="1:24" ht="20.100000000000001" customHeight="1" x14ac:dyDescent="0.25">
      <c r="A388" s="163">
        <f t="shared" si="351"/>
        <v>589</v>
      </c>
      <c r="B388" s="242">
        <v>42822</v>
      </c>
      <c r="C388" s="332">
        <v>2358.5700000000002</v>
      </c>
      <c r="D388" s="171">
        <f t="shared" ref="D388" si="377">(C388-C387)/C387</f>
        <v>7.2514829667021203E-3</v>
      </c>
      <c r="E388" s="244">
        <f t="shared" ref="E388" si="378">(C388-$C$2)/$C$2</f>
        <v>0.12182511748254414</v>
      </c>
      <c r="F388" s="245">
        <v>5875.14</v>
      </c>
      <c r="G388" s="171">
        <f t="shared" ref="G388" si="379">(F388-F387)/F387</f>
        <v>5.9533899393361097E-3</v>
      </c>
      <c r="H388" s="246">
        <f t="shared" ref="H388" si="380">(F388-F$2)/F$2</f>
        <v>0.15386609580297358</v>
      </c>
      <c r="I388" s="554">
        <v>415160.28</v>
      </c>
      <c r="J388" s="248">
        <v>400000</v>
      </c>
      <c r="K388" s="248">
        <f t="shared" ref="K388" si="381">I388-I387-J388+J387</f>
        <v>3529.2000000000116</v>
      </c>
      <c r="L388" s="171">
        <f t="shared" ref="L388:L401" si="382">K388/I387</f>
        <v>8.5736966217420021E-3</v>
      </c>
      <c r="M388" s="587">
        <f t="shared" ref="M388" si="383">I388-J388</f>
        <v>15160.280000000028</v>
      </c>
      <c r="N388" s="250">
        <f t="shared" ref="N388" si="384">M388/J388</f>
        <v>3.7900700000000072E-2</v>
      </c>
      <c r="O388" s="183">
        <f t="shared" si="149"/>
        <v>2.3502938327674066E-2</v>
      </c>
      <c r="P388" s="249" t="b">
        <f t="shared" ref="P388" si="385">L388&gt;D388</f>
        <v>1</v>
      </c>
      <c r="Q388" s="250">
        <f>COUNTIF(P$2:P388, TRUE)/(COUNTIF(P$2:P388,FALSE) + COUNTIF(P$2:P388, TRUE))</f>
        <v>0.48837209302325579</v>
      </c>
      <c r="R388" s="248">
        <v>290453.15000000002</v>
      </c>
      <c r="S388" s="248">
        <f t="shared" ref="S388" si="386">I388-R388</f>
        <v>124707.13</v>
      </c>
      <c r="T388" s="248">
        <v>-33166</v>
      </c>
      <c r="U388" s="248">
        <f t="shared" ref="U388" si="387">M388-T388</f>
        <v>48326.280000000028</v>
      </c>
      <c r="V388" s="250">
        <f>STDEV(D$2:D388)*SQRT(252)</f>
        <v>0.15450201975673039</v>
      </c>
      <c r="W388" s="250">
        <f>STDEV(L$2:L388)*SQRT(252)</f>
        <v>0.33499869256198822</v>
      </c>
      <c r="X388" s="174">
        <f t="shared" si="154"/>
        <v>7.0158298672539088E-2</v>
      </c>
    </row>
    <row r="389" spans="1:24" ht="20.100000000000001" customHeight="1" x14ac:dyDescent="0.25">
      <c r="A389" s="163">
        <f t="shared" si="351"/>
        <v>590</v>
      </c>
      <c r="B389" s="242">
        <v>42823</v>
      </c>
      <c r="C389" s="332">
        <v>2361.13</v>
      </c>
      <c r="D389" s="171">
        <f t="shared" ref="D389" si="388">(C389-C388)/C388</f>
        <v>1.0854034436119959E-3</v>
      </c>
      <c r="E389" s="244">
        <f t="shared" ref="E389" si="389">(C389-$C$2)/$C$2</f>
        <v>0.12304275032819012</v>
      </c>
      <c r="F389" s="245">
        <v>5897.54</v>
      </c>
      <c r="G389" s="171">
        <f t="shared" ref="G389:G401" si="390">(F389-F388)/F388</f>
        <v>3.8126751022102682E-3</v>
      </c>
      <c r="H389" s="246">
        <f t="shared" ref="H389" si="391">(F389-F$2)/F$2</f>
        <v>0.15826541233772615</v>
      </c>
      <c r="I389" s="554">
        <v>420963.65</v>
      </c>
      <c r="J389" s="248">
        <v>400000</v>
      </c>
      <c r="K389" s="248">
        <f t="shared" ref="K389" si="392">I389-I388-J389+J388</f>
        <v>5803.3699999999953</v>
      </c>
      <c r="L389" s="171">
        <f t="shared" si="382"/>
        <v>1.3978625315504641E-2</v>
      </c>
      <c r="M389" s="587">
        <f t="shared" ref="M389" si="393">I389-J389</f>
        <v>20963.650000000023</v>
      </c>
      <c r="N389" s="250">
        <f t="shared" ref="N389" si="394">M389/J389</f>
        <v>5.2409125000000056E-2</v>
      </c>
      <c r="O389" s="183">
        <f t="shared" si="149"/>
        <v>3.2444801536016983E-2</v>
      </c>
      <c r="P389" s="249" t="b">
        <f t="shared" ref="P389" si="395">L389&gt;D389</f>
        <v>1</v>
      </c>
      <c r="Q389" s="250">
        <f>COUNTIF(P$2:P389, TRUE)/(COUNTIF(P$2:P389,FALSE) + COUNTIF(P$2:P389, TRUE))</f>
        <v>0.48969072164948452</v>
      </c>
      <c r="R389" s="248">
        <v>287876.7</v>
      </c>
      <c r="S389" s="248">
        <f t="shared" ref="S389" si="396">I389-R389</f>
        <v>133086.95000000001</v>
      </c>
      <c r="T389" s="248">
        <v>-32529</v>
      </c>
      <c r="U389" s="248">
        <f t="shared" ref="U389" si="397">M389-T389</f>
        <v>53492.650000000023</v>
      </c>
      <c r="V389" s="250">
        <f>STDEV(D$2:D389)*SQRT(252)</f>
        <v>0.15430291454708026</v>
      </c>
      <c r="W389" s="250">
        <f>STDEV(L$2:L389)*SQRT(252)</f>
        <v>0.3347396845919004</v>
      </c>
      <c r="X389" s="174">
        <f t="shared" si="154"/>
        <v>9.6925470834365604E-2</v>
      </c>
    </row>
    <row r="390" spans="1:24" ht="20.100000000000001" customHeight="1" x14ac:dyDescent="0.25">
      <c r="A390" s="163">
        <f t="shared" si="351"/>
        <v>591</v>
      </c>
      <c r="B390" s="242">
        <v>42824</v>
      </c>
      <c r="C390" s="332">
        <v>2368.06</v>
      </c>
      <c r="D390" s="171">
        <f t="shared" ref="D390:D392" si="398">(C390-C389)/C389</f>
        <v>2.9350353432465964E-3</v>
      </c>
      <c r="E390" s="244">
        <f t="shared" ref="E390" si="399">(C390-$C$2)/$C$2</f>
        <v>0.12633892049238021</v>
      </c>
      <c r="F390" s="245">
        <v>5914.34</v>
      </c>
      <c r="G390" s="171">
        <f t="shared" si="390"/>
        <v>2.848645367390502E-3</v>
      </c>
      <c r="H390" s="246">
        <f t="shared" ref="H390" si="400">(F390-F$2)/F$2</f>
        <v>0.16156489973879065</v>
      </c>
      <c r="I390" s="554">
        <v>421561.9</v>
      </c>
      <c r="J390" s="248">
        <v>400000</v>
      </c>
      <c r="K390" s="248">
        <f t="shared" ref="K390" si="401">I390-I389-J390+J389</f>
        <v>598.25</v>
      </c>
      <c r="L390" s="171">
        <f t="shared" si="382"/>
        <v>1.4211440821553119E-3</v>
      </c>
      <c r="M390" s="587">
        <f t="shared" ref="M390" si="402">I390-J390</f>
        <v>21561.900000000023</v>
      </c>
      <c r="N390" s="250">
        <f t="shared" ref="N390" si="403">M390/J390</f>
        <v>5.3904750000000057E-2</v>
      </c>
      <c r="O390" s="183">
        <f t="shared" si="149"/>
        <v>3.3314230012690391E-2</v>
      </c>
      <c r="P390" s="249" t="b">
        <f t="shared" ref="P390" si="404">L390&gt;D390</f>
        <v>0</v>
      </c>
      <c r="Q390" s="250">
        <f>COUNTIF(P$2:P390, TRUE)/(COUNTIF(P$2:P390,FALSE) + COUNTIF(P$2:P390, TRUE))</f>
        <v>0.4884318766066838</v>
      </c>
      <c r="R390" s="248">
        <v>288474.95</v>
      </c>
      <c r="S390" s="248">
        <f t="shared" ref="S390" si="405">I390-R390</f>
        <v>133086.95000000001</v>
      </c>
      <c r="T390" s="248">
        <v>-32386</v>
      </c>
      <c r="U390" s="248">
        <f t="shared" ref="U390" si="406">M390-T390</f>
        <v>53947.900000000023</v>
      </c>
      <c r="V390" s="250">
        <f>STDEV(D$2:D390)*SQRT(252)</f>
        <v>0.15411754273939668</v>
      </c>
      <c r="W390" s="250">
        <f>STDEV(L$2:L390)*SQRT(252)</f>
        <v>0.3343075900232127</v>
      </c>
      <c r="X390" s="174">
        <f t="shared" si="154"/>
        <v>9.9651431815763483E-2</v>
      </c>
    </row>
    <row r="391" spans="1:24" ht="20.100000000000001" customHeight="1" x14ac:dyDescent="0.25">
      <c r="A391" s="163">
        <f t="shared" si="351"/>
        <v>592</v>
      </c>
      <c r="B391" s="242">
        <v>42825</v>
      </c>
      <c r="C391" s="332">
        <v>2362.7199999999998</v>
      </c>
      <c r="D391" s="171">
        <f t="shared" si="398"/>
        <v>-2.2550104304790188E-3</v>
      </c>
      <c r="E391" s="244">
        <f t="shared" ref="E391" si="407">(C391-$C$2)/$C$2</f>
        <v>0.12379901447841543</v>
      </c>
      <c r="F391" s="245">
        <v>5911.73</v>
      </c>
      <c r="G391" s="171">
        <f t="shared" si="390"/>
        <v>-4.4130029724374692E-4</v>
      </c>
      <c r="H391" s="246">
        <f t="shared" ref="H391" si="408">(F391-F$2)/F$2</f>
        <v>0.16105230080326802</v>
      </c>
      <c r="I391" s="584">
        <v>422230.44</v>
      </c>
      <c r="J391" s="248">
        <v>400000</v>
      </c>
      <c r="K391" s="248">
        <f t="shared" ref="K391" si="409">I391-I390-J391+J390</f>
        <v>668.53999999997905</v>
      </c>
      <c r="L391" s="171">
        <f t="shared" si="382"/>
        <v>1.5858643772124071E-3</v>
      </c>
      <c r="M391" s="472">
        <f t="shared" ref="M391" si="410">I391-J391</f>
        <v>22230.440000000002</v>
      </c>
      <c r="N391" s="250">
        <f t="shared" ref="N391" si="411">M391/J391</f>
        <v>5.5576100000000003E-2</v>
      </c>
      <c r="O391" s="183">
        <f t="shared" ref="O391:O454" si="412">N391/(A391/365.25)</f>
        <v>3.4289139400337842E-2</v>
      </c>
      <c r="P391" s="249" t="b">
        <f t="shared" ref="P391" si="413">L391&gt;D391</f>
        <v>1</v>
      </c>
      <c r="Q391" s="250">
        <f>COUNTIF(P$2:P391, TRUE)/(COUNTIF(P$2:P391,FALSE) + COUNTIF(P$2:P391, TRUE))</f>
        <v>0.48974358974358972</v>
      </c>
      <c r="R391" s="248">
        <v>285478.7</v>
      </c>
      <c r="S391" s="248">
        <f t="shared" ref="S391" si="414">I391-R391</f>
        <v>136751.74</v>
      </c>
      <c r="T391" s="248">
        <v>-31395</v>
      </c>
      <c r="U391" s="248">
        <f t="shared" ref="U391" si="415">M391-T391</f>
        <v>53625.440000000002</v>
      </c>
      <c r="V391" s="250">
        <f>STDEV(D$2:D391)*SQRT(252)</f>
        <v>0.15393312876739909</v>
      </c>
      <c r="W391" s="250">
        <f>STDEV(L$2:L391)*SQRT(252)</f>
        <v>0.33387745459794199</v>
      </c>
      <c r="X391" s="174">
        <f t="shared" si="154"/>
        <v>0.10269977480698453</v>
      </c>
    </row>
    <row r="392" spans="1:24" ht="20.100000000000001" customHeight="1" x14ac:dyDescent="0.25">
      <c r="A392" s="163">
        <f t="shared" si="351"/>
        <v>595</v>
      </c>
      <c r="B392" s="172">
        <v>42828</v>
      </c>
      <c r="C392" s="215">
        <v>2358.84</v>
      </c>
      <c r="D392" s="171">
        <f t="shared" si="398"/>
        <v>-1.6421751202003007E-3</v>
      </c>
      <c r="E392" s="209">
        <f t="shared" ref="E392" si="416">(C392-$C$2)/$C$2</f>
        <v>0.12195353969673337</v>
      </c>
      <c r="F392" s="219">
        <v>5894.68</v>
      </c>
      <c r="G392" s="171">
        <f t="shared" si="390"/>
        <v>-2.8840965335019146E-3</v>
      </c>
      <c r="H392" s="203">
        <f t="shared" ref="H392" si="417">(F392-F$2)/F$2</f>
        <v>0.15770371388730689</v>
      </c>
      <c r="I392" s="221">
        <v>420788.86</v>
      </c>
      <c r="J392" s="173">
        <v>400000</v>
      </c>
      <c r="K392" s="173">
        <f t="shared" ref="K392" si="418">I392-I391-J392+J391</f>
        <v>-1441.5800000000163</v>
      </c>
      <c r="L392" s="171">
        <f t="shared" si="382"/>
        <v>-3.4142019699006454E-3</v>
      </c>
      <c r="M392" s="182">
        <f t="shared" ref="M392" si="419">I392-J392</f>
        <v>20788.859999999986</v>
      </c>
      <c r="N392" s="184">
        <f t="shared" ref="N392" si="420">M392/J392</f>
        <v>5.1972149999999967E-2</v>
      </c>
      <c r="O392" s="183">
        <f t="shared" si="412"/>
        <v>3.1903912247899138E-2</v>
      </c>
      <c r="P392" s="182" t="b">
        <f t="shared" ref="P392" si="421">L392&gt;D392</f>
        <v>0</v>
      </c>
      <c r="Q392" s="184">
        <f>COUNTIF(P$2:P392, TRUE)/(COUNTIF(P$2:P392,FALSE) + COUNTIF(P$2:P392, TRUE))</f>
        <v>0.48849104859335041</v>
      </c>
      <c r="R392" s="173">
        <v>278736.34999999998</v>
      </c>
      <c r="S392" s="173">
        <f t="shared" ref="S392" si="422">I392-R392</f>
        <v>142052.51</v>
      </c>
      <c r="T392" s="173">
        <v>-32014</v>
      </c>
      <c r="U392" s="173">
        <f t="shared" ref="U392" si="423">M392-T392</f>
        <v>52802.859999999986</v>
      </c>
      <c r="V392" s="184">
        <f>STDEV(D$2:D392)*SQRT(252)</f>
        <v>0.15374345797285574</v>
      </c>
      <c r="W392" s="184">
        <f>STDEV(L$2:L392)*SQRT(252)</f>
        <v>0.33346362819879094</v>
      </c>
      <c r="X392" s="174">
        <f t="shared" si="154"/>
        <v>9.5674339118267934E-2</v>
      </c>
    </row>
    <row r="393" spans="1:24" ht="20.100000000000001" customHeight="1" x14ac:dyDescent="0.25">
      <c r="A393" s="163">
        <f t="shared" si="351"/>
        <v>596</v>
      </c>
      <c r="B393" s="172">
        <v>42829</v>
      </c>
      <c r="C393" s="215">
        <v>2360.16</v>
      </c>
      <c r="D393" s="171">
        <f t="shared" ref="D393" si="424">(C393-C392)/C392</f>
        <v>5.5959709009500806E-4</v>
      </c>
      <c r="E393" s="209">
        <f t="shared" ref="E393" si="425">(C393-$C$2)/$C$2</f>
        <v>0.12258138163276945</v>
      </c>
      <c r="F393" s="219">
        <v>5898.6</v>
      </c>
      <c r="G393" s="171">
        <f t="shared" si="390"/>
        <v>6.6500641256184774E-4</v>
      </c>
      <c r="H393" s="203">
        <f t="shared" ref="H393" si="426">(F393-F$2)/F$2</f>
        <v>0.15847359428088861</v>
      </c>
      <c r="I393" s="221">
        <v>422816.59</v>
      </c>
      <c r="J393" s="173">
        <v>400000</v>
      </c>
      <c r="K393" s="173">
        <f t="shared" ref="K393" si="427">I393-I392-J393+J392</f>
        <v>2027.7300000000396</v>
      </c>
      <c r="L393" s="171">
        <f t="shared" si="382"/>
        <v>4.8188775719966532E-3</v>
      </c>
      <c r="M393" s="182">
        <f t="shared" ref="M393" si="428">I393-J393</f>
        <v>22816.590000000026</v>
      </c>
      <c r="N393" s="184">
        <f t="shared" ref="N393" si="429">M393/J393</f>
        <v>5.7041475000000064E-2</v>
      </c>
      <c r="O393" s="183">
        <f t="shared" si="412"/>
        <v>3.4957044872063796E-2</v>
      </c>
      <c r="P393" s="182" t="b">
        <f t="shared" ref="P393" si="430">L393&gt;D393</f>
        <v>1</v>
      </c>
      <c r="Q393" s="184">
        <f>COUNTIF(P$2:P393, TRUE)/(COUNTIF(P$2:P393,FALSE) + COUNTIF(P$2:P393, TRUE))</f>
        <v>0.48979591836734693</v>
      </c>
      <c r="R393" s="173">
        <v>279812.09999999998</v>
      </c>
      <c r="S393" s="173">
        <f t="shared" ref="S393" si="431">I393-R393</f>
        <v>143004.49000000005</v>
      </c>
      <c r="T393" s="173">
        <v>-31748</v>
      </c>
      <c r="U393" s="173">
        <f t="shared" ref="U393" si="432">M393-T393</f>
        <v>54564.590000000026</v>
      </c>
      <c r="V393" s="184">
        <f>STDEV(D$2:D393)*SQRT(252)</f>
        <v>0.15354632404261861</v>
      </c>
      <c r="W393" s="184">
        <f>STDEV(L$2:L393)*SQRT(252)</f>
        <v>0.33305315734956037</v>
      </c>
      <c r="X393" s="174">
        <f t="shared" si="154"/>
        <v>0.10495935588856815</v>
      </c>
    </row>
    <row r="394" spans="1:24" ht="20.100000000000001" customHeight="1" x14ac:dyDescent="0.25">
      <c r="A394" s="163">
        <f t="shared" si="351"/>
        <v>597</v>
      </c>
      <c r="B394" s="172">
        <v>42830</v>
      </c>
      <c r="C394" s="215">
        <v>2352.9499999999998</v>
      </c>
      <c r="D394" s="171">
        <f t="shared" ref="D394:D398" si="433">(C394-C393)/C393</f>
        <v>-3.054877635414564E-3</v>
      </c>
      <c r="E394" s="209">
        <f t="shared" ref="E394" si="434">(C394-$C$2)/$C$2</f>
        <v>0.11915203287608672</v>
      </c>
      <c r="F394" s="219">
        <v>5864.47</v>
      </c>
      <c r="G394" s="171">
        <f t="shared" si="390"/>
        <v>-5.7861187400400273E-3</v>
      </c>
      <c r="H394" s="203">
        <f t="shared" ref="H394" si="435">(F394-F$2)/F$2</f>
        <v>0.15177052850717845</v>
      </c>
      <c r="I394" s="221">
        <v>421093.29</v>
      </c>
      <c r="J394" s="173">
        <v>400000</v>
      </c>
      <c r="K394" s="173">
        <f t="shared" ref="K394" si="436">I394-I393-J394+J393</f>
        <v>-1723.3000000000466</v>
      </c>
      <c r="L394" s="171">
        <f t="shared" si="382"/>
        <v>-4.0757624955067313E-3</v>
      </c>
      <c r="M394" s="182">
        <f t="shared" ref="M394" si="437">I394-J394</f>
        <v>21093.289999999979</v>
      </c>
      <c r="N394" s="184">
        <f t="shared" ref="N394" si="438">M394/J394</f>
        <v>5.2733224999999946E-2</v>
      </c>
      <c r="O394" s="183">
        <f t="shared" si="412"/>
        <v>3.2262664038944691E-2</v>
      </c>
      <c r="P394" s="182" t="b">
        <f t="shared" ref="P394" si="439">L394&gt;D394</f>
        <v>0</v>
      </c>
      <c r="Q394" s="184">
        <f>COUNTIF(P$2:P394, TRUE)/(COUNTIF(P$2:P394,FALSE) + COUNTIF(P$2:P394, TRUE))</f>
        <v>0.48854961832061067</v>
      </c>
      <c r="R394" s="173">
        <v>275976.95</v>
      </c>
      <c r="S394" s="173">
        <f t="shared" ref="S394" si="440">I394-R394</f>
        <v>145116.33999999997</v>
      </c>
      <c r="T394" s="173">
        <v>-31864</v>
      </c>
      <c r="U394" s="173">
        <f t="shared" ref="U394" si="441">M394-T394</f>
        <v>52957.289999999979</v>
      </c>
      <c r="V394" s="184">
        <f>STDEV(D$2:D394)*SQRT(252)</f>
        <v>0.15337403613806713</v>
      </c>
      <c r="W394" s="184">
        <f>STDEV(L$2:L394)*SQRT(252)</f>
        <v>0.33264809996553257</v>
      </c>
      <c r="X394" s="174">
        <f t="shared" si="154"/>
        <v>9.6987369061442397E-2</v>
      </c>
    </row>
    <row r="395" spans="1:24" ht="20.100000000000001" customHeight="1" x14ac:dyDescent="0.25">
      <c r="A395" s="163">
        <f t="shared" si="351"/>
        <v>598</v>
      </c>
      <c r="B395" s="172">
        <v>42831</v>
      </c>
      <c r="C395" s="215">
        <v>2357.4899999999998</v>
      </c>
      <c r="D395" s="171">
        <f t="shared" si="433"/>
        <v>1.9294927644021181E-3</v>
      </c>
      <c r="E395" s="209">
        <f t="shared" ref="E395" si="442">(C395-$C$2)/$C$2</f>
        <v>0.12131142862578705</v>
      </c>
      <c r="F395" s="219">
        <v>5878.95</v>
      </c>
      <c r="G395" s="171">
        <f t="shared" si="390"/>
        <v>2.4691063301542277E-3</v>
      </c>
      <c r="H395" s="203">
        <f t="shared" ref="H395" si="443">(F395-F$2)/F$2</f>
        <v>0.15461437241000059</v>
      </c>
      <c r="I395" s="221">
        <v>424138.1</v>
      </c>
      <c r="J395" s="173">
        <v>400000</v>
      </c>
      <c r="K395" s="173">
        <f t="shared" ref="K395" si="444">I395-I394-J395+J394</f>
        <v>3044.8099999999977</v>
      </c>
      <c r="L395" s="171">
        <f t="shared" si="382"/>
        <v>7.2307255240281736E-3</v>
      </c>
      <c r="M395" s="182">
        <f t="shared" ref="M395" si="445">I395-J395</f>
        <v>24138.099999999977</v>
      </c>
      <c r="N395" s="184">
        <f t="shared" ref="N395" si="446">M395/J395</f>
        <v>6.0345249999999941E-2</v>
      </c>
      <c r="O395" s="183">
        <f t="shared" si="412"/>
        <v>3.6858031040969866E-2</v>
      </c>
      <c r="P395" s="182" t="b">
        <f t="shared" ref="P395" si="447">L395&gt;D395</f>
        <v>1</v>
      </c>
      <c r="Q395" s="184">
        <f>COUNTIF(P$2:P395, TRUE)/(COUNTIF(P$2:P395,FALSE) + COUNTIF(P$2:P395, TRUE))</f>
        <v>0.48984771573604063</v>
      </c>
      <c r="R395" s="173">
        <v>278419.3</v>
      </c>
      <c r="S395" s="173">
        <f t="shared" ref="S395" si="448">I395-R395</f>
        <v>145718.79999999999</v>
      </c>
      <c r="T395" s="173">
        <v>-32100</v>
      </c>
      <c r="U395" s="173">
        <f t="shared" ref="U395" si="449">M395-T395</f>
        <v>56238.099999999977</v>
      </c>
      <c r="V395" s="184">
        <f>STDEV(D$2:D395)*SQRT(252)</f>
        <v>0.15318361130660466</v>
      </c>
      <c r="W395" s="184">
        <f>STDEV(L$2:L395)*SQRT(252)</f>
        <v>0.33226612910747538</v>
      </c>
      <c r="X395" s="174">
        <f t="shared" si="154"/>
        <v>0.11092924560194248</v>
      </c>
    </row>
    <row r="396" spans="1:24" ht="20.100000000000001" customHeight="1" x14ac:dyDescent="0.25">
      <c r="A396" s="163">
        <f t="shared" si="351"/>
        <v>599</v>
      </c>
      <c r="B396" s="172">
        <v>42832</v>
      </c>
      <c r="C396" s="215">
        <v>2355.54</v>
      </c>
      <c r="D396" s="171">
        <f t="shared" si="433"/>
        <v>-8.2715091050219439E-4</v>
      </c>
      <c r="E396" s="209">
        <f t="shared" ref="E396" si="450">(C396-$C$2)/$C$2</f>
        <v>0.12038393485664271</v>
      </c>
      <c r="F396" s="219">
        <v>5877.81</v>
      </c>
      <c r="G396" s="171">
        <f t="shared" si="390"/>
        <v>-1.9391217819498687E-4</v>
      </c>
      <c r="H396" s="203">
        <f t="shared" ref="H396" si="451">(F396-F$2)/F$2</f>
        <v>0.15439047862207134</v>
      </c>
      <c r="I396" s="221">
        <v>423331.5</v>
      </c>
      <c r="J396" s="173">
        <v>400000</v>
      </c>
      <c r="K396" s="173">
        <f t="shared" ref="K396" si="452">I396-I395-J396+J395</f>
        <v>-806.59999999997672</v>
      </c>
      <c r="L396" s="171">
        <f t="shared" si="382"/>
        <v>-1.901739079794946E-3</v>
      </c>
      <c r="M396" s="182">
        <f t="shared" ref="M396" si="453">I396-J396</f>
        <v>23331.5</v>
      </c>
      <c r="N396" s="184">
        <f t="shared" ref="N396" si="454">M396/J396</f>
        <v>5.8328749999999999E-2</v>
      </c>
      <c r="O396" s="183">
        <f t="shared" si="412"/>
        <v>3.5566904737061769E-2</v>
      </c>
      <c r="P396" s="182" t="b">
        <f t="shared" ref="P396" si="455">L396&gt;D396</f>
        <v>0</v>
      </c>
      <c r="Q396" s="184">
        <f>COUNTIF(P$2:P396, TRUE)/(COUNTIF(P$2:P396,FALSE) + COUNTIF(P$2:P396, TRUE))</f>
        <v>0.48860759493670886</v>
      </c>
      <c r="R396" s="173">
        <v>280798.7</v>
      </c>
      <c r="S396" s="173">
        <f t="shared" ref="S396" si="456">I396-R396</f>
        <v>142532.79999999999</v>
      </c>
      <c r="T396" s="173">
        <v>-32984</v>
      </c>
      <c r="U396" s="173">
        <f t="shared" ref="U396" si="457">M396-T396</f>
        <v>56315.5</v>
      </c>
      <c r="V396" s="184">
        <f>STDEV(D$2:D396)*SQRT(252)</f>
        <v>0.15299143349186958</v>
      </c>
      <c r="W396" s="184">
        <f>STDEV(L$2:L396)*SQRT(252)</f>
        <v>0.33184917870470027</v>
      </c>
      <c r="X396" s="174">
        <f t="shared" si="154"/>
        <v>0.10717792002948237</v>
      </c>
    </row>
    <row r="397" spans="1:24" ht="20.100000000000001" customHeight="1" x14ac:dyDescent="0.25">
      <c r="A397" s="163">
        <f t="shared" si="351"/>
        <v>602</v>
      </c>
      <c r="B397" s="242">
        <v>42835</v>
      </c>
      <c r="C397" s="332">
        <v>2357.16</v>
      </c>
      <c r="D397" s="171">
        <f t="shared" si="433"/>
        <v>6.8774039073838311E-4</v>
      </c>
      <c r="E397" s="244">
        <f t="shared" ref="E397" si="458">(C397-$C$2)/$C$2</f>
        <v>0.12115446814177802</v>
      </c>
      <c r="F397" s="245">
        <v>5880.92</v>
      </c>
      <c r="G397" s="171">
        <f t="shared" si="390"/>
        <v>5.2910863059535309E-4</v>
      </c>
      <c r="H397" s="246">
        <f t="shared" ref="H397" si="459">(F397-F$2)/F$2</f>
        <v>0.15500127658738738</v>
      </c>
      <c r="I397" s="554">
        <v>425409.3</v>
      </c>
      <c r="J397" s="248">
        <v>400000</v>
      </c>
      <c r="K397" s="248">
        <f t="shared" ref="K397" si="460">I397-I396-J397+J396</f>
        <v>2077.7999999999884</v>
      </c>
      <c r="L397" s="171">
        <f t="shared" si="382"/>
        <v>4.9082102324064904E-3</v>
      </c>
      <c r="M397" s="587">
        <f t="shared" ref="M397" si="461">I397-J397</f>
        <v>25409.299999999988</v>
      </c>
      <c r="N397" s="250">
        <f t="shared" ref="N397" si="462">M397/J397</f>
        <v>6.3523249999999976E-2</v>
      </c>
      <c r="O397" s="183">
        <f t="shared" si="412"/>
        <v>3.854130741279068E-2</v>
      </c>
      <c r="P397" s="249" t="b">
        <f t="shared" ref="P397" si="463">L397&gt;D397</f>
        <v>1</v>
      </c>
      <c r="Q397" s="250">
        <f>COUNTIF(P$2:P397, TRUE)/(COUNTIF(P$2:P397,FALSE) + COUNTIF(P$2:P397, TRUE))</f>
        <v>0.48989898989898989</v>
      </c>
      <c r="R397" s="248">
        <v>285684.5</v>
      </c>
      <c r="S397" s="248">
        <f t="shared" ref="S397" si="464">I397-R397</f>
        <v>139724.79999999999</v>
      </c>
      <c r="T397" s="248">
        <v>-32983</v>
      </c>
      <c r="U397" s="248">
        <f t="shared" ref="U397" si="465">M397-T397</f>
        <v>58392.299999999988</v>
      </c>
      <c r="V397" s="250">
        <f>STDEV(D$2:D397)*SQRT(252)</f>
        <v>0.15279741867910826</v>
      </c>
      <c r="W397" s="250">
        <f>STDEV(L$2:L397)*SQRT(252)</f>
        <v>0.3314456683195206</v>
      </c>
      <c r="X397" s="174">
        <f t="shared" si="154"/>
        <v>0.11628242905753122</v>
      </c>
    </row>
    <row r="398" spans="1:24" ht="20.100000000000001" customHeight="1" x14ac:dyDescent="0.25">
      <c r="A398" s="163">
        <f t="shared" si="351"/>
        <v>603</v>
      </c>
      <c r="B398" s="242">
        <v>42836</v>
      </c>
      <c r="C398" s="332">
        <v>2353.7800000000002</v>
      </c>
      <c r="D398" s="171">
        <f t="shared" si="433"/>
        <v>-1.4339289653649539E-3</v>
      </c>
      <c r="E398" s="244">
        <f t="shared" ref="E398" si="466">(C398-$C$2)/$C$2</f>
        <v>0.11954681227526119</v>
      </c>
      <c r="F398" s="245">
        <v>5866.77</v>
      </c>
      <c r="G398" s="171">
        <f t="shared" si="390"/>
        <v>-2.4060861225793984E-3</v>
      </c>
      <c r="H398" s="246">
        <f t="shared" ref="H398" si="467">(F398-F$2)/F$2</f>
        <v>0.15222224404422896</v>
      </c>
      <c r="I398" s="554">
        <v>423985</v>
      </c>
      <c r="J398" s="248">
        <v>400000</v>
      </c>
      <c r="K398" s="248">
        <f t="shared" ref="K398" si="468">I398-I397-J398+J397</f>
        <v>-1424.2999999999884</v>
      </c>
      <c r="L398" s="171">
        <f t="shared" si="382"/>
        <v>-3.3480697295521947E-3</v>
      </c>
      <c r="M398" s="587">
        <f t="shared" ref="M398" si="469">I398-J398</f>
        <v>23985</v>
      </c>
      <c r="N398" s="250">
        <f t="shared" ref="N398" si="470">M398/J398</f>
        <v>5.9962500000000002E-2</v>
      </c>
      <c r="O398" s="183">
        <f t="shared" si="412"/>
        <v>3.6320569029850744E-2</v>
      </c>
      <c r="P398" s="249" t="b">
        <f t="shared" ref="P398" si="471">L398&gt;D398</f>
        <v>0</v>
      </c>
      <c r="Q398" s="250">
        <f>COUNTIF(P$2:P398, TRUE)/(COUNTIF(P$2:P398,FALSE) + COUNTIF(P$2:P398, TRUE))</f>
        <v>0.48866498740554154</v>
      </c>
      <c r="R398" s="248">
        <v>291945.2</v>
      </c>
      <c r="S398" s="248">
        <f t="shared" ref="S398" si="472">I398-R398</f>
        <v>132039.79999999999</v>
      </c>
      <c r="T398" s="248">
        <v>-32982</v>
      </c>
      <c r="U398" s="248">
        <f t="shared" ref="U398" si="473">M398-T398</f>
        <v>56967</v>
      </c>
      <c r="V398" s="250">
        <f>STDEV(D$2:D398)*SQRT(252)</f>
        <v>0.15261041063464104</v>
      </c>
      <c r="W398" s="250">
        <f>STDEV(L$2:L398)*SQRT(252)</f>
        <v>0.33104089578978618</v>
      </c>
      <c r="X398" s="174">
        <f t="shared" si="154"/>
        <v>0.10971626011100036</v>
      </c>
    </row>
    <row r="399" spans="1:24" ht="20.100000000000001" customHeight="1" x14ac:dyDescent="0.25">
      <c r="A399" s="163">
        <f t="shared" si="351"/>
        <v>604</v>
      </c>
      <c r="B399" s="242">
        <v>42837</v>
      </c>
      <c r="C399" s="332">
        <v>2344.9299999999998</v>
      </c>
      <c r="D399" s="171">
        <f t="shared" ref="D399:D401" si="474">(C399-C398)/C398</f>
        <v>-3.7599095922305243E-3</v>
      </c>
      <c r="E399" s="244">
        <f t="shared" ref="E399" si="475">(C399-$C$2)/$C$2</f>
        <v>0.11533741747683633</v>
      </c>
      <c r="F399" s="245">
        <v>5836.16</v>
      </c>
      <c r="G399" s="171">
        <f t="shared" si="390"/>
        <v>-5.2175217368331432E-3</v>
      </c>
      <c r="H399" s="246">
        <f t="shared" ref="H399" si="476">(F399-F$2)/F$2</f>
        <v>0.14621049944026554</v>
      </c>
      <c r="I399" s="554">
        <v>422212.73</v>
      </c>
      <c r="J399" s="248">
        <v>400000</v>
      </c>
      <c r="K399" s="248">
        <f t="shared" ref="K399" si="477">I399-I398-J399+J398</f>
        <v>-1772.2700000000186</v>
      </c>
      <c r="L399" s="171">
        <f t="shared" si="382"/>
        <v>-4.1800299538899219E-3</v>
      </c>
      <c r="M399" s="587">
        <f t="shared" ref="M399" si="478">I399-J399</f>
        <v>22212.729999999981</v>
      </c>
      <c r="N399" s="250">
        <f t="shared" ref="N399" si="479">M399/J399</f>
        <v>5.5531824999999951E-2</v>
      </c>
      <c r="O399" s="183">
        <f t="shared" si="412"/>
        <v>3.3581124306705269E-2</v>
      </c>
      <c r="P399" s="249" t="b">
        <f t="shared" ref="P399" si="480">L399&gt;D399</f>
        <v>0</v>
      </c>
      <c r="Q399" s="250">
        <f>COUNTIF(P$2:P399, TRUE)/(COUNTIF(P$2:P399,FALSE) + COUNTIF(P$2:P399, TRUE))</f>
        <v>0.48743718592964824</v>
      </c>
      <c r="R399" s="248">
        <v>291946.2</v>
      </c>
      <c r="S399" s="248">
        <f t="shared" ref="S399" si="481">I399-R399</f>
        <v>130266.52999999997</v>
      </c>
      <c r="T399" s="248">
        <v>-32526</v>
      </c>
      <c r="U399" s="248">
        <f t="shared" ref="U399" si="482">M399-T399</f>
        <v>54738.729999999981</v>
      </c>
      <c r="V399" s="250">
        <f>STDEV(D$2:D399)*SQRT(252)</f>
        <v>0.15245244674413128</v>
      </c>
      <c r="W399" s="250">
        <f>STDEV(L$2:L399)*SQRT(252)</f>
        <v>0.33064456752182653</v>
      </c>
      <c r="X399" s="174">
        <f t="shared" si="154"/>
        <v>0.10156260711734968</v>
      </c>
    </row>
    <row r="400" spans="1:24" ht="20.100000000000001" customHeight="1" x14ac:dyDescent="0.25">
      <c r="A400" s="163">
        <f t="shared" si="351"/>
        <v>605</v>
      </c>
      <c r="B400" s="242">
        <v>42838</v>
      </c>
      <c r="C400" s="332">
        <v>2328.9499999999998</v>
      </c>
      <c r="D400" s="171">
        <f t="shared" si="474"/>
        <v>-6.8147023578529076E-3</v>
      </c>
      <c r="E400" s="244">
        <f t="shared" ref="E400" si="483">(C400-$C$2)/$C$2</f>
        <v>0.10773672494815537</v>
      </c>
      <c r="F400" s="245">
        <v>5805.15</v>
      </c>
      <c r="G400" s="171">
        <f t="shared" si="390"/>
        <v>-5.3134252659283194E-3</v>
      </c>
      <c r="H400" s="246">
        <f t="shared" ref="H400" si="484">(F400-F$2)/F$2</f>
        <v>0.14012019561246733</v>
      </c>
      <c r="I400" s="554">
        <v>418306.53</v>
      </c>
      <c r="J400" s="248">
        <v>400000</v>
      </c>
      <c r="K400" s="248">
        <f t="shared" ref="K400" si="485">I400-I399-J400+J399</f>
        <v>-3906.1999999999534</v>
      </c>
      <c r="L400" s="171">
        <f t="shared" si="382"/>
        <v>-9.2517343093846405E-3</v>
      </c>
      <c r="M400" s="587">
        <f t="shared" ref="M400" si="486">I400-J400</f>
        <v>18306.530000000028</v>
      </c>
      <c r="N400" s="250">
        <f t="shared" ref="N400" si="487">M400/J400</f>
        <v>4.5766325000000073E-2</v>
      </c>
      <c r="O400" s="183">
        <f t="shared" si="412"/>
        <v>2.7630000340909136E-2</v>
      </c>
      <c r="P400" s="249" t="b">
        <f t="shared" ref="P400" si="488">L400&gt;D400</f>
        <v>0</v>
      </c>
      <c r="Q400" s="250">
        <f>COUNTIF(P$2:P400, TRUE)/(COUNTIF(P$2:P400,FALSE) + COUNTIF(P$2:P400, TRUE))</f>
        <v>0.48621553884711777</v>
      </c>
      <c r="R400" s="248">
        <v>286240.8</v>
      </c>
      <c r="S400" s="248">
        <f t="shared" ref="S400" si="489">I400-R400</f>
        <v>132065.73000000004</v>
      </c>
      <c r="T400" s="248">
        <v>-33099</v>
      </c>
      <c r="U400" s="248">
        <f t="shared" ref="U400" si="490">M400-T400</f>
        <v>51405.530000000028</v>
      </c>
      <c r="V400" s="250">
        <f>STDEV(D$2:D400)*SQRT(252)</f>
        <v>0.15236615023728597</v>
      </c>
      <c r="W400" s="250">
        <f>STDEV(L$2:L400)*SQRT(252)</f>
        <v>0.33032064931831551</v>
      </c>
      <c r="X400" s="174">
        <f t="shared" si="154"/>
        <v>8.3645997905154632E-2</v>
      </c>
    </row>
    <row r="401" spans="1:24" ht="20.100000000000001" customHeight="1" x14ac:dyDescent="0.25">
      <c r="A401" s="163">
        <f t="shared" si="351"/>
        <v>609</v>
      </c>
      <c r="B401" s="172">
        <v>42842</v>
      </c>
      <c r="C401" s="215">
        <v>2349.0100000000002</v>
      </c>
      <c r="D401" s="171">
        <f t="shared" si="474"/>
        <v>8.6133236007644651E-3</v>
      </c>
      <c r="E401" s="209">
        <f t="shared" ref="E401" si="491">(C401-$C$2)/$C$2</f>
        <v>0.11727801982458484</v>
      </c>
      <c r="F401" s="219">
        <v>5856.78</v>
      </c>
      <c r="G401" s="171">
        <f t="shared" si="390"/>
        <v>8.8938270328932263E-3</v>
      </c>
      <c r="H401" s="203">
        <f t="shared" ref="H401" si="492">(F401-F$2)/F$2</f>
        <v>0.15026022742895298</v>
      </c>
      <c r="I401" s="221">
        <v>420202.33</v>
      </c>
      <c r="J401" s="173">
        <v>400000</v>
      </c>
      <c r="K401" s="173">
        <f t="shared" ref="K401" si="493">I401-I400-J401+J400</f>
        <v>1895.7999999999884</v>
      </c>
      <c r="L401" s="171">
        <f t="shared" si="382"/>
        <v>4.5320832070204313E-3</v>
      </c>
      <c r="M401" s="182">
        <f t="shared" ref="M401" si="494">I401-J401</f>
        <v>20202.330000000016</v>
      </c>
      <c r="N401" s="184">
        <f t="shared" ref="N401" si="495">M401/J401</f>
        <v>5.0505825000000039E-2</v>
      </c>
      <c r="O401" s="183">
        <f t="shared" si="412"/>
        <v>3.0291055141625639E-2</v>
      </c>
      <c r="P401" s="182" t="b">
        <f t="shared" ref="P401" si="496">L401&gt;D401</f>
        <v>0</v>
      </c>
      <c r="Q401" s="184">
        <f>COUNTIF(P$2:P401, TRUE)/(COUNTIF(P$2:P401,FALSE) + COUNTIF(P$2:P401, TRUE))</f>
        <v>0.48499999999999999</v>
      </c>
      <c r="R401" s="173">
        <v>288136.59999999998</v>
      </c>
      <c r="S401" s="173">
        <f t="shared" ref="S401" si="497">I401-R401</f>
        <v>132065.73000000004</v>
      </c>
      <c r="T401" s="173">
        <v>-32580</v>
      </c>
      <c r="U401" s="173">
        <f t="shared" ref="U401" si="498">M401-T401</f>
        <v>52782.330000000016</v>
      </c>
      <c r="V401" s="184">
        <f>STDEV(D$2:D401)*SQRT(252)</f>
        <v>0.15231786401444669</v>
      </c>
      <c r="W401" s="184">
        <f>STDEV(L$2:L401)*SQRT(252)</f>
        <v>0.32992050318629979</v>
      </c>
      <c r="X401" s="174">
        <f t="shared" si="154"/>
        <v>9.1813193933330234E-2</v>
      </c>
    </row>
    <row r="402" spans="1:24" ht="20.100000000000001" customHeight="1" x14ac:dyDescent="0.25">
      <c r="A402" s="163">
        <f t="shared" si="351"/>
        <v>610</v>
      </c>
      <c r="B402" s="172">
        <v>42843</v>
      </c>
      <c r="C402" s="215">
        <v>2342.19</v>
      </c>
      <c r="D402" s="171">
        <f t="shared" ref="D402" si="499">(C402-C401)/C401</f>
        <v>-2.9033507733045678E-3</v>
      </c>
      <c r="E402" s="209">
        <f t="shared" ref="E402" si="500">(C402-$C$2)/$C$2</f>
        <v>0.11403416982173094</v>
      </c>
      <c r="F402" s="219">
        <v>5849.47</v>
      </c>
      <c r="G402" s="171">
        <f t="shared" ref="G402" si="501">(F402-F401)/F401</f>
        <v>-1.2481261034219299E-3</v>
      </c>
      <c r="H402" s="203">
        <f t="shared" ref="H402" si="502">(F402-F$2)/F$2</f>
        <v>0.14882455761337088</v>
      </c>
      <c r="I402" s="221">
        <v>417764.53</v>
      </c>
      <c r="J402" s="173">
        <v>400000</v>
      </c>
      <c r="K402" s="173">
        <f t="shared" ref="K402" si="503">I402-I401-J402+J401</f>
        <v>-2437.7999999999884</v>
      </c>
      <c r="L402" s="171">
        <f t="shared" ref="L402:L406" si="504">K402/I401</f>
        <v>-5.801490915102704E-3</v>
      </c>
      <c r="M402" s="182">
        <f t="shared" ref="M402" si="505">I402-J402</f>
        <v>17764.530000000028</v>
      </c>
      <c r="N402" s="184">
        <f t="shared" ref="N402" si="506">M402/J402</f>
        <v>4.4411325000000071E-2</v>
      </c>
      <c r="O402" s="183">
        <f t="shared" si="412"/>
        <v>2.6592190911885288E-2</v>
      </c>
      <c r="P402" s="182" t="b">
        <f t="shared" ref="P402" si="507">L402&gt;D402</f>
        <v>0</v>
      </c>
      <c r="Q402" s="184">
        <f>COUNTIF(P$2:P402, TRUE)/(COUNTIF(P$2:P402,FALSE) + COUNTIF(P$2:P402, TRUE))</f>
        <v>0.48379052369077308</v>
      </c>
      <c r="R402" s="173">
        <v>290653.2</v>
      </c>
      <c r="S402" s="173">
        <f t="shared" ref="S402" si="508">I402-R402</f>
        <v>127111.33000000002</v>
      </c>
      <c r="T402" s="173">
        <v>-32684</v>
      </c>
      <c r="U402" s="173">
        <f t="shared" ref="U402" si="509">M402-T402</f>
        <v>50448.530000000028</v>
      </c>
      <c r="V402" s="184">
        <f>STDEV(D$2:D402)*SQRT(252)</f>
        <v>0.15214843271809947</v>
      </c>
      <c r="W402" s="184">
        <f>STDEV(L$2:L402)*SQRT(252)</f>
        <v>0.32954563372803763</v>
      </c>
      <c r="X402" s="174">
        <f t="shared" si="154"/>
        <v>8.0693500960874159E-2</v>
      </c>
    </row>
    <row r="403" spans="1:24" ht="20.100000000000001" customHeight="1" x14ac:dyDescent="0.25">
      <c r="A403" s="163">
        <f t="shared" si="351"/>
        <v>611</v>
      </c>
      <c r="B403" s="172">
        <v>42844</v>
      </c>
      <c r="C403" s="215">
        <v>2338.17</v>
      </c>
      <c r="D403" s="171">
        <f t="shared" ref="D403:D406" si="510">(C403-C402)/C402</f>
        <v>-1.716342397499768E-3</v>
      </c>
      <c r="E403" s="209">
        <f t="shared" ref="E403" si="511">(C403-$C$2)/$C$2</f>
        <v>0.11212210574380245</v>
      </c>
      <c r="F403" s="219">
        <v>5863.03</v>
      </c>
      <c r="G403" s="171">
        <f t="shared" ref="G403:G406" si="512">(F403-F402)/F402</f>
        <v>2.3181587391677347E-3</v>
      </c>
      <c r="H403" s="203">
        <f t="shared" ref="H403" si="513">(F403-F$2)/F$2</f>
        <v>0.15148771530137281</v>
      </c>
      <c r="I403" s="221">
        <v>412053.83</v>
      </c>
      <c r="J403" s="173">
        <v>400000</v>
      </c>
      <c r="K403" s="173">
        <f t="shared" ref="K403" si="514">I403-I402-J403+J402</f>
        <v>-5710.7000000000116</v>
      </c>
      <c r="L403" s="171">
        <f t="shared" si="504"/>
        <v>-1.3669662189846542E-2</v>
      </c>
      <c r="M403" s="182">
        <f t="shared" ref="M403" si="515">I403-J403</f>
        <v>12053.830000000016</v>
      </c>
      <c r="N403" s="184">
        <f t="shared" ref="N403" si="516">M403/J403</f>
        <v>3.0134575000000042E-2</v>
      </c>
      <c r="O403" s="183">
        <f t="shared" si="412"/>
        <v>1.801416287847793E-2</v>
      </c>
      <c r="P403" s="182" t="b">
        <f t="shared" ref="P403" si="517">L403&gt;D403</f>
        <v>0</v>
      </c>
      <c r="Q403" s="184">
        <f>COUNTIF(P$2:P403, TRUE)/(COUNTIF(P$2:P403,FALSE) + COUNTIF(P$2:P403, TRUE))</f>
        <v>0.48258706467661694</v>
      </c>
      <c r="R403" s="173">
        <v>290014.5</v>
      </c>
      <c r="S403" s="173">
        <f t="shared" ref="S403" si="518">I403-R403</f>
        <v>122039.33000000002</v>
      </c>
      <c r="T403" s="173">
        <v>-34379</v>
      </c>
      <c r="U403" s="173">
        <f t="shared" ref="U403" si="519">M403-T403</f>
        <v>46432.830000000016</v>
      </c>
      <c r="V403" s="184">
        <f>STDEV(D$2:D403)*SQRT(252)</f>
        <v>0.15196666630040803</v>
      </c>
      <c r="W403" s="184">
        <f>STDEV(L$2:L403)*SQRT(252)</f>
        <v>0.32932657085630085</v>
      </c>
      <c r="X403" s="174">
        <f t="shared" si="154"/>
        <v>5.4699998337936338E-2</v>
      </c>
    </row>
    <row r="404" spans="1:24" ht="20.100000000000001" customHeight="1" x14ac:dyDescent="0.25">
      <c r="A404" s="163">
        <f t="shared" si="351"/>
        <v>612</v>
      </c>
      <c r="B404" s="172">
        <v>42845</v>
      </c>
      <c r="C404" s="215">
        <v>2355.84</v>
      </c>
      <c r="D404" s="171">
        <f t="shared" si="510"/>
        <v>7.5571921631019442E-3</v>
      </c>
      <c r="E404" s="209">
        <f t="shared" ref="E404" si="520">(C404-$C$2)/$C$2</f>
        <v>0.12052662620574194</v>
      </c>
      <c r="F404" s="219">
        <v>5916.77</v>
      </c>
      <c r="G404" s="171">
        <f t="shared" si="512"/>
        <v>9.1659090947855786E-3</v>
      </c>
      <c r="H404" s="203">
        <f t="shared" ref="H404" si="521">(F404-F$2)/F$2</f>
        <v>0.16204214702358755</v>
      </c>
      <c r="I404" s="221">
        <v>413381.09</v>
      </c>
      <c r="J404" s="173">
        <v>400000</v>
      </c>
      <c r="K404" s="173">
        <f t="shared" ref="K404" si="522">I404-I403-J404+J403</f>
        <v>1327.2600000000093</v>
      </c>
      <c r="L404" s="171">
        <f t="shared" si="504"/>
        <v>3.2210840025440591E-3</v>
      </c>
      <c r="M404" s="182">
        <f t="shared" ref="M404" si="523">I404-J404</f>
        <v>13381.090000000026</v>
      </c>
      <c r="N404" s="184">
        <f t="shared" ref="N404" si="524">M404/J404</f>
        <v>3.3452725000000065E-2</v>
      </c>
      <c r="O404" s="183">
        <f t="shared" si="412"/>
        <v>1.996504543504906E-2</v>
      </c>
      <c r="P404" s="182" t="b">
        <f t="shared" ref="P404" si="525">L404&gt;D404</f>
        <v>0</v>
      </c>
      <c r="Q404" s="184">
        <f>COUNTIF(P$2:P404, TRUE)/(COUNTIF(P$2:P404,FALSE) + COUNTIF(P$2:P404, TRUE))</f>
        <v>0.4813895781637717</v>
      </c>
      <c r="R404" s="173">
        <v>286755.8</v>
      </c>
      <c r="S404" s="173">
        <f t="shared" ref="S404" si="526">I404-R404</f>
        <v>126625.29000000004</v>
      </c>
      <c r="T404" s="173">
        <v>-34560</v>
      </c>
      <c r="U404" s="173">
        <f t="shared" ref="U404" si="527">M404-T404</f>
        <v>47941.090000000026</v>
      </c>
      <c r="V404" s="184">
        <f>STDEV(D$2:D404)*SQRT(252)</f>
        <v>0.15188546729503541</v>
      </c>
      <c r="W404" s="184">
        <f>STDEV(L$2:L404)*SQRT(252)</f>
        <v>0.32892263497234886</v>
      </c>
      <c r="X404" s="174">
        <f t="shared" si="154"/>
        <v>6.069830200870012E-2</v>
      </c>
    </row>
    <row r="405" spans="1:24" ht="20.100000000000001" customHeight="1" x14ac:dyDescent="0.25">
      <c r="A405" s="163">
        <f t="shared" si="351"/>
        <v>613</v>
      </c>
      <c r="B405" s="172">
        <v>42846</v>
      </c>
      <c r="C405" s="215">
        <v>2348.69</v>
      </c>
      <c r="D405" s="171">
        <f t="shared" si="510"/>
        <v>-3.035010866612372E-3</v>
      </c>
      <c r="E405" s="209">
        <f t="shared" ref="E405" si="528">(C405-$C$2)/$C$2</f>
        <v>0.11712581571887902</v>
      </c>
      <c r="F405" s="219">
        <v>5910.52</v>
      </c>
      <c r="G405" s="171">
        <f t="shared" si="512"/>
        <v>-1.0563195797707195E-3</v>
      </c>
      <c r="H405" s="203">
        <f t="shared" ref="H405" si="529">(F405-F$2)/F$2</f>
        <v>0.16081465915116772</v>
      </c>
      <c r="I405" s="221">
        <v>413138.88</v>
      </c>
      <c r="J405" s="173">
        <v>400000</v>
      </c>
      <c r="K405" s="173">
        <f t="shared" ref="K405" si="530">I405-I404-J405+J404</f>
        <v>-242.21000000002095</v>
      </c>
      <c r="L405" s="171">
        <f t="shared" si="504"/>
        <v>-5.8592423760850051E-4</v>
      </c>
      <c r="M405" s="182">
        <f t="shared" ref="M405" si="531">I405-J405</f>
        <v>13138.880000000005</v>
      </c>
      <c r="N405" s="184">
        <f t="shared" ref="N405" si="532">M405/J405</f>
        <v>3.2847200000000014E-2</v>
      </c>
      <c r="O405" s="183">
        <f t="shared" si="412"/>
        <v>1.9571679934747153E-2</v>
      </c>
      <c r="P405" s="182" t="b">
        <f t="shared" ref="P405" si="533">L405&gt;D405</f>
        <v>1</v>
      </c>
      <c r="Q405" s="184">
        <f>COUNTIF(P$2:P405, TRUE)/(COUNTIF(P$2:P405,FALSE) + COUNTIF(P$2:P405, TRUE))</f>
        <v>0.48267326732673266</v>
      </c>
      <c r="R405" s="173">
        <v>297467.59999999998</v>
      </c>
      <c r="S405" s="173">
        <f t="shared" ref="S405" si="534">I405-R405</f>
        <v>115671.28000000003</v>
      </c>
      <c r="T405" s="173">
        <v>-34397</v>
      </c>
      <c r="U405" s="173">
        <f t="shared" ref="U405" si="535">M405-T405</f>
        <v>47535.880000000005</v>
      </c>
      <c r="V405" s="184">
        <f>STDEV(D$2:D405)*SQRT(252)</f>
        <v>0.15171975521586792</v>
      </c>
      <c r="W405" s="184">
        <f>STDEV(L$2:L405)*SQRT(252)</f>
        <v>0.32851445080511427</v>
      </c>
      <c r="X405" s="174">
        <f t="shared" si="154"/>
        <v>5.9576313573973423E-2</v>
      </c>
    </row>
    <row r="406" spans="1:24" ht="20.100000000000001" customHeight="1" x14ac:dyDescent="0.25">
      <c r="A406" s="163">
        <f t="shared" si="351"/>
        <v>616</v>
      </c>
      <c r="B406" s="242">
        <v>42849</v>
      </c>
      <c r="C406" s="332">
        <v>2374.15</v>
      </c>
      <c r="D406" s="171">
        <f t="shared" si="510"/>
        <v>1.084008532415944E-2</v>
      </c>
      <c r="E406" s="244">
        <f t="shared" ref="E406" si="536">(C406-$C$2)/$C$2</f>
        <v>0.12923555487909288</v>
      </c>
      <c r="F406" s="245">
        <v>5983.81</v>
      </c>
      <c r="G406" s="171">
        <f t="shared" si="512"/>
        <v>1.2399924202946604E-2</v>
      </c>
      <c r="H406" s="246">
        <f t="shared" ref="H406" si="537">(F406-F$2)/F$2</f>
        <v>0.17520867293831149</v>
      </c>
      <c r="I406" s="554">
        <v>413141.03</v>
      </c>
      <c r="J406" s="248">
        <v>400000</v>
      </c>
      <c r="K406" s="248">
        <f t="shared" ref="K406" si="538">I406-I405-J406+J405</f>
        <v>2.1500000000232831</v>
      </c>
      <c r="L406" s="171">
        <f t="shared" si="504"/>
        <v>5.2040611622495641E-6</v>
      </c>
      <c r="M406" s="587">
        <f t="shared" ref="M406" si="539">I406-J406</f>
        <v>13141.030000000028</v>
      </c>
      <c r="N406" s="250">
        <f t="shared" ref="N406" si="540">M406/J406</f>
        <v>3.2852575000000071E-2</v>
      </c>
      <c r="O406" s="183">
        <f t="shared" si="412"/>
        <v>1.9479550355113676E-2</v>
      </c>
      <c r="P406" s="249" t="b">
        <f t="shared" ref="P406" si="541">L406&gt;D406</f>
        <v>0</v>
      </c>
      <c r="Q406" s="250">
        <f>COUNTIF(P$2:P406, TRUE)/(COUNTIF(P$2:P406,FALSE) + COUNTIF(P$2:P406, TRUE))</f>
        <v>0.48148148148148145</v>
      </c>
      <c r="R406" s="248">
        <v>297462.59999999998</v>
      </c>
      <c r="S406" s="248">
        <f t="shared" ref="S406" si="542">I406-R406</f>
        <v>115678.43000000005</v>
      </c>
      <c r="T406" s="248">
        <v>-34227</v>
      </c>
      <c r="U406" s="248">
        <f t="shared" ref="U406" si="543">M406-T406</f>
        <v>47368.030000000028</v>
      </c>
      <c r="V406" s="250">
        <f>STDEV(D$2:D406)*SQRT(252)</f>
        <v>0.15175900014627838</v>
      </c>
      <c r="W406" s="250">
        <f>STDEV(L$2:L406)*SQRT(252)</f>
        <v>0.32810686732873107</v>
      </c>
      <c r="X406" s="174">
        <f t="shared" si="154"/>
        <v>5.9369529549032775E-2</v>
      </c>
    </row>
    <row r="407" spans="1:24" ht="20.100000000000001" customHeight="1" x14ac:dyDescent="0.25">
      <c r="A407" s="163">
        <f t="shared" si="351"/>
        <v>617</v>
      </c>
      <c r="B407" s="242">
        <v>42850</v>
      </c>
      <c r="C407" s="332">
        <v>2388.61</v>
      </c>
      <c r="D407" s="171">
        <f t="shared" ref="D407" si="544">(C407-C406)/C406</f>
        <v>6.0906008466188053E-3</v>
      </c>
      <c r="E407" s="244">
        <f t="shared" ref="E407" si="545">(C407-$C$2)/$C$2</f>
        <v>0.13611327790567154</v>
      </c>
      <c r="F407" s="245">
        <v>6025.49</v>
      </c>
      <c r="G407" s="171">
        <f t="shared" ref="G407" si="546">(F407-F406)/F406</f>
        <v>6.9654618044355313E-3</v>
      </c>
      <c r="H407" s="246">
        <f t="shared" ref="H407" si="547">(F407-F$2)/F$2</f>
        <v>0.18339454406190467</v>
      </c>
      <c r="I407" s="554">
        <v>416914.62</v>
      </c>
      <c r="J407" s="248">
        <v>400000</v>
      </c>
      <c r="K407" s="248">
        <f t="shared" ref="K407" si="548">I407-I406-J407+J406</f>
        <v>3773.5899999999674</v>
      </c>
      <c r="L407" s="171">
        <f t="shared" ref="L407:L411" si="549">K407/I406</f>
        <v>9.1339027740720089E-3</v>
      </c>
      <c r="M407" s="587">
        <f t="shared" ref="M407" si="550">I407-J407</f>
        <v>16914.619999999995</v>
      </c>
      <c r="N407" s="250">
        <f t="shared" ref="N407" si="551">M407/J407</f>
        <v>4.2286549999999985E-2</v>
      </c>
      <c r="O407" s="183">
        <f t="shared" si="412"/>
        <v>2.5032678099675843E-2</v>
      </c>
      <c r="P407" s="249" t="b">
        <f t="shared" ref="P407" si="552">L407&gt;D407</f>
        <v>1</v>
      </c>
      <c r="Q407" s="250">
        <f>COUNTIF(P$2:P407, TRUE)/(COUNTIF(P$2:P407,FALSE) + COUNTIF(P$2:P407, TRUE))</f>
        <v>0.48275862068965519</v>
      </c>
      <c r="R407" s="248">
        <v>296317.5</v>
      </c>
      <c r="S407" s="248">
        <f t="shared" ref="S407" si="553">I407-R407</f>
        <v>120597.12</v>
      </c>
      <c r="T407" s="248">
        <v>-34395</v>
      </c>
      <c r="U407" s="248">
        <f t="shared" ref="U407" si="554">M407-T407</f>
        <v>51309.619999999995</v>
      </c>
      <c r="V407" s="250">
        <f>STDEV(D$2:D407)*SQRT(252)</f>
        <v>0.15163877531320741</v>
      </c>
      <c r="W407" s="250">
        <f>STDEV(L$2:L407)*SQRT(252)</f>
        <v>0.32777093379998218</v>
      </c>
      <c r="X407" s="174">
        <f t="shared" si="154"/>
        <v>7.6372476990140006E-2</v>
      </c>
    </row>
    <row r="408" spans="1:24" ht="20.100000000000001" customHeight="1" x14ac:dyDescent="0.25">
      <c r="A408" s="163">
        <f t="shared" si="351"/>
        <v>618</v>
      </c>
      <c r="B408" s="242">
        <v>42851</v>
      </c>
      <c r="C408" s="332">
        <v>2387.4499999999998</v>
      </c>
      <c r="D408" s="171">
        <f t="shared" ref="D408" si="555">(C408-C407)/C407</f>
        <v>-4.8563809077258708E-4</v>
      </c>
      <c r="E408" s="244">
        <f t="shared" ref="E408" si="556">(C408-$C$2)/$C$2</f>
        <v>0.13556153802248805</v>
      </c>
      <c r="F408" s="245">
        <v>6025.22</v>
      </c>
      <c r="G408" s="171">
        <f t="shared" ref="G408:G411" si="557">(F408-F407)/F407</f>
        <v>-4.4809633739252256E-5</v>
      </c>
      <c r="H408" s="246">
        <f t="shared" ref="H408" si="558">(F408-F$2)/F$2</f>
        <v>0.18334151658581621</v>
      </c>
      <c r="I408" s="554">
        <v>415083.58</v>
      </c>
      <c r="J408" s="248">
        <v>400000</v>
      </c>
      <c r="K408" s="248">
        <f t="shared" ref="K408" si="559">I408-I407-J408+J407</f>
        <v>-1831.039999999979</v>
      </c>
      <c r="L408" s="171">
        <f t="shared" si="549"/>
        <v>-4.3918824434604356E-3</v>
      </c>
      <c r="M408" s="587">
        <f t="shared" ref="M408" si="560">I408-J408</f>
        <v>15083.580000000016</v>
      </c>
      <c r="N408" s="250">
        <f t="shared" ref="N408" si="561">M408/J408</f>
        <v>3.770895000000004E-2</v>
      </c>
      <c r="O408" s="183">
        <f t="shared" si="412"/>
        <v>2.2286721662621384E-2</v>
      </c>
      <c r="P408" s="249" t="b">
        <f t="shared" ref="P408" si="562">L408&gt;D408</f>
        <v>0</v>
      </c>
      <c r="Q408" s="250">
        <f>COUNTIF(P$2:P408, TRUE)/(COUNTIF(P$2:P408,FALSE) + COUNTIF(P$2:P408, TRUE))</f>
        <v>0.48157248157248156</v>
      </c>
      <c r="R408" s="248">
        <v>288089.59999999998</v>
      </c>
      <c r="S408" s="248">
        <f t="shared" ref="S408" si="563">I408-R408</f>
        <v>126993.98000000004</v>
      </c>
      <c r="T408" s="248">
        <v>-34530</v>
      </c>
      <c r="U408" s="248">
        <f t="shared" ref="U408" si="564">M408-T408</f>
        <v>49613.580000000016</v>
      </c>
      <c r="V408" s="250">
        <f>STDEV(D$2:D408)*SQRT(252)</f>
        <v>0.15145291849813278</v>
      </c>
      <c r="W408" s="250">
        <f>STDEV(L$2:L408)*SQRT(252)</f>
        <v>0.32738912351132043</v>
      </c>
      <c r="X408" s="174">
        <f t="shared" si="154"/>
        <v>6.8074105283619041E-2</v>
      </c>
    </row>
    <row r="409" spans="1:24" ht="20.100000000000001" customHeight="1" x14ac:dyDescent="0.25">
      <c r="A409" s="163">
        <f t="shared" si="351"/>
        <v>619</v>
      </c>
      <c r="B409" s="242">
        <v>42852</v>
      </c>
      <c r="C409" s="332">
        <v>2388.77</v>
      </c>
      <c r="D409" s="171">
        <f t="shared" ref="D409:D411" si="565">(C409-C408)/C408</f>
        <v>5.5289116002436227E-4</v>
      </c>
      <c r="E409" s="244">
        <f t="shared" ref="E409" si="566">(C409-$C$2)/$C$2</f>
        <v>0.13618937995852434</v>
      </c>
      <c r="F409" s="245">
        <v>6048.93</v>
      </c>
      <c r="G409" s="171">
        <f t="shared" si="557"/>
        <v>3.9351260202947005E-3</v>
      </c>
      <c r="H409" s="246">
        <f t="shared" ref="H409" si="567">(F409-F$2)/F$2</f>
        <v>0.18799811457862806</v>
      </c>
      <c r="I409" s="554">
        <v>412891.26</v>
      </c>
      <c r="J409" s="248">
        <v>400000</v>
      </c>
      <c r="K409" s="248">
        <f t="shared" ref="K409" si="568">I409-I408-J409+J408</f>
        <v>-2192.320000000007</v>
      </c>
      <c r="L409" s="171">
        <f t="shared" si="549"/>
        <v>-5.2816350866011297E-3</v>
      </c>
      <c r="M409" s="587">
        <f t="shared" ref="M409" si="569">I409-J409</f>
        <v>12891.260000000009</v>
      </c>
      <c r="N409" s="250">
        <f t="shared" ref="N409" si="570">M409/J409</f>
        <v>3.2228150000000025E-2</v>
      </c>
      <c r="O409" s="183">
        <f t="shared" si="412"/>
        <v>1.9016691094507286E-2</v>
      </c>
      <c r="P409" s="249" t="b">
        <f t="shared" ref="P409" si="571">L409&gt;D409</f>
        <v>0</v>
      </c>
      <c r="Q409" s="250">
        <f>COUNTIF(P$2:P409, TRUE)/(COUNTIF(P$2:P409,FALSE) + COUNTIF(P$2:P409, TRUE))</f>
        <v>0.48039215686274511</v>
      </c>
      <c r="R409" s="248">
        <v>288090.59999999998</v>
      </c>
      <c r="S409" s="248">
        <f t="shared" ref="S409" si="572">I409-R409</f>
        <v>124800.66000000003</v>
      </c>
      <c r="T409" s="248">
        <v>-34529</v>
      </c>
      <c r="U409" s="248">
        <f t="shared" ref="U409" si="573">M409-T409</f>
        <v>47420.260000000009</v>
      </c>
      <c r="V409" s="250">
        <f>STDEV(D$2:D409)*SQRT(252)</f>
        <v>0.15126636249512601</v>
      </c>
      <c r="W409" s="250">
        <f>STDEV(L$2:L409)*SQRT(252)</f>
        <v>0.32701768242254636</v>
      </c>
      <c r="X409" s="174">
        <f t="shared" si="154"/>
        <v>5.8151874093265159E-2</v>
      </c>
    </row>
    <row r="410" spans="1:24" ht="20.100000000000001" customHeight="1" x14ac:dyDescent="0.25">
      <c r="A410" s="163">
        <f t="shared" si="351"/>
        <v>620</v>
      </c>
      <c r="B410" s="242">
        <v>42853</v>
      </c>
      <c r="C410" s="332">
        <v>2384.1999999999998</v>
      </c>
      <c r="D410" s="171">
        <f t="shared" si="565"/>
        <v>-1.913118466826092E-3</v>
      </c>
      <c r="E410" s="244">
        <f t="shared" ref="E410" si="574">(C410-$C$2)/$C$2</f>
        <v>0.13401571507391399</v>
      </c>
      <c r="F410" s="245">
        <v>6047.6</v>
      </c>
      <c r="G410" s="171">
        <f t="shared" si="557"/>
        <v>-2.1987359747921155E-4</v>
      </c>
      <c r="H410" s="246">
        <f t="shared" ref="H410" si="575">(F410-F$2)/F$2</f>
        <v>0.18773690515937713</v>
      </c>
      <c r="I410" s="653">
        <v>363198.65</v>
      </c>
      <c r="J410" s="248">
        <v>350000</v>
      </c>
      <c r="K410" s="248">
        <f t="shared" ref="K410" si="576">I410-I409-J410+J409</f>
        <v>307.39000000001397</v>
      </c>
      <c r="L410" s="171">
        <f t="shared" si="549"/>
        <v>7.4448173109795048E-4</v>
      </c>
      <c r="M410" s="414">
        <f t="shared" ref="M410" si="577">I410-J410</f>
        <v>13198.650000000023</v>
      </c>
      <c r="N410" s="250">
        <f t="shared" ref="N410" si="578">M410/J410</f>
        <v>3.7710428571428638E-2</v>
      </c>
      <c r="O410" s="183">
        <f t="shared" si="412"/>
        <v>2.2215700057603725E-2</v>
      </c>
      <c r="P410" s="249" t="b">
        <f t="shared" ref="P410" si="579">L410&gt;D410</f>
        <v>1</v>
      </c>
      <c r="Q410" s="250">
        <f>COUNTIF(P$2:P410, TRUE)/(COUNTIF(P$2:P410,FALSE) + COUNTIF(P$2:P410, TRUE))</f>
        <v>0.48166259168704156</v>
      </c>
      <c r="R410" s="248">
        <v>281056.2</v>
      </c>
      <c r="S410" s="248">
        <f t="shared" ref="S410" si="580">I410-R410</f>
        <v>82142.450000000012</v>
      </c>
      <c r="T410" s="248">
        <v>-33907</v>
      </c>
      <c r="U410" s="248">
        <f t="shared" ref="U410" si="581">M410-T410</f>
        <v>47105.650000000023</v>
      </c>
      <c r="V410" s="250">
        <f>STDEV(D$2:D410)*SQRT(252)</f>
        <v>0.15109096913628567</v>
      </c>
      <c r="W410" s="250">
        <f>STDEV(L$2:L410)*SQRT(252)</f>
        <v>0.32661574241785396</v>
      </c>
      <c r="X410" s="174">
        <f t="shared" si="154"/>
        <v>6.8017848414612544E-2</v>
      </c>
    </row>
    <row r="411" spans="1:24" ht="20.100000000000001" customHeight="1" x14ac:dyDescent="0.25">
      <c r="A411" s="163">
        <f t="shared" si="351"/>
        <v>623</v>
      </c>
      <c r="B411" s="172">
        <v>42856</v>
      </c>
      <c r="C411" s="215">
        <v>2388.33</v>
      </c>
      <c r="D411" s="171">
        <f t="shared" si="565"/>
        <v>1.7322372284204804E-3</v>
      </c>
      <c r="E411" s="209">
        <f t="shared" ref="E411" si="582">(C411-$C$2)/$C$2</f>
        <v>0.13598009931317892</v>
      </c>
      <c r="F411" s="219">
        <v>6091.6</v>
      </c>
      <c r="G411" s="171">
        <f t="shared" si="557"/>
        <v>7.2756134664991069E-3</v>
      </c>
      <c r="H411" s="203">
        <f t="shared" ref="H411" si="583">(F411-F$2)/F$2</f>
        <v>0.19637841978121268</v>
      </c>
      <c r="I411" s="221">
        <v>362499.32</v>
      </c>
      <c r="J411" s="173">
        <v>350000</v>
      </c>
      <c r="K411" s="173">
        <f t="shared" ref="K411" si="584">I411-I410-J411+J410</f>
        <v>-699.3300000000163</v>
      </c>
      <c r="L411" s="171">
        <f t="shared" si="549"/>
        <v>-1.9254752185891007E-3</v>
      </c>
      <c r="M411" s="182">
        <f t="shared" ref="M411" si="585">I411-J411</f>
        <v>12499.320000000007</v>
      </c>
      <c r="N411" s="184">
        <f t="shared" ref="N411" si="586">M411/J411</f>
        <v>3.5712342857142879E-2</v>
      </c>
      <c r="O411" s="183">
        <f t="shared" si="412"/>
        <v>2.0937292501719801E-2</v>
      </c>
      <c r="P411" s="182" t="b">
        <f t="shared" ref="P411" si="587">L411&gt;D411</f>
        <v>0</v>
      </c>
      <c r="Q411" s="184">
        <f>COUNTIF(P$2:P411, TRUE)/(COUNTIF(P$2:P411,FALSE) + COUNTIF(P$2:P411, TRUE))</f>
        <v>0.48048780487804876</v>
      </c>
      <c r="R411" s="173">
        <v>275826.90000000002</v>
      </c>
      <c r="S411" s="173">
        <f t="shared" ref="S411" si="588">I411-R411</f>
        <v>86672.419999999984</v>
      </c>
      <c r="T411" s="173">
        <v>-33709</v>
      </c>
      <c r="U411" s="173">
        <f t="shared" ref="U411" si="589">M411-T411</f>
        <v>46208.320000000007</v>
      </c>
      <c r="V411" s="184">
        <f>STDEV(D$2:D411)*SQRT(252)</f>
        <v>0.15090957633377333</v>
      </c>
      <c r="W411" s="184">
        <f>STDEV(L$2:L411)*SQRT(252)</f>
        <v>0.32622087133744371</v>
      </c>
      <c r="X411" s="174">
        <f t="shared" ref="X411:X474" si="590">O411/W411</f>
        <v>6.4181339519696803E-2</v>
      </c>
    </row>
    <row r="412" spans="1:24" ht="20.100000000000001" customHeight="1" x14ac:dyDescent="0.25">
      <c r="A412" s="163">
        <f t="shared" si="351"/>
        <v>624</v>
      </c>
      <c r="B412" s="172">
        <v>42857</v>
      </c>
      <c r="C412" s="215">
        <v>2391.17</v>
      </c>
      <c r="D412" s="171">
        <f t="shared" ref="D412" si="591">(C412-C411)/C411</f>
        <v>1.1891154069999311E-3</v>
      </c>
      <c r="E412" s="209">
        <f t="shared" ref="E412" si="592">(C412-$C$2)/$C$2</f>
        <v>0.13733091075131751</v>
      </c>
      <c r="F412" s="219">
        <v>6095.36</v>
      </c>
      <c r="G412" s="171">
        <f t="shared" ref="G412:G441" si="593">(F412-F411)/F411</f>
        <v>6.1724341716450667E-4</v>
      </c>
      <c r="H412" s="203">
        <f t="shared" ref="H412" si="594">(F412-F$2)/F$2</f>
        <v>0.1971168764852603</v>
      </c>
      <c r="I412" s="221">
        <v>359669.82</v>
      </c>
      <c r="J412" s="173">
        <v>350000</v>
      </c>
      <c r="K412" s="173">
        <f t="shared" ref="K412" si="595">I412-I411-J412+J411</f>
        <v>-2829.5</v>
      </c>
      <c r="L412" s="171">
        <f t="shared" ref="L412:L441" si="596">K412/I411</f>
        <v>-7.8055318834804989E-3</v>
      </c>
      <c r="M412" s="182">
        <f t="shared" ref="M412" si="597">I412-J412</f>
        <v>9669.820000000007</v>
      </c>
      <c r="N412" s="184">
        <f t="shared" ref="N412" si="598">M412/J412</f>
        <v>2.7628057142857161E-2</v>
      </c>
      <c r="O412" s="183">
        <f t="shared" si="412"/>
        <v>1.6171711332417592E-2</v>
      </c>
      <c r="P412" s="182" t="b">
        <f t="shared" ref="P412" si="599">L412&gt;D412</f>
        <v>0</v>
      </c>
      <c r="Q412" s="184">
        <f>COUNTIF(P$2:P412, TRUE)/(COUNTIF(P$2:P412,FALSE) + COUNTIF(P$2:P412, TRUE))</f>
        <v>0.47931873479318737</v>
      </c>
      <c r="R412" s="173">
        <v>278414.40000000002</v>
      </c>
      <c r="S412" s="173">
        <f t="shared" ref="S412" si="600">I412-R412</f>
        <v>81255.419999999984</v>
      </c>
      <c r="T412" s="173">
        <v>-34708</v>
      </c>
      <c r="U412" s="173">
        <f t="shared" ref="U412" si="601">M412-T412</f>
        <v>44377.820000000007</v>
      </c>
      <c r="V412" s="184">
        <f>STDEV(D$2:D412)*SQRT(252)</f>
        <v>0.1507263900275706</v>
      </c>
      <c r="W412" s="184">
        <f>STDEV(L$2:L412)*SQRT(252)</f>
        <v>0.32588707199779721</v>
      </c>
      <c r="X412" s="174">
        <f t="shared" si="590"/>
        <v>4.9623666361723308E-2</v>
      </c>
    </row>
    <row r="413" spans="1:24" ht="20.100000000000001" customHeight="1" x14ac:dyDescent="0.25">
      <c r="A413" s="163">
        <f t="shared" si="351"/>
        <v>625</v>
      </c>
      <c r="B413" s="172">
        <v>42858</v>
      </c>
      <c r="C413" s="215">
        <v>2388.13</v>
      </c>
      <c r="D413" s="171">
        <f t="shared" ref="D413" si="602">(C413-C412)/C412</f>
        <v>-1.2713441536988017E-3</v>
      </c>
      <c r="E413" s="209">
        <f t="shared" ref="E413" si="603">(C413-$C$2)/$C$2</f>
        <v>0.13588497174711289</v>
      </c>
      <c r="F413" s="219">
        <v>6072.55</v>
      </c>
      <c r="G413" s="171">
        <f t="shared" si="593"/>
        <v>-3.7421907811842929E-3</v>
      </c>
      <c r="H413" s="203">
        <f t="shared" ref="H413" si="604">(F413-F$2)/F$2</f>
        <v>0.19263703674607702</v>
      </c>
      <c r="I413" s="221">
        <v>359426.22</v>
      </c>
      <c r="J413" s="173">
        <v>350000</v>
      </c>
      <c r="K413" s="173">
        <f t="shared" ref="K413" si="605">I413-I412-J413+J412</f>
        <v>-243.60000000003492</v>
      </c>
      <c r="L413" s="171">
        <f t="shared" si="596"/>
        <v>-6.7728785250882302E-4</v>
      </c>
      <c r="M413" s="182">
        <f t="shared" ref="M413" si="606">I413-J413</f>
        <v>9426.2199999999721</v>
      </c>
      <c r="N413" s="184">
        <f t="shared" ref="N413" si="607">M413/J413</f>
        <v>2.6932057142857062E-2</v>
      </c>
      <c r="O413" s="183">
        <f t="shared" si="412"/>
        <v>1.5739094194285666E-2</v>
      </c>
      <c r="P413" s="182" t="b">
        <f t="shared" ref="P413" si="608">L413&gt;D413</f>
        <v>1</v>
      </c>
      <c r="Q413" s="184">
        <f>COUNTIF(P$2:P413, TRUE)/(COUNTIF(P$2:P413,FALSE) + COUNTIF(P$2:P413, TRUE))</f>
        <v>0.48058252427184467</v>
      </c>
      <c r="R413" s="173">
        <v>280568.8</v>
      </c>
      <c r="S413" s="173">
        <f t="shared" ref="S413" si="609">I413-R413</f>
        <v>78857.419999999984</v>
      </c>
      <c r="T413" s="173">
        <v>-36065</v>
      </c>
      <c r="U413" s="173">
        <f t="shared" ref="U413" si="610">M413-T413</f>
        <v>45491.219999999972</v>
      </c>
      <c r="V413" s="184">
        <f>STDEV(D$2:D413)*SQRT(252)</f>
        <v>0.1505478764486444</v>
      </c>
      <c r="W413" s="184">
        <f>STDEV(L$2:L413)*SQRT(252)</f>
        <v>0.32549069352237764</v>
      </c>
      <c r="X413" s="174">
        <f t="shared" si="590"/>
        <v>4.8354974527723617E-2</v>
      </c>
    </row>
    <row r="414" spans="1:24" ht="20.100000000000001" customHeight="1" x14ac:dyDescent="0.25">
      <c r="A414" s="163">
        <f t="shared" si="351"/>
        <v>626</v>
      </c>
      <c r="B414" s="172">
        <v>42859</v>
      </c>
      <c r="C414" s="215">
        <v>2389.52</v>
      </c>
      <c r="D414" s="171">
        <f t="shared" ref="D414:D426" si="611">(C414-C413)/C413</f>
        <v>5.8204536603948388E-4</v>
      </c>
      <c r="E414" s="209">
        <f t="shared" ref="E414" si="612">(C414-$C$2)/$C$2</f>
        <v>0.1365461083312722</v>
      </c>
      <c r="F414" s="219">
        <v>6075.33</v>
      </c>
      <c r="G414" s="171">
        <f t="shared" si="593"/>
        <v>4.5779779499547063E-4</v>
      </c>
      <c r="H414" s="203">
        <f t="shared" ref="H414" si="613">(F414-F$2)/F$2</f>
        <v>0.19318302335172932</v>
      </c>
      <c r="I414" s="221">
        <v>354486.32</v>
      </c>
      <c r="J414" s="173">
        <v>350000</v>
      </c>
      <c r="K414" s="173">
        <f t="shared" ref="K414" si="614">I414-I413-J414+J413</f>
        <v>-4939.8999999999651</v>
      </c>
      <c r="L414" s="171">
        <f t="shared" si="596"/>
        <v>-1.3743849850464347E-2</v>
      </c>
      <c r="M414" s="182">
        <f t="shared" ref="M414" si="615">I414-J414</f>
        <v>4486.320000000007</v>
      </c>
      <c r="N414" s="184">
        <f t="shared" ref="N414" si="616">M414/J414</f>
        <v>1.2818057142857163E-2</v>
      </c>
      <c r="O414" s="183">
        <f t="shared" si="412"/>
        <v>7.4789063441351097E-3</v>
      </c>
      <c r="P414" s="182" t="b">
        <f t="shared" ref="P414" si="617">L414&gt;D414</f>
        <v>0</v>
      </c>
      <c r="Q414" s="184">
        <f>COUNTIF(P$2:P414, TRUE)/(COUNTIF(P$2:P414,FALSE) + COUNTIF(P$2:P414, TRUE))</f>
        <v>0.47941888619854722</v>
      </c>
      <c r="R414" s="173">
        <v>275628.90000000002</v>
      </c>
      <c r="S414" s="173">
        <f t="shared" ref="S414" si="618">I414-R414</f>
        <v>78857.419999999984</v>
      </c>
      <c r="T414" s="173">
        <v>-36518</v>
      </c>
      <c r="U414" s="173">
        <f t="shared" ref="U414" si="619">M414-T414</f>
        <v>41004.320000000007</v>
      </c>
      <c r="V414" s="184">
        <f>STDEV(D$2:D414)*SQRT(252)</f>
        <v>0.15036472166048559</v>
      </c>
      <c r="W414" s="184">
        <f>STDEV(L$2:L414)*SQRT(252)</f>
        <v>0.32528498931668604</v>
      </c>
      <c r="X414" s="174">
        <f t="shared" si="590"/>
        <v>2.2991858185174078E-2</v>
      </c>
    </row>
    <row r="415" spans="1:24" ht="20.100000000000001" customHeight="1" x14ac:dyDescent="0.25">
      <c r="A415" s="163">
        <f t="shared" si="351"/>
        <v>627</v>
      </c>
      <c r="B415" s="172">
        <v>42860</v>
      </c>
      <c r="C415" s="215">
        <v>2399.29</v>
      </c>
      <c r="D415" s="171">
        <f t="shared" si="611"/>
        <v>4.0886872677357716E-3</v>
      </c>
      <c r="E415" s="209">
        <f t="shared" ref="E415" si="620">(C415-$C$2)/$C$2</f>
        <v>0.14119308993360091</v>
      </c>
      <c r="F415" s="219">
        <v>6100.75</v>
      </c>
      <c r="G415" s="171">
        <f t="shared" si="593"/>
        <v>4.1841348535799818E-3</v>
      </c>
      <c r="H415" s="203">
        <f t="shared" ref="H415" si="621">(F415-F$2)/F$2</f>
        <v>0.19817546202643521</v>
      </c>
      <c r="I415" s="221">
        <v>357180.36</v>
      </c>
      <c r="J415" s="173">
        <v>350000</v>
      </c>
      <c r="K415" s="173">
        <f t="shared" ref="K415" si="622">I415-I414-J415+J414</f>
        <v>2694.039999999979</v>
      </c>
      <c r="L415" s="171">
        <f t="shared" si="596"/>
        <v>7.5998419346619047E-3</v>
      </c>
      <c r="M415" s="182">
        <f t="shared" ref="M415" si="623">I415-J415</f>
        <v>7180.359999999986</v>
      </c>
      <c r="N415" s="184">
        <f t="shared" ref="N415" si="624">M415/J415</f>
        <v>2.0515314285714247E-2</v>
      </c>
      <c r="O415" s="183">
        <f t="shared" si="412"/>
        <v>1.1950906766917272E-2</v>
      </c>
      <c r="P415" s="182" t="b">
        <f t="shared" ref="P415" si="625">L415&gt;D415</f>
        <v>1</v>
      </c>
      <c r="Q415" s="184">
        <f>COUNTIF(P$2:P415, TRUE)/(COUNTIF(P$2:P415,FALSE) + COUNTIF(P$2:P415, TRUE))</f>
        <v>0.48067632850241548</v>
      </c>
      <c r="R415" s="173">
        <v>279741</v>
      </c>
      <c r="S415" s="173">
        <f t="shared" ref="S415" si="626">I415-R415</f>
        <v>77439.359999999986</v>
      </c>
      <c r="T415" s="173">
        <v>-36093</v>
      </c>
      <c r="U415" s="173">
        <f t="shared" ref="U415" si="627">M415-T415</f>
        <v>43273.359999999986</v>
      </c>
      <c r="V415" s="184">
        <f>STDEV(D$2:D415)*SQRT(252)</f>
        <v>0.15021044016687626</v>
      </c>
      <c r="W415" s="184">
        <f>STDEV(L$2:L415)*SQRT(252)</f>
        <v>0.32493792680240624</v>
      </c>
      <c r="X415" s="174">
        <f t="shared" si="590"/>
        <v>3.6779045414986541E-2</v>
      </c>
    </row>
    <row r="416" spans="1:24" ht="20.100000000000001" customHeight="1" x14ac:dyDescent="0.25">
      <c r="A416" s="163">
        <f t="shared" si="351"/>
        <v>630</v>
      </c>
      <c r="B416" s="242">
        <v>42863</v>
      </c>
      <c r="C416" s="332">
        <v>2399.38</v>
      </c>
      <c r="D416" s="171">
        <f t="shared" si="611"/>
        <v>3.7511097032932877E-5</v>
      </c>
      <c r="E416" s="244">
        <f t="shared" ref="E416" si="628">(C416-$C$2)/$C$2</f>
        <v>0.14123589733833072</v>
      </c>
      <c r="F416" s="245">
        <v>6102.66</v>
      </c>
      <c r="G416" s="171">
        <f t="shared" si="593"/>
        <v>3.1307626111541279E-4</v>
      </c>
      <c r="H416" s="246">
        <f t="shared" ref="H416" si="629">(F416-F$2)/F$2</f>
        <v>0.19855058232024669</v>
      </c>
      <c r="I416" s="554">
        <v>358405.67</v>
      </c>
      <c r="J416" s="248">
        <v>350000</v>
      </c>
      <c r="K416" s="248">
        <f t="shared" ref="K416" si="630">I416-I415-J416+J415</f>
        <v>1225.3099999999977</v>
      </c>
      <c r="L416" s="171">
        <f t="shared" si="596"/>
        <v>3.4305077692401613E-3</v>
      </c>
      <c r="M416" s="587">
        <f t="shared" ref="M416" si="631">I416-J416</f>
        <v>8405.6699999999837</v>
      </c>
      <c r="N416" s="250">
        <f t="shared" ref="N416" si="632">M416/J416</f>
        <v>2.4016199999999953E-2</v>
      </c>
      <c r="O416" s="183">
        <f t="shared" si="412"/>
        <v>1.392367785714283E-2</v>
      </c>
      <c r="P416" s="249" t="b">
        <f t="shared" ref="P416" si="633">L416&gt;D416</f>
        <v>1</v>
      </c>
      <c r="Q416" s="250">
        <f>COUNTIF(P$2:P416, TRUE)/(COUNTIF(P$2:P416,FALSE) + COUNTIF(P$2:P416, TRUE))</f>
        <v>0.48192771084337349</v>
      </c>
      <c r="R416" s="248">
        <v>276684</v>
      </c>
      <c r="S416" s="248">
        <f t="shared" ref="S416" si="634">I416-R416</f>
        <v>81721.669999999984</v>
      </c>
      <c r="T416" s="248">
        <v>-35635</v>
      </c>
      <c r="U416" s="248">
        <f t="shared" ref="U416" si="635">M416-T416</f>
        <v>44040.669999999984</v>
      </c>
      <c r="V416" s="250">
        <f>STDEV(D$2:D416)*SQRT(252)</f>
        <v>0.15002869389277509</v>
      </c>
      <c r="W416" s="250">
        <f>STDEV(L$2:L416)*SQRT(252)</f>
        <v>0.32455251041041699</v>
      </c>
      <c r="X416" s="174">
        <f t="shared" si="590"/>
        <v>4.2901155931702593E-2</v>
      </c>
    </row>
    <row r="417" spans="1:24" ht="20.100000000000001" customHeight="1" x14ac:dyDescent="0.25">
      <c r="A417" s="163">
        <f t="shared" si="351"/>
        <v>631</v>
      </c>
      <c r="B417" s="242">
        <v>42864</v>
      </c>
      <c r="C417" s="332">
        <v>2396.92</v>
      </c>
      <c r="D417" s="171">
        <f t="shared" si="611"/>
        <v>-1.0252648600888713E-3</v>
      </c>
      <c r="E417" s="244">
        <f t="shared" ref="E417" si="636">(C417-$C$2)/$C$2</f>
        <v>0.14006582827571773</v>
      </c>
      <c r="F417" s="245">
        <v>6120.58</v>
      </c>
      <c r="G417" s="171">
        <f t="shared" si="593"/>
        <v>2.9364244444226081E-3</v>
      </c>
      <c r="H417" s="246">
        <f t="shared" ref="H417" si="637">(F417-F$2)/F$2</f>
        <v>0.20207003554804881</v>
      </c>
      <c r="I417" s="554">
        <v>357612.56</v>
      </c>
      <c r="J417" s="248">
        <v>350000</v>
      </c>
      <c r="K417" s="248">
        <f t="shared" ref="K417" si="638">I417-I416-J417+J416</f>
        <v>-793.10999999998603</v>
      </c>
      <c r="L417" s="171">
        <f t="shared" si="596"/>
        <v>-2.2128835182768903E-3</v>
      </c>
      <c r="M417" s="587">
        <f t="shared" ref="M417" si="639">I417-J417</f>
        <v>7612.5599999999977</v>
      </c>
      <c r="N417" s="250">
        <f t="shared" ref="N417" si="640">M417/J417</f>
        <v>2.1750171428571424E-2</v>
      </c>
      <c r="O417" s="183">
        <f t="shared" si="412"/>
        <v>1.2589936789676247E-2</v>
      </c>
      <c r="P417" s="249" t="b">
        <f t="shared" ref="P417" si="641">L417&gt;D417</f>
        <v>0</v>
      </c>
      <c r="Q417" s="250">
        <f>COUNTIF(P$2:P417, TRUE)/(COUNTIF(P$2:P417,FALSE) + COUNTIF(P$2:P417, TRUE))</f>
        <v>0.48076923076923078</v>
      </c>
      <c r="R417" s="248">
        <v>250918.6</v>
      </c>
      <c r="S417" s="248">
        <f t="shared" ref="S417" si="642">I417-R417</f>
        <v>106693.95999999999</v>
      </c>
      <c r="T417" s="248">
        <v>-36105</v>
      </c>
      <c r="U417" s="248">
        <f t="shared" ref="U417" si="643">M417-T417</f>
        <v>43717.56</v>
      </c>
      <c r="V417" s="250">
        <f>STDEV(D$2:D417)*SQRT(252)</f>
        <v>0.1498512986426479</v>
      </c>
      <c r="W417" s="250">
        <f>STDEV(L$2:L417)*SQRT(252)</f>
        <v>0.32416708817907541</v>
      </c>
      <c r="X417" s="174">
        <f t="shared" si="590"/>
        <v>3.8837800778595243E-2</v>
      </c>
    </row>
    <row r="418" spans="1:24" ht="20.100000000000001" customHeight="1" x14ac:dyDescent="0.25">
      <c r="A418" s="163">
        <f t="shared" si="351"/>
        <v>632</v>
      </c>
      <c r="B418" s="242">
        <v>42865</v>
      </c>
      <c r="C418" s="332">
        <v>2399.63</v>
      </c>
      <c r="D418" s="171">
        <f t="shared" si="611"/>
        <v>1.1306176259533219E-3</v>
      </c>
      <c r="E418" s="244">
        <f t="shared" ref="E418" si="644">(C418-$C$2)/$C$2</f>
        <v>0.14135480679591333</v>
      </c>
      <c r="F418" s="245">
        <v>6129.14</v>
      </c>
      <c r="G418" s="171">
        <f t="shared" si="593"/>
        <v>1.3985602671642884E-3</v>
      </c>
      <c r="H418" s="246">
        <f t="shared" ref="H418" si="645">(F418-F$2)/F$2</f>
        <v>0.20375120293811508</v>
      </c>
      <c r="I418" s="554">
        <v>364191.11</v>
      </c>
      <c r="J418" s="248">
        <v>350000</v>
      </c>
      <c r="K418" s="248">
        <f t="shared" ref="K418" si="646">I418-I417-J418+J417</f>
        <v>6578.5499999999884</v>
      </c>
      <c r="L418" s="171">
        <f t="shared" si="596"/>
        <v>1.839574650286329E-2</v>
      </c>
      <c r="M418" s="587">
        <f t="shared" ref="M418" si="647">I418-J418</f>
        <v>14191.109999999986</v>
      </c>
      <c r="N418" s="250">
        <f t="shared" ref="N418" si="648">M418/J418</f>
        <v>4.0546028571428534E-2</v>
      </c>
      <c r="O418" s="183">
        <f t="shared" si="412"/>
        <v>2.3432653379294736E-2</v>
      </c>
      <c r="P418" s="249" t="b">
        <f t="shared" ref="P418" si="649">L418&gt;D418</f>
        <v>1</v>
      </c>
      <c r="Q418" s="250">
        <f>COUNTIF(P$2:P418, TRUE)/(COUNTIF(P$2:P418,FALSE) + COUNTIF(P$2:P418, TRUE))</f>
        <v>0.48201438848920863</v>
      </c>
      <c r="R418" s="248">
        <v>261546.2</v>
      </c>
      <c r="S418" s="248">
        <f t="shared" ref="S418" si="650">I418-R418</f>
        <v>102644.90999999997</v>
      </c>
      <c r="T418" s="248">
        <v>-32756</v>
      </c>
      <c r="U418" s="248">
        <f t="shared" ref="U418" si="651">M418-T418</f>
        <v>46947.109999999986</v>
      </c>
      <c r="V418" s="250">
        <f>STDEV(D$2:D418)*SQRT(252)</f>
        <v>0.14967184694168775</v>
      </c>
      <c r="W418" s="250">
        <f>STDEV(L$2:L418)*SQRT(252)</f>
        <v>0.32407666797384388</v>
      </c>
      <c r="X418" s="174">
        <f t="shared" si="590"/>
        <v>7.2305894545873259E-2</v>
      </c>
    </row>
    <row r="419" spans="1:24" ht="20.100000000000001" customHeight="1" x14ac:dyDescent="0.25">
      <c r="A419" s="163">
        <f t="shared" si="351"/>
        <v>633</v>
      </c>
      <c r="B419" s="242">
        <v>42866</v>
      </c>
      <c r="C419" s="332">
        <v>2394.44</v>
      </c>
      <c r="D419" s="171">
        <f t="shared" si="611"/>
        <v>-2.1628334368215328E-3</v>
      </c>
      <c r="E419" s="244">
        <f t="shared" ref="E419" si="652">(C419-$C$2)/$C$2</f>
        <v>0.13888624645649816</v>
      </c>
      <c r="F419" s="245">
        <v>6115.96</v>
      </c>
      <c r="G419" s="171">
        <f t="shared" si="593"/>
        <v>-2.1503832511576321E-3</v>
      </c>
      <c r="H419" s="246">
        <f t="shared" ref="H419" si="653">(F419-F$2)/F$2</f>
        <v>0.2011626765127561</v>
      </c>
      <c r="I419" s="554">
        <v>363186.71</v>
      </c>
      <c r="J419" s="248">
        <v>350000</v>
      </c>
      <c r="K419" s="248">
        <f t="shared" ref="K419" si="654">I419-I418-J419+J418</f>
        <v>-1004.3999999999651</v>
      </c>
      <c r="L419" s="171">
        <f t="shared" si="596"/>
        <v>-2.7578926899120768E-3</v>
      </c>
      <c r="M419" s="587">
        <f t="shared" ref="M419" si="655">I419-J419</f>
        <v>13186.710000000021</v>
      </c>
      <c r="N419" s="250">
        <f t="shared" ref="N419" si="656">M419/J419</f>
        <v>3.7676314285714343E-2</v>
      </c>
      <c r="O419" s="183">
        <f t="shared" si="412"/>
        <v>2.1739769025050811E-2</v>
      </c>
      <c r="P419" s="249" t="b">
        <f t="shared" ref="P419" si="657">L419&gt;D419</f>
        <v>0</v>
      </c>
      <c r="Q419" s="250">
        <f>COUNTIF(P$2:P419, TRUE)/(COUNTIF(P$2:P419,FALSE) + COUNTIF(P$2:P419, TRUE))</f>
        <v>0.48086124401913877</v>
      </c>
      <c r="R419" s="248">
        <v>265284.09999999998</v>
      </c>
      <c r="S419" s="248">
        <f t="shared" ref="S419" si="658">I419-R419</f>
        <v>97902.610000000044</v>
      </c>
      <c r="T419" s="248">
        <v>-32128</v>
      </c>
      <c r="U419" s="248">
        <f t="shared" ref="U419" si="659">M419-T419</f>
        <v>45314.710000000021</v>
      </c>
      <c r="V419" s="250">
        <f>STDEV(D$2:D419)*SQRT(252)</f>
        <v>0.14950473025316971</v>
      </c>
      <c r="W419" s="250">
        <f>STDEV(L$2:L419)*SQRT(252)</f>
        <v>0.32369692065240813</v>
      </c>
      <c r="X419" s="174">
        <f t="shared" si="590"/>
        <v>6.7160876851205475E-2</v>
      </c>
    </row>
    <row r="420" spans="1:24" ht="20.100000000000001" customHeight="1" x14ac:dyDescent="0.25">
      <c r="A420" s="163">
        <f t="shared" si="351"/>
        <v>634</v>
      </c>
      <c r="B420" s="242">
        <v>42867</v>
      </c>
      <c r="C420" s="332">
        <v>2390.9</v>
      </c>
      <c r="D420" s="171">
        <f t="shared" si="611"/>
        <v>-1.4784250179582547E-3</v>
      </c>
      <c r="E420" s="244">
        <f t="shared" ref="E420" si="660">(C420-$C$2)/$C$2</f>
        <v>0.1372024885371283</v>
      </c>
      <c r="F420" s="245">
        <v>6121.23</v>
      </c>
      <c r="G420" s="171">
        <f t="shared" si="593"/>
        <v>8.6167993250438639E-4</v>
      </c>
      <c r="H420" s="246">
        <f t="shared" ref="H420" si="661">(F420-F$2)/F$2</f>
        <v>0.20219769428678042</v>
      </c>
      <c r="I420" s="554">
        <v>359448.71</v>
      </c>
      <c r="J420" s="248">
        <v>350000</v>
      </c>
      <c r="K420" s="248">
        <f t="shared" ref="K420" si="662">I420-I419-J420+J419</f>
        <v>-3738</v>
      </c>
      <c r="L420" s="171">
        <f t="shared" si="596"/>
        <v>-1.0292226827352795E-2</v>
      </c>
      <c r="M420" s="587">
        <f t="shared" ref="M420" si="663">I420-J420</f>
        <v>9448.710000000021</v>
      </c>
      <c r="N420" s="250">
        <f t="shared" ref="N420" si="664">M420/J420</f>
        <v>2.6996314285714345E-2</v>
      </c>
      <c r="O420" s="183">
        <f t="shared" si="412"/>
        <v>1.555268737043717E-2</v>
      </c>
      <c r="P420" s="249" t="b">
        <f t="shared" ref="P420" si="665">L420&gt;D420</f>
        <v>0</v>
      </c>
      <c r="Q420" s="250">
        <f>COUNTIF(P$2:P420, TRUE)/(COUNTIF(P$2:P420,FALSE) + COUNTIF(P$2:P420, TRUE))</f>
        <v>0.47971360381861577</v>
      </c>
      <c r="R420" s="248">
        <v>266142.09999999998</v>
      </c>
      <c r="S420" s="248">
        <f t="shared" ref="S420" si="666">I420-R420</f>
        <v>93306.610000000044</v>
      </c>
      <c r="T420" s="248">
        <v>-32431</v>
      </c>
      <c r="U420" s="248">
        <f t="shared" ref="U420" si="667">M420-T420</f>
        <v>41879.710000000021</v>
      </c>
      <c r="V420" s="250">
        <f>STDEV(D$2:D420)*SQRT(252)</f>
        <v>0.14933215368764829</v>
      </c>
      <c r="W420" s="250">
        <f>STDEV(L$2:L420)*SQRT(252)</f>
        <v>0.32341728992205637</v>
      </c>
      <c r="X420" s="174">
        <f t="shared" si="590"/>
        <v>4.8088608293592995E-2</v>
      </c>
    </row>
    <row r="421" spans="1:24" ht="20.100000000000001" customHeight="1" x14ac:dyDescent="0.25">
      <c r="A421" s="163">
        <f t="shared" si="351"/>
        <v>637</v>
      </c>
      <c r="B421" s="172">
        <v>42870</v>
      </c>
      <c r="C421" s="215">
        <v>2402.3200000000002</v>
      </c>
      <c r="D421" s="171">
        <f t="shared" si="611"/>
        <v>4.7764440168974326E-3</v>
      </c>
      <c r="E421" s="209">
        <f t="shared" ref="E421" si="668">(C421-$C$2)/$C$2</f>
        <v>0.14263427255950234</v>
      </c>
      <c r="F421" s="219">
        <v>6149.47</v>
      </c>
      <c r="G421" s="171">
        <f t="shared" si="593"/>
        <v>4.6134518716010823E-3</v>
      </c>
      <c r="H421" s="203">
        <f t="shared" ref="H421" si="669">(F421-F$2)/F$2</f>
        <v>0.20774397548952225</v>
      </c>
      <c r="I421" s="221">
        <v>361662.81</v>
      </c>
      <c r="J421" s="173">
        <v>350000</v>
      </c>
      <c r="K421" s="173">
        <f t="shared" ref="K421" si="670">I421-I420-J421+J420</f>
        <v>2214.0999999999767</v>
      </c>
      <c r="L421" s="171">
        <f t="shared" si="596"/>
        <v>6.1597105189220925E-3</v>
      </c>
      <c r="M421" s="182">
        <f t="shared" ref="M421" si="671">I421-J421</f>
        <v>11662.809999999998</v>
      </c>
      <c r="N421" s="184">
        <f t="shared" ref="N421" si="672">M421/J421</f>
        <v>3.3322314285714277E-2</v>
      </c>
      <c r="O421" s="183">
        <f t="shared" si="412"/>
        <v>1.9106711605741192E-2</v>
      </c>
      <c r="P421" s="182" t="b">
        <f t="shared" ref="P421" si="673">L421&gt;D421</f>
        <v>1</v>
      </c>
      <c r="Q421" s="184">
        <f>COUNTIF(P$2:P421, TRUE)/(COUNTIF(P$2:P421,FALSE) + COUNTIF(P$2:P421, TRUE))</f>
        <v>0.48095238095238096</v>
      </c>
      <c r="R421" s="173">
        <v>268356.2</v>
      </c>
      <c r="S421" s="173">
        <f t="shared" ref="S421" si="674">I421-R421</f>
        <v>93306.609999999986</v>
      </c>
      <c r="T421" s="173">
        <v>-31638</v>
      </c>
      <c r="U421" s="173">
        <f t="shared" ref="U421" si="675">M421-T421</f>
        <v>43300.81</v>
      </c>
      <c r="V421" s="184">
        <f>STDEV(D$2:D421)*SQRT(252)</f>
        <v>0.14919288792479243</v>
      </c>
      <c r="W421" s="184">
        <f>STDEV(L$2:L421)*SQRT(252)</f>
        <v>0.32306020565165067</v>
      </c>
      <c r="X421" s="174">
        <f t="shared" si="590"/>
        <v>5.914288195044231E-2</v>
      </c>
    </row>
    <row r="422" spans="1:24" ht="20.100000000000001" customHeight="1" x14ac:dyDescent="0.25">
      <c r="A422" s="163">
        <f t="shared" si="351"/>
        <v>638</v>
      </c>
      <c r="B422" s="172">
        <v>42871</v>
      </c>
      <c r="C422" s="215">
        <v>2400.67</v>
      </c>
      <c r="D422" s="171">
        <f t="shared" si="611"/>
        <v>-6.8683605847684362E-4</v>
      </c>
      <c r="E422" s="209">
        <f t="shared" ref="E422" si="676">(C422-$C$2)/$C$2</f>
        <v>0.14184947013945701</v>
      </c>
      <c r="F422" s="219">
        <v>6169.87</v>
      </c>
      <c r="G422" s="171">
        <f t="shared" si="593"/>
        <v>3.3173590569593211E-3</v>
      </c>
      <c r="H422" s="203">
        <f t="shared" ref="H422" si="677">(F422-F$2)/F$2</f>
        <v>0.21175049590510048</v>
      </c>
      <c r="I422" s="221">
        <v>359481.11</v>
      </c>
      <c r="J422" s="173">
        <v>350000</v>
      </c>
      <c r="K422" s="173">
        <f t="shared" ref="K422" si="678">I422-I421-J422+J421</f>
        <v>-2181.7000000000116</v>
      </c>
      <c r="L422" s="171">
        <f t="shared" si="596"/>
        <v>-6.0324145576372964E-3</v>
      </c>
      <c r="M422" s="182">
        <f t="shared" ref="M422" si="679">I422-J422</f>
        <v>9481.109999999986</v>
      </c>
      <c r="N422" s="184">
        <f t="shared" ref="N422" si="680">M422/J422</f>
        <v>2.7088885714285676E-2</v>
      </c>
      <c r="O422" s="183">
        <f t="shared" si="412"/>
        <v>1.5508174776085961E-2</v>
      </c>
      <c r="P422" s="182" t="b">
        <f t="shared" ref="P422" si="681">L422&gt;D422</f>
        <v>0</v>
      </c>
      <c r="Q422" s="184">
        <f>COUNTIF(P$2:P422, TRUE)/(COUNTIF(P$2:P422,FALSE) + COUNTIF(P$2:P422, TRUE))</f>
        <v>0.47980997624703087</v>
      </c>
      <c r="R422" s="173">
        <v>272441</v>
      </c>
      <c r="S422" s="173">
        <f t="shared" ref="S422" si="682">I422-R422</f>
        <v>87040.109999999986</v>
      </c>
      <c r="T422" s="173">
        <v>-31956</v>
      </c>
      <c r="U422" s="173">
        <f t="shared" ref="U422" si="683">M422-T422</f>
        <v>41437.109999999986</v>
      </c>
      <c r="V422" s="184">
        <f>STDEV(D$2:D422)*SQRT(252)</f>
        <v>0.1490169627374561</v>
      </c>
      <c r="W422" s="184">
        <f>STDEV(L$2:L422)*SQRT(252)</f>
        <v>0.32271407708105421</v>
      </c>
      <c r="X422" s="174">
        <f t="shared" si="590"/>
        <v>4.8055464194054549E-2</v>
      </c>
    </row>
    <row r="423" spans="1:24" ht="20.100000000000001" customHeight="1" x14ac:dyDescent="0.25">
      <c r="A423" s="163">
        <f t="shared" si="351"/>
        <v>639</v>
      </c>
      <c r="B423" s="172">
        <v>42872</v>
      </c>
      <c r="C423" s="215">
        <v>2357.0300000000002</v>
      </c>
      <c r="D423" s="171">
        <f t="shared" si="611"/>
        <v>-1.8178258569482634E-2</v>
      </c>
      <c r="E423" s="209">
        <f t="shared" ref="E423" si="684">(C423-$C$2)/$C$2</f>
        <v>0.12109263522383523</v>
      </c>
      <c r="F423" s="219">
        <v>6011.23</v>
      </c>
      <c r="G423" s="171">
        <f t="shared" si="593"/>
        <v>-2.5712049038310422E-2</v>
      </c>
      <c r="H423" s="203">
        <f t="shared" ref="H423" si="685">(F423-F$2)/F$2</f>
        <v>0.18059390773219156</v>
      </c>
      <c r="I423" s="221">
        <v>358002.43</v>
      </c>
      <c r="J423" s="173">
        <v>350000</v>
      </c>
      <c r="K423" s="173">
        <f t="shared" ref="K423" si="686">I423-I422-J423+J422</f>
        <v>-1478.679999999993</v>
      </c>
      <c r="L423" s="171">
        <f t="shared" si="596"/>
        <v>-4.1133733007556175E-3</v>
      </c>
      <c r="M423" s="182">
        <f t="shared" ref="M423" si="687">I423-J423</f>
        <v>8002.429999999993</v>
      </c>
      <c r="N423" s="184">
        <f t="shared" ref="N423" si="688">M423/J423</f>
        <v>2.2864085714285696E-2</v>
      </c>
      <c r="O423" s="183">
        <f t="shared" si="412"/>
        <v>1.3069025519785369E-2</v>
      </c>
      <c r="P423" s="182" t="b">
        <f t="shared" ref="P423" si="689">L423&gt;D423</f>
        <v>1</v>
      </c>
      <c r="Q423" s="184">
        <f>COUNTIF(P$2:P423, TRUE)/(COUNTIF(P$2:P423,FALSE) + COUNTIF(P$2:P423, TRUE))</f>
        <v>0.48104265402843605</v>
      </c>
      <c r="R423" s="173">
        <v>277243.34999999998</v>
      </c>
      <c r="S423" s="173">
        <f t="shared" ref="S423" si="690">I423-R423</f>
        <v>80759.080000000016</v>
      </c>
      <c r="T423" s="173">
        <v>-31003</v>
      </c>
      <c r="U423" s="173">
        <f t="shared" ref="U423" si="691">M423-T423</f>
        <v>39005.429999999993</v>
      </c>
      <c r="V423" s="184">
        <f>STDEV(D$2:D423)*SQRT(252)</f>
        <v>0.1495288876053591</v>
      </c>
      <c r="W423" s="184">
        <f>STDEV(L$2:L423)*SQRT(252)</f>
        <v>0.32234925335581999</v>
      </c>
      <c r="X423" s="174">
        <f t="shared" si="590"/>
        <v>4.0543061240968153E-2</v>
      </c>
    </row>
    <row r="424" spans="1:24" ht="20.100000000000001" customHeight="1" x14ac:dyDescent="0.25">
      <c r="A424" s="163">
        <f t="shared" si="351"/>
        <v>640</v>
      </c>
      <c r="B424" s="172">
        <v>42873</v>
      </c>
      <c r="C424" s="215">
        <v>2365.7199999999998</v>
      </c>
      <c r="D424" s="171">
        <f t="shared" si="611"/>
        <v>3.686843188249449E-3</v>
      </c>
      <c r="E424" s="209">
        <f t="shared" ref="E424" si="692">(C424-$C$2)/$C$2</f>
        <v>0.12522592796940685</v>
      </c>
      <c r="F424" s="219">
        <v>6055.13</v>
      </c>
      <c r="G424" s="171">
        <f t="shared" si="593"/>
        <v>7.3029978889512714E-3</v>
      </c>
      <c r="H424" s="203">
        <f t="shared" ref="H424" si="693">(F424-F$2)/F$2</f>
        <v>0.18921578254806848</v>
      </c>
      <c r="I424" s="221">
        <v>358058.63</v>
      </c>
      <c r="J424" s="173">
        <v>350000</v>
      </c>
      <c r="K424" s="173">
        <f t="shared" ref="K424" si="694">I424-I423-J424+J423</f>
        <v>56.200000000011642</v>
      </c>
      <c r="L424" s="171">
        <f t="shared" si="596"/>
        <v>1.5698217467409827E-4</v>
      </c>
      <c r="M424" s="182">
        <f t="shared" ref="M424" si="695">I424-J424</f>
        <v>8058.6300000000047</v>
      </c>
      <c r="N424" s="184">
        <f t="shared" ref="N424" si="696">M424/J424</f>
        <v>2.3024657142857157E-2</v>
      </c>
      <c r="O424" s="183">
        <f t="shared" si="412"/>
        <v>1.3140243783482152E-2</v>
      </c>
      <c r="P424" s="182" t="b">
        <f t="shared" ref="P424" si="697">L424&gt;D424</f>
        <v>0</v>
      </c>
      <c r="Q424" s="184">
        <f>COUNTIF(P$2:P424, TRUE)/(COUNTIF(P$2:P424,FALSE) + COUNTIF(P$2:P424, TRUE))</f>
        <v>0.47990543735224589</v>
      </c>
      <c r="R424" s="173">
        <v>277930.2</v>
      </c>
      <c r="S424" s="173">
        <f t="shared" ref="S424" si="698">I424-R424</f>
        <v>80128.429999999993</v>
      </c>
      <c r="T424" s="173">
        <v>-30899</v>
      </c>
      <c r="U424" s="173">
        <f t="shared" ref="U424" si="699">M424-T424</f>
        <v>38957.630000000005</v>
      </c>
      <c r="V424" s="184">
        <f>STDEV(D$2:D424)*SQRT(252)</f>
        <v>0.14937391224983806</v>
      </c>
      <c r="W424" s="184">
        <f>STDEV(L$2:L424)*SQRT(252)</f>
        <v>0.32196627838552588</v>
      </c>
      <c r="X424" s="174">
        <f t="shared" si="590"/>
        <v>4.0812484616006534E-2</v>
      </c>
    </row>
    <row r="425" spans="1:24" ht="20.100000000000001" customHeight="1" x14ac:dyDescent="0.25">
      <c r="A425" s="163">
        <f t="shared" si="351"/>
        <v>641</v>
      </c>
      <c r="B425" s="172">
        <v>42874</v>
      </c>
      <c r="C425" s="215">
        <v>2381.73</v>
      </c>
      <c r="D425" s="171">
        <f t="shared" si="611"/>
        <v>6.7674957306867334E-3</v>
      </c>
      <c r="E425" s="209">
        <f t="shared" ref="E425" si="700">(C425-$C$2)/$C$2</f>
        <v>0.13284088963299784</v>
      </c>
      <c r="F425" s="219">
        <v>6083.7</v>
      </c>
      <c r="G425" s="171">
        <f t="shared" si="593"/>
        <v>4.7183132319206537E-3</v>
      </c>
      <c r="H425" s="203">
        <f t="shared" ref="H425" si="701">(F425-F$2)/F$2</f>
        <v>0.19482687511047392</v>
      </c>
      <c r="I425" s="221">
        <v>363364.53</v>
      </c>
      <c r="J425" s="173">
        <v>350000</v>
      </c>
      <c r="K425" s="173">
        <f t="shared" ref="K425" si="702">I425-I424-J425+J424</f>
        <v>5305.9000000000233</v>
      </c>
      <c r="L425" s="171">
        <f t="shared" si="596"/>
        <v>1.4818522877105415E-2</v>
      </c>
      <c r="M425" s="182">
        <f t="shared" ref="M425" si="703">I425-J425</f>
        <v>13364.530000000028</v>
      </c>
      <c r="N425" s="184">
        <f t="shared" ref="N425" si="704">M425/J425</f>
        <v>3.8184371428571506E-2</v>
      </c>
      <c r="O425" s="183">
        <f t="shared" si="412"/>
        <v>2.1757943314018317E-2</v>
      </c>
      <c r="P425" s="182" t="b">
        <f t="shared" ref="P425" si="705">L425&gt;D425</f>
        <v>1</v>
      </c>
      <c r="Q425" s="184">
        <f>COUNTIF(P$2:P425, TRUE)/(COUNTIF(P$2:P425,FALSE) + COUNTIF(P$2:P425, TRUE))</f>
        <v>0.48113207547169812</v>
      </c>
      <c r="R425" s="173">
        <v>263972.7</v>
      </c>
      <c r="S425" s="173">
        <f t="shared" ref="S425" si="706">I425-R425</f>
        <v>99391.830000000016</v>
      </c>
      <c r="T425" s="173">
        <v>-29778</v>
      </c>
      <c r="U425" s="173">
        <f t="shared" ref="U425" si="707">M425-T425</f>
        <v>43142.530000000028</v>
      </c>
      <c r="V425" s="184">
        <f>STDEV(D$2:D425)*SQRT(252)</f>
        <v>0.14927970106208843</v>
      </c>
      <c r="W425" s="184">
        <f>STDEV(L$2:L425)*SQRT(252)</f>
        <v>0.32177526697453379</v>
      </c>
      <c r="X425" s="174">
        <f t="shared" si="590"/>
        <v>6.7618445378340095E-2</v>
      </c>
    </row>
    <row r="426" spans="1:24" ht="20.100000000000001" customHeight="1" x14ac:dyDescent="0.25">
      <c r="A426" s="163">
        <f t="shared" si="351"/>
        <v>644</v>
      </c>
      <c r="B426" s="242">
        <v>42877</v>
      </c>
      <c r="C426" s="332">
        <v>2394.02</v>
      </c>
      <c r="D426" s="171">
        <f t="shared" si="611"/>
        <v>5.1601147065368294E-3</v>
      </c>
      <c r="E426" s="244">
        <f t="shared" ref="E426" si="708">(C426-$C$2)/$C$2</f>
        <v>0.13868647856775931</v>
      </c>
      <c r="F426" s="245">
        <v>6133.61</v>
      </c>
      <c r="G426" s="171">
        <f t="shared" si="593"/>
        <v>8.2038890806581284E-3</v>
      </c>
      <c r="H426" s="246">
        <f t="shared" ref="H426" si="709">(F426-F$2)/F$2</f>
        <v>0.20462910226446959</v>
      </c>
      <c r="I426" s="554">
        <v>362670.23</v>
      </c>
      <c r="J426" s="248">
        <v>350000</v>
      </c>
      <c r="K426" s="248">
        <f t="shared" ref="K426" si="710">I426-I425-J426+J425</f>
        <v>-694.30000000004657</v>
      </c>
      <c r="L426" s="171">
        <f t="shared" si="596"/>
        <v>-1.9107533693507358E-3</v>
      </c>
      <c r="M426" s="587">
        <f t="shared" ref="M426" si="711">I426-J426</f>
        <v>12670.229999999981</v>
      </c>
      <c r="N426" s="250">
        <f t="shared" ref="N426" si="712">M426/J426</f>
        <v>3.6200657142857091E-2</v>
      </c>
      <c r="O426" s="183">
        <f t="shared" si="412"/>
        <v>2.0531506244454274E-2</v>
      </c>
      <c r="P426" s="249" t="b">
        <f t="shared" ref="P426" si="713">L426&gt;D426</f>
        <v>0</v>
      </c>
      <c r="Q426" s="250">
        <f>COUNTIF(P$2:P426, TRUE)/(COUNTIF(P$2:P426,FALSE) + COUNTIF(P$2:P426, TRUE))</f>
        <v>0.48</v>
      </c>
      <c r="R426" s="248">
        <v>263278.40000000002</v>
      </c>
      <c r="S426" s="248">
        <f t="shared" ref="S426" si="714">I426-R426</f>
        <v>99391.829999999958</v>
      </c>
      <c r="T426" s="248">
        <v>-30076</v>
      </c>
      <c r="U426" s="248">
        <f t="shared" ref="U426" si="715">M426-T426</f>
        <v>42746.229999999981</v>
      </c>
      <c r="V426" s="250">
        <f>STDEV(D$2:D426)*SQRT(252)</f>
        <v>0.14914946204860074</v>
      </c>
      <c r="W426" s="250">
        <f>STDEV(L$2:L426)*SQRT(252)</f>
        <v>0.32140007588338698</v>
      </c>
      <c r="X426" s="174">
        <f t="shared" si="590"/>
        <v>6.388146047577066E-2</v>
      </c>
    </row>
    <row r="427" spans="1:24" ht="20.100000000000001" customHeight="1" x14ac:dyDescent="0.25">
      <c r="A427" s="163">
        <f t="shared" si="351"/>
        <v>645</v>
      </c>
      <c r="B427" s="242">
        <v>42878</v>
      </c>
      <c r="C427" s="332">
        <v>2398.42</v>
      </c>
      <c r="D427" s="171">
        <f t="shared" ref="D427" si="716">(C427-C426)/C426</f>
        <v>1.837912799391856E-3</v>
      </c>
      <c r="E427" s="244">
        <f t="shared" ref="E427" si="717">(C427-$C$2)/$C$2</f>
        <v>0.14077928502121345</v>
      </c>
      <c r="F427" s="245">
        <v>6138.71</v>
      </c>
      <c r="G427" s="171">
        <f t="shared" si="593"/>
        <v>8.3148423196133497E-4</v>
      </c>
      <c r="H427" s="246">
        <f t="shared" ref="H427" si="718">(F427-F$2)/F$2</f>
        <v>0.20563073236836424</v>
      </c>
      <c r="I427" s="554">
        <v>362550.99</v>
      </c>
      <c r="J427" s="248">
        <v>350000</v>
      </c>
      <c r="K427" s="248">
        <f t="shared" ref="K427" si="719">I427-I426-J427+J426</f>
        <v>-119.23999999999069</v>
      </c>
      <c r="L427" s="171">
        <f t="shared" si="596"/>
        <v>-3.2878353428675603E-4</v>
      </c>
      <c r="M427" s="587">
        <f t="shared" ref="M427" si="720">I427-J427</f>
        <v>12550.989999999991</v>
      </c>
      <c r="N427" s="250">
        <f t="shared" ref="N427" si="721">M427/J427</f>
        <v>3.5859971428571405E-2</v>
      </c>
      <c r="O427" s="183">
        <f t="shared" si="412"/>
        <v>2.0306751262458459E-2</v>
      </c>
      <c r="P427" s="249" t="b">
        <f t="shared" ref="P427" si="722">L427&gt;D427</f>
        <v>0</v>
      </c>
      <c r="Q427" s="250">
        <f>COUNTIF(P$2:P427, TRUE)/(COUNTIF(P$2:P427,FALSE) + COUNTIF(P$2:P427, TRUE))</f>
        <v>0.47887323943661969</v>
      </c>
      <c r="R427" s="248">
        <v>263158.59999999998</v>
      </c>
      <c r="S427" s="248">
        <f t="shared" ref="S427" si="723">I427-R427</f>
        <v>99392.390000000014</v>
      </c>
      <c r="T427" s="248">
        <v>-30424</v>
      </c>
      <c r="U427" s="248">
        <f t="shared" ref="U427" si="724">M427-T427</f>
        <v>42974.989999999991</v>
      </c>
      <c r="V427" s="250">
        <f>STDEV(D$2:D427)*SQRT(252)</f>
        <v>0.1489778784266331</v>
      </c>
      <c r="W427" s="250">
        <f>STDEV(L$2:L427)*SQRT(252)</f>
        <v>0.32102147148537991</v>
      </c>
      <c r="X427" s="174">
        <f t="shared" si="590"/>
        <v>6.3256676160937969E-2</v>
      </c>
    </row>
    <row r="428" spans="1:24" ht="20.100000000000001" customHeight="1" x14ac:dyDescent="0.25">
      <c r="A428" s="163">
        <f t="shared" si="351"/>
        <v>646</v>
      </c>
      <c r="B428" s="242">
        <v>42879</v>
      </c>
      <c r="C428" s="332">
        <v>2404.39</v>
      </c>
      <c r="D428" s="171">
        <f t="shared" ref="D428" si="725">(C428-C427)/C427</f>
        <v>2.4891386829662028E-3</v>
      </c>
      <c r="E428" s="244">
        <f t="shared" ref="E428" si="726">(C428-$C$2)/$C$2</f>
        <v>0.14361884286828627</v>
      </c>
      <c r="F428" s="245">
        <v>6163.02</v>
      </c>
      <c r="G428" s="171">
        <f t="shared" si="593"/>
        <v>3.9601153988379316E-3</v>
      </c>
      <c r="H428" s="246">
        <f t="shared" ref="H428" si="727">(F428-F$2)/F$2</f>
        <v>0.21040516919692848</v>
      </c>
      <c r="I428" s="554">
        <v>361217.77</v>
      </c>
      <c r="J428" s="248">
        <v>350000</v>
      </c>
      <c r="K428" s="248">
        <f t="shared" ref="K428" si="728">I428-I427-J428+J427</f>
        <v>-1333.2199999999721</v>
      </c>
      <c r="L428" s="171">
        <f t="shared" si="596"/>
        <v>-3.6773310148731689E-3</v>
      </c>
      <c r="M428" s="587">
        <f t="shared" ref="M428" si="729">I428-J428</f>
        <v>11217.770000000019</v>
      </c>
      <c r="N428" s="250">
        <f t="shared" ref="N428" si="730">M428/J428</f>
        <v>3.2050771428571483E-2</v>
      </c>
      <c r="O428" s="183">
        <f t="shared" si="412"/>
        <v>1.8121585548429929E-2</v>
      </c>
      <c r="P428" s="249" t="b">
        <f t="shared" ref="P428" si="731">L428&gt;D428</f>
        <v>0</v>
      </c>
      <c r="Q428" s="250">
        <f>COUNTIF(P$2:P428, TRUE)/(COUNTIF(P$2:P428,FALSE) + COUNTIF(P$2:P428, TRUE))</f>
        <v>0.47775175644028101</v>
      </c>
      <c r="R428" s="248">
        <v>265004.5</v>
      </c>
      <c r="S428" s="248">
        <f t="shared" ref="S428" si="732">I428-R428</f>
        <v>96213.270000000019</v>
      </c>
      <c r="T428" s="248">
        <v>-30852</v>
      </c>
      <c r="U428" s="248">
        <f t="shared" ref="U428" si="733">M428-T428</f>
        <v>42069.770000000019</v>
      </c>
      <c r="V428" s="250">
        <f>STDEV(D$2:D428)*SQRT(252)</f>
        <v>0.14881157011695953</v>
      </c>
      <c r="W428" s="250">
        <f>STDEV(L$2:L428)*SQRT(252)</f>
        <v>0.32065963038398737</v>
      </c>
      <c r="X428" s="174">
        <f t="shared" si="590"/>
        <v>5.651346110119778E-2</v>
      </c>
    </row>
    <row r="429" spans="1:24" ht="20.100000000000001" customHeight="1" x14ac:dyDescent="0.25">
      <c r="A429" s="163">
        <f t="shared" si="351"/>
        <v>647</v>
      </c>
      <c r="B429" s="242">
        <v>42880</v>
      </c>
      <c r="C429" s="332">
        <v>2415.0700000000002</v>
      </c>
      <c r="D429" s="171">
        <f t="shared" ref="D429" si="734">(C429-C428)/C428</f>
        <v>4.4418750701842426E-3</v>
      </c>
      <c r="E429" s="244">
        <f t="shared" ref="E429" si="735">(C429-$C$2)/$C$2</f>
        <v>0.14869865489621586</v>
      </c>
      <c r="F429" s="245">
        <v>6205.25</v>
      </c>
      <c r="G429" s="171">
        <f t="shared" si="593"/>
        <v>6.8521601422678428E-3</v>
      </c>
      <c r="H429" s="246">
        <f t="shared" ref="H429" si="736">(F429-F$2)/F$2</f>
        <v>0.21869905925329461</v>
      </c>
      <c r="I429" s="554">
        <v>353000.67</v>
      </c>
      <c r="J429" s="248">
        <v>350000</v>
      </c>
      <c r="K429" s="248">
        <f t="shared" ref="K429" si="737">I429-I428-J429+J428</f>
        <v>-8217.1000000000349</v>
      </c>
      <c r="L429" s="171">
        <f t="shared" si="596"/>
        <v>-2.2748327137947933E-2</v>
      </c>
      <c r="M429" s="587">
        <f t="shared" ref="M429" si="738">I429-J429</f>
        <v>3000.6699999999837</v>
      </c>
      <c r="N429" s="250">
        <f t="shared" ref="N429" si="739">M429/J429</f>
        <v>8.573342857142811E-3</v>
      </c>
      <c r="O429" s="183">
        <f t="shared" si="412"/>
        <v>4.8398971848089825E-3</v>
      </c>
      <c r="P429" s="249" t="b">
        <f t="shared" ref="P429" si="740">L429&gt;D429</f>
        <v>0</v>
      </c>
      <c r="Q429" s="250">
        <f>COUNTIF(P$2:P429, TRUE)/(COUNTIF(P$2:P429,FALSE) + COUNTIF(P$2:P429, TRUE))</f>
        <v>0.47663551401869159</v>
      </c>
      <c r="R429" s="248">
        <v>264898.2</v>
      </c>
      <c r="S429" s="248">
        <f t="shared" ref="S429" si="741">I429-R429</f>
        <v>88102.469999999972</v>
      </c>
      <c r="T429" s="248">
        <v>-32794</v>
      </c>
      <c r="U429" s="248">
        <f t="shared" ref="U429" si="742">M429-T429</f>
        <v>35794.669999999984</v>
      </c>
      <c r="V429" s="250">
        <f>STDEV(D$2:D429)*SQRT(252)</f>
        <v>0.14866989936871414</v>
      </c>
      <c r="W429" s="250">
        <f>STDEV(L$2:L429)*SQRT(252)</f>
        <v>0.32077996360853689</v>
      </c>
      <c r="X429" s="174">
        <f t="shared" si="590"/>
        <v>1.5087903653219875E-2</v>
      </c>
    </row>
    <row r="430" spans="1:24" ht="20.100000000000001" customHeight="1" x14ac:dyDescent="0.25">
      <c r="A430" s="163">
        <f t="shared" si="351"/>
        <v>648</v>
      </c>
      <c r="B430" s="242">
        <v>42881</v>
      </c>
      <c r="C430" s="332">
        <v>2415.8200000000002</v>
      </c>
      <c r="D430" s="171">
        <f t="shared" ref="D430:D441" si="743">(C430-C429)/C429</f>
        <v>3.105500047617667E-4</v>
      </c>
      <c r="E430" s="244">
        <f t="shared" ref="E430" si="744">(C430-$C$2)/$C$2</f>
        <v>0.14905538326896373</v>
      </c>
      <c r="F430" s="245">
        <v>6210.19</v>
      </c>
      <c r="G430" s="171">
        <f t="shared" si="593"/>
        <v>7.9610007654801977E-4</v>
      </c>
      <c r="H430" s="246">
        <f t="shared" ref="H430" si="745">(F430-F$2)/F$2</f>
        <v>0.21966926566765516</v>
      </c>
      <c r="I430" s="554">
        <v>353471.67</v>
      </c>
      <c r="J430" s="248">
        <v>350000</v>
      </c>
      <c r="K430" s="248">
        <f t="shared" ref="K430" si="746">I430-I429-J430+J429</f>
        <v>471</v>
      </c>
      <c r="L430" s="171">
        <f t="shared" si="596"/>
        <v>1.3342750879198049E-3</v>
      </c>
      <c r="M430" s="587">
        <f t="shared" ref="M430" si="747">I430-J430</f>
        <v>3471.6699999999837</v>
      </c>
      <c r="N430" s="250">
        <f t="shared" ref="N430" si="748">M430/J430</f>
        <v>9.9190571428570962E-3</v>
      </c>
      <c r="O430" s="183">
        <f t="shared" si="412"/>
        <v>5.5909500330687568E-3</v>
      </c>
      <c r="P430" s="249" t="b">
        <f t="shared" ref="P430" si="749">L430&gt;D430</f>
        <v>1</v>
      </c>
      <c r="Q430" s="250">
        <f>COUNTIF(P$2:P430, TRUE)/(COUNTIF(P$2:P430,FALSE) + COUNTIF(P$2:P430, TRUE))</f>
        <v>0.47785547785547783</v>
      </c>
      <c r="R430" s="248">
        <v>265363.20000000001</v>
      </c>
      <c r="S430" s="248">
        <f t="shared" ref="S430" si="750">I430-R430</f>
        <v>88108.469999999972</v>
      </c>
      <c r="T430" s="248">
        <v>-33110</v>
      </c>
      <c r="U430" s="248">
        <f t="shared" ref="U430" si="751">M430-T430</f>
        <v>36581.669999999984</v>
      </c>
      <c r="V430" s="250">
        <f>STDEV(D$2:D430)*SQRT(252)</f>
        <v>0.14849571742002676</v>
      </c>
      <c r="W430" s="250">
        <f>STDEV(L$2:L430)*SQRT(252)</f>
        <v>0.3204048737589808</v>
      </c>
      <c r="X430" s="174">
        <f t="shared" si="590"/>
        <v>1.7449641035343473E-2</v>
      </c>
    </row>
    <row r="431" spans="1:24" ht="20.100000000000001" customHeight="1" x14ac:dyDescent="0.25">
      <c r="A431" s="163">
        <f t="shared" si="351"/>
        <v>652</v>
      </c>
      <c r="B431" s="172">
        <v>42885</v>
      </c>
      <c r="C431" s="215">
        <v>2412.91</v>
      </c>
      <c r="D431" s="171">
        <f t="shared" si="743"/>
        <v>-1.204559942379941E-3</v>
      </c>
      <c r="E431" s="209">
        <f t="shared" ref="E431" si="752">(C431-$C$2)/$C$2</f>
        <v>0.1476712771827019</v>
      </c>
      <c r="F431" s="219">
        <v>6203.18</v>
      </c>
      <c r="G431" s="171">
        <f t="shared" si="593"/>
        <v>-1.1287899404042886E-3</v>
      </c>
      <c r="H431" s="203">
        <f t="shared" ref="H431" si="753">(F431-F$2)/F$2</f>
        <v>0.21829251526994922</v>
      </c>
      <c r="I431" s="221">
        <v>350229.07</v>
      </c>
      <c r="J431" s="173">
        <v>350000</v>
      </c>
      <c r="K431" s="173">
        <f t="shared" ref="K431" si="754">I431-I430-J431+J430</f>
        <v>-3242.5999999999767</v>
      </c>
      <c r="L431" s="171">
        <f t="shared" si="596"/>
        <v>-9.1735781823759077E-3</v>
      </c>
      <c r="M431" s="182">
        <f t="shared" ref="M431" si="755">I431-J431</f>
        <v>229.07000000000698</v>
      </c>
      <c r="N431" s="184">
        <f t="shared" ref="N431" si="756">M431/J431</f>
        <v>6.5448571428573419E-4</v>
      </c>
      <c r="O431" s="183">
        <f t="shared" si="412"/>
        <v>3.6664249561789024E-4</v>
      </c>
      <c r="P431" s="182" t="b">
        <f t="shared" ref="P431" si="757">L431&gt;D431</f>
        <v>0</v>
      </c>
      <c r="Q431" s="184">
        <f>COUNTIF(P$2:P431, TRUE)/(COUNTIF(P$2:P431,FALSE) + COUNTIF(P$2:P431, TRUE))</f>
        <v>0.47674418604651164</v>
      </c>
      <c r="R431" s="173">
        <v>262120.6</v>
      </c>
      <c r="S431" s="173">
        <f t="shared" ref="S431" si="758">I431-R431</f>
        <v>88108.47</v>
      </c>
      <c r="T431" s="173">
        <v>-35019</v>
      </c>
      <c r="U431" s="173">
        <f t="shared" ref="U431" si="759">M431-T431</f>
        <v>35248.070000000007</v>
      </c>
      <c r="V431" s="184">
        <f>STDEV(D$2:D431)*SQRT(252)</f>
        <v>0.14832703796630264</v>
      </c>
      <c r="W431" s="184">
        <f>STDEV(L$2:L431)*SQRT(252)</f>
        <v>0.32011502320683888</v>
      </c>
      <c r="X431" s="174">
        <f t="shared" si="590"/>
        <v>1.1453461069866381E-3</v>
      </c>
    </row>
    <row r="432" spans="1:24" ht="20.100000000000001" customHeight="1" x14ac:dyDescent="0.25">
      <c r="A432" s="163">
        <f t="shared" si="351"/>
        <v>653</v>
      </c>
      <c r="B432" s="172">
        <v>42886</v>
      </c>
      <c r="C432" s="215">
        <v>2411.8000000000002</v>
      </c>
      <c r="D432" s="171">
        <f t="shared" si="743"/>
        <v>-4.6002544645248791E-4</v>
      </c>
      <c r="E432" s="209">
        <f t="shared" ref="E432" si="760">(C432-$C$2)/$C$2</f>
        <v>0.14714331919103524</v>
      </c>
      <c r="F432" s="219">
        <v>6198.51</v>
      </c>
      <c r="G432" s="171">
        <f t="shared" si="593"/>
        <v>-7.5283967255505607E-4</v>
      </c>
      <c r="H432" s="203">
        <f t="shared" ref="H432" si="761">(F432-F$2)/F$2</f>
        <v>0.21737533633167713</v>
      </c>
      <c r="I432" s="415">
        <v>349203.17</v>
      </c>
      <c r="J432" s="173">
        <v>350000</v>
      </c>
      <c r="K432" s="173">
        <f t="shared" ref="K432" si="762">I432-I431-J432+J431</f>
        <v>-1025.9000000000233</v>
      </c>
      <c r="L432" s="171">
        <f t="shared" si="596"/>
        <v>-2.9292257207547715E-3</v>
      </c>
      <c r="M432" s="415">
        <f t="shared" ref="M432" si="763">I432-J432</f>
        <v>-796.8300000000163</v>
      </c>
      <c r="N432" s="184">
        <f t="shared" ref="N432" si="764">M432/J432</f>
        <v>-2.2766571428571893E-3</v>
      </c>
      <c r="O432" s="183">
        <f t="shared" si="412"/>
        <v>-1.2734288230146836E-3</v>
      </c>
      <c r="P432" s="182" t="b">
        <f t="shared" ref="P432" si="765">L432&gt;D432</f>
        <v>0</v>
      </c>
      <c r="Q432" s="184">
        <f>COUNTIF(P$2:P432, TRUE)/(COUNTIF(P$2:P432,FALSE) + COUNTIF(P$2:P432, TRUE))</f>
        <v>0.47563805104408352</v>
      </c>
      <c r="R432" s="173">
        <v>265165.09999999998</v>
      </c>
      <c r="S432" s="173">
        <f t="shared" ref="S432" si="766">I432-R432</f>
        <v>84038.07</v>
      </c>
      <c r="T432" s="173">
        <v>-35731</v>
      </c>
      <c r="U432" s="173">
        <f t="shared" ref="U432" si="767">M432-T432</f>
        <v>34934.169999999984</v>
      </c>
      <c r="V432" s="184">
        <f>STDEV(D$2:D432)*SQRT(252)</f>
        <v>0.14815540660544116</v>
      </c>
      <c r="W432" s="184">
        <f>STDEV(L$2:L432)*SQRT(252)</f>
        <v>0.31975192949675368</v>
      </c>
      <c r="X432" s="174">
        <f t="shared" si="590"/>
        <v>-3.9825524274986817E-3</v>
      </c>
    </row>
    <row r="433" spans="1:24" ht="20.100000000000001" customHeight="1" x14ac:dyDescent="0.25">
      <c r="A433" s="163">
        <f t="shared" si="351"/>
        <v>654</v>
      </c>
      <c r="B433" s="172">
        <v>42887</v>
      </c>
      <c r="C433" s="215">
        <v>2430.06</v>
      </c>
      <c r="D433" s="171">
        <f t="shared" si="743"/>
        <v>7.5711087154821137E-3</v>
      </c>
      <c r="E433" s="209">
        <f t="shared" ref="E433" si="768">(C433-$C$2)/$C$2</f>
        <v>0.15582846597286956</v>
      </c>
      <c r="F433" s="219">
        <v>6246.83</v>
      </c>
      <c r="G433" s="171">
        <f t="shared" si="593"/>
        <v>7.7954218029816372E-3</v>
      </c>
      <c r="H433" s="203">
        <f t="shared" ref="H433" si="769">(F433-F$2)/F$2</f>
        <v>0.22686529057092919</v>
      </c>
      <c r="I433" s="221">
        <v>353722.21</v>
      </c>
      <c r="J433" s="173">
        <v>350000</v>
      </c>
      <c r="K433" s="173">
        <f t="shared" ref="K433" si="770">I433-I432-J433+J432</f>
        <v>4519.0400000000373</v>
      </c>
      <c r="L433" s="171">
        <f t="shared" si="596"/>
        <v>1.2941005088814163E-2</v>
      </c>
      <c r="M433" s="182">
        <f t="shared" ref="M433" si="771">I433-J433</f>
        <v>3722.210000000021</v>
      </c>
      <c r="N433" s="184">
        <f t="shared" ref="N433" si="772">M433/J433</f>
        <v>1.0634885714285775E-2</v>
      </c>
      <c r="O433" s="183">
        <f t="shared" si="412"/>
        <v>5.9394373197903354E-3</v>
      </c>
      <c r="P433" s="182" t="b">
        <f t="shared" ref="P433" si="773">L433&gt;D433</f>
        <v>1</v>
      </c>
      <c r="Q433" s="184">
        <f>COUNTIF(P$2:P433, TRUE)/(COUNTIF(P$2:P433,FALSE) + COUNTIF(P$2:P433, TRUE))</f>
        <v>0.47685185185185186</v>
      </c>
      <c r="R433" s="173">
        <v>269546.90000000002</v>
      </c>
      <c r="S433" s="173">
        <f t="shared" ref="S433" si="774">I433-R433</f>
        <v>84175.31</v>
      </c>
      <c r="T433" s="173">
        <v>-33352</v>
      </c>
      <c r="U433" s="173">
        <f t="shared" ref="U433" si="775">M433-T433</f>
        <v>37074.210000000021</v>
      </c>
      <c r="V433" s="184">
        <f>STDEV(D$2:D433)*SQRT(252)</f>
        <v>0.14808564864409832</v>
      </c>
      <c r="W433" s="184">
        <f>STDEV(L$2:L433)*SQRT(252)</f>
        <v>0.31952378804389292</v>
      </c>
      <c r="X433" s="174">
        <f t="shared" si="590"/>
        <v>1.8588404187842304E-2</v>
      </c>
    </row>
    <row r="434" spans="1:24" ht="20.100000000000001" customHeight="1" x14ac:dyDescent="0.25">
      <c r="A434" s="163">
        <f t="shared" si="351"/>
        <v>655</v>
      </c>
      <c r="B434" s="172">
        <v>42888</v>
      </c>
      <c r="C434" s="215">
        <v>2439.0700000000002</v>
      </c>
      <c r="D434" s="171">
        <f t="shared" si="743"/>
        <v>3.7077273812170146E-3</v>
      </c>
      <c r="E434" s="209">
        <f t="shared" ref="E434" si="776">(C434-$C$2)/$C$2</f>
        <v>0.16011396282414722</v>
      </c>
      <c r="F434" s="219">
        <v>6305.79</v>
      </c>
      <c r="G434" s="171">
        <f t="shared" si="593"/>
        <v>9.4383871499624673E-3</v>
      </c>
      <c r="H434" s="203">
        <f t="shared" ref="H434" si="777">(F434-F$2)/F$2</f>
        <v>0.23844492016418881</v>
      </c>
      <c r="I434" s="221">
        <v>351458.31</v>
      </c>
      <c r="J434" s="173">
        <v>350000</v>
      </c>
      <c r="K434" s="173">
        <f t="shared" ref="K434" si="778">I434-I433-J434+J433</f>
        <v>-2263.9000000000233</v>
      </c>
      <c r="L434" s="171">
        <f t="shared" si="596"/>
        <v>-6.4002201049236434E-3</v>
      </c>
      <c r="M434" s="182">
        <f t="shared" ref="M434" si="779">I434-J434</f>
        <v>1458.3099999999977</v>
      </c>
      <c r="N434" s="184">
        <f t="shared" ref="N434" si="780">M434/J434</f>
        <v>4.1665999999999934E-3</v>
      </c>
      <c r="O434" s="183">
        <f t="shared" si="412"/>
        <v>2.3234361068702252E-3</v>
      </c>
      <c r="P434" s="182" t="b">
        <f t="shared" ref="P434" si="781">L434&gt;D434</f>
        <v>0</v>
      </c>
      <c r="Q434" s="184">
        <f>COUNTIF(P$2:P434, TRUE)/(COUNTIF(P$2:P434,FALSE) + COUNTIF(P$2:P434, TRUE))</f>
        <v>0.47575057736720555</v>
      </c>
      <c r="R434" s="173">
        <v>282327.40000000002</v>
      </c>
      <c r="S434" s="173">
        <f t="shared" ref="S434" si="782">I434-R434</f>
        <v>69130.909999999974</v>
      </c>
      <c r="T434" s="173">
        <v>-36002</v>
      </c>
      <c r="U434" s="173">
        <f t="shared" ref="U434" si="783">M434-T434</f>
        <v>37460.31</v>
      </c>
      <c r="V434" s="184">
        <f>STDEV(D$2:D434)*SQRT(252)</f>
        <v>0.14793559836685169</v>
      </c>
      <c r="W434" s="184">
        <f>STDEV(L$2:L434)*SQRT(252)</f>
        <v>0.31919554315894061</v>
      </c>
      <c r="X434" s="174">
        <f t="shared" si="590"/>
        <v>7.2790368057027996E-3</v>
      </c>
    </row>
    <row r="435" spans="1:24" ht="20.100000000000001" customHeight="1" x14ac:dyDescent="0.25">
      <c r="A435" s="163">
        <f t="shared" si="351"/>
        <v>658</v>
      </c>
      <c r="B435" s="242">
        <v>42891</v>
      </c>
      <c r="C435" s="332">
        <v>2436.1</v>
      </c>
      <c r="D435" s="171">
        <f t="shared" si="743"/>
        <v>-1.217677229435914E-3</v>
      </c>
      <c r="E435" s="244">
        <f t="shared" ref="E435" si="784">(C435-$C$2)/$C$2</f>
        <v>0.15870131846806559</v>
      </c>
      <c r="F435" s="245">
        <v>6295.68</v>
      </c>
      <c r="G435" s="171">
        <f t="shared" si="593"/>
        <v>-1.6032884063693325E-3</v>
      </c>
      <c r="H435" s="246">
        <f t="shared" ref="H435" si="785">(F435-F$2)/F$2</f>
        <v>0.23645933578176256</v>
      </c>
      <c r="I435" s="554">
        <v>351519.71</v>
      </c>
      <c r="J435" s="248">
        <v>350000</v>
      </c>
      <c r="K435" s="248">
        <f t="shared" ref="K435" si="786">I435-I434-J435+J434</f>
        <v>61.400000000023283</v>
      </c>
      <c r="L435" s="171">
        <f t="shared" si="596"/>
        <v>1.7470066364350093E-4</v>
      </c>
      <c r="M435" s="587">
        <f t="shared" ref="M435" si="787">I435-J435</f>
        <v>1519.710000000021</v>
      </c>
      <c r="N435" s="250">
        <f t="shared" ref="N435" si="788">M435/J435</f>
        <v>4.3420285714286314E-3</v>
      </c>
      <c r="O435" s="183">
        <f t="shared" si="412"/>
        <v>2.4102217867998598E-3</v>
      </c>
      <c r="P435" s="249" t="b">
        <f t="shared" ref="P435" si="789">L435&gt;D435</f>
        <v>1</v>
      </c>
      <c r="Q435" s="250">
        <f>COUNTIF(P$2:P435, TRUE)/(COUNTIF(P$2:P435,FALSE) + COUNTIF(P$2:P435, TRUE))</f>
        <v>0.47695852534562211</v>
      </c>
      <c r="R435" s="248">
        <v>282388.8</v>
      </c>
      <c r="S435" s="248">
        <f t="shared" ref="S435" si="790">I435-R435</f>
        <v>69130.910000000033</v>
      </c>
      <c r="T435" s="248">
        <v>-35772</v>
      </c>
      <c r="U435" s="248">
        <f t="shared" ref="U435" si="791">M435-T435</f>
        <v>37291.710000000021</v>
      </c>
      <c r="V435" s="250">
        <f>STDEV(D$2:D435)*SQRT(252)</f>
        <v>0.14776934878372619</v>
      </c>
      <c r="W435" s="250">
        <f>STDEV(L$2:L435)*SQRT(252)</f>
        <v>0.31882594274949316</v>
      </c>
      <c r="X435" s="174">
        <f t="shared" si="590"/>
        <v>7.5596790085981523E-3</v>
      </c>
    </row>
    <row r="436" spans="1:24" ht="20.100000000000001" customHeight="1" x14ac:dyDescent="0.25">
      <c r="A436" s="163">
        <f t="shared" si="351"/>
        <v>659</v>
      </c>
      <c r="B436" s="242">
        <v>42892</v>
      </c>
      <c r="C436" s="332">
        <v>2429.33</v>
      </c>
      <c r="D436" s="171">
        <f t="shared" si="743"/>
        <v>-2.7790320594392602E-3</v>
      </c>
      <c r="E436" s="244">
        <f t="shared" ref="E436" si="792">(C436-$C$2)/$C$2</f>
        <v>0.1554812503567283</v>
      </c>
      <c r="F436" s="245">
        <v>6275.02</v>
      </c>
      <c r="G436" s="171">
        <f t="shared" si="593"/>
        <v>-3.2816153298769715E-3</v>
      </c>
      <c r="H436" s="246">
        <f t="shared" ref="H436" si="793">(F436-F$2)/F$2</f>
        <v>0.23240175187069165</v>
      </c>
      <c r="I436" s="554">
        <v>351863.31</v>
      </c>
      <c r="J436" s="248">
        <v>350000</v>
      </c>
      <c r="K436" s="248">
        <f t="shared" ref="K436" si="794">I436-I435-J436+J435</f>
        <v>343.59999999997672</v>
      </c>
      <c r="L436" s="171">
        <f t="shared" si="596"/>
        <v>9.7747008268747344E-4</v>
      </c>
      <c r="M436" s="587">
        <f t="shared" ref="M436" si="795">I436-J436</f>
        <v>1863.3099999999977</v>
      </c>
      <c r="N436" s="250">
        <f t="shared" ref="N436" si="796">M436/J436</f>
        <v>5.3237428571428509E-3</v>
      </c>
      <c r="O436" s="183">
        <f t="shared" si="412"/>
        <v>2.9506784196834997E-3</v>
      </c>
      <c r="P436" s="249" t="b">
        <f t="shared" ref="P436" si="797">L436&gt;D436</f>
        <v>1</v>
      </c>
      <c r="Q436" s="250">
        <f>COUNTIF(P$2:P436, TRUE)/(COUNTIF(P$2:P436,FALSE) + COUNTIF(P$2:P436, TRUE))</f>
        <v>0.47816091954022988</v>
      </c>
      <c r="R436" s="248">
        <v>286054.40000000002</v>
      </c>
      <c r="S436" s="248">
        <f t="shared" ref="S436" si="798">I436-R436</f>
        <v>65808.909999999974</v>
      </c>
      <c r="T436" s="248">
        <v>-34862</v>
      </c>
      <c r="U436" s="248">
        <f t="shared" ref="U436" si="799">M436-T436</f>
        <v>36725.31</v>
      </c>
      <c r="V436" s="250">
        <f>STDEV(D$2:D436)*SQRT(252)</f>
        <v>0.14761828585147854</v>
      </c>
      <c r="W436" s="250">
        <f>STDEV(L$2:L436)*SQRT(252)</f>
        <v>0.3184578591374711</v>
      </c>
      <c r="X436" s="174">
        <f t="shared" si="590"/>
        <v>9.2655223761011294E-3</v>
      </c>
    </row>
    <row r="437" spans="1:24" ht="20.100000000000001" customHeight="1" x14ac:dyDescent="0.25">
      <c r="A437" s="163">
        <f t="shared" si="351"/>
        <v>660</v>
      </c>
      <c r="B437" s="242">
        <v>42893</v>
      </c>
      <c r="C437" s="332">
        <v>2433.14</v>
      </c>
      <c r="D437" s="171">
        <f t="shared" si="743"/>
        <v>1.5683336557816129E-3</v>
      </c>
      <c r="E437" s="244">
        <f t="shared" ref="E437" si="800">(C437-$C$2)/$C$2</f>
        <v>0.15729343049028738</v>
      </c>
      <c r="F437" s="245">
        <v>6297.38</v>
      </c>
      <c r="G437" s="171">
        <f t="shared" si="593"/>
        <v>3.5633352563019197E-3</v>
      </c>
      <c r="H437" s="246">
        <f t="shared" ref="H437" si="801">(F437-F$2)/F$2</f>
        <v>0.23679321248306073</v>
      </c>
      <c r="I437" s="554">
        <v>346982.81</v>
      </c>
      <c r="J437" s="248">
        <v>350000</v>
      </c>
      <c r="K437" s="248">
        <f t="shared" ref="K437" si="802">I437-I436-J437+J436</f>
        <v>-4880.5</v>
      </c>
      <c r="L437" s="171">
        <f t="shared" si="596"/>
        <v>-1.3870443042214319E-2</v>
      </c>
      <c r="M437" s="587">
        <f t="shared" ref="M437" si="803">I437-J437</f>
        <v>-3017.1900000000023</v>
      </c>
      <c r="N437" s="250">
        <f t="shared" ref="N437" si="804">M437/J437</f>
        <v>-8.6205428571428638E-3</v>
      </c>
      <c r="O437" s="183">
        <f t="shared" si="412"/>
        <v>-4.7706867857142893E-3</v>
      </c>
      <c r="P437" s="249" t="b">
        <f t="shared" ref="P437" si="805">L437&gt;D437</f>
        <v>0</v>
      </c>
      <c r="Q437" s="250">
        <f>COUNTIF(P$2:P437, TRUE)/(COUNTIF(P$2:P437,FALSE) + COUNTIF(P$2:P437, TRUE))</f>
        <v>0.47706422018348627</v>
      </c>
      <c r="R437" s="248">
        <v>281173.90000000002</v>
      </c>
      <c r="S437" s="248">
        <f t="shared" ref="S437" si="806">I437-R437</f>
        <v>65808.909999999974</v>
      </c>
      <c r="T437" s="248">
        <v>-40512</v>
      </c>
      <c r="U437" s="248">
        <f t="shared" ref="U437" si="807">M437-T437</f>
        <v>37494.81</v>
      </c>
      <c r="V437" s="250">
        <f>STDEV(D$2:D437)*SQRT(252)</f>
        <v>0.14745091296310839</v>
      </c>
      <c r="W437" s="250">
        <f>STDEV(L$2:L437)*SQRT(252)</f>
        <v>0.31827656927387871</v>
      </c>
      <c r="X437" s="174">
        <f t="shared" si="590"/>
        <v>-1.4989123442539961E-2</v>
      </c>
    </row>
    <row r="438" spans="1:24" ht="20.100000000000001" customHeight="1" x14ac:dyDescent="0.25">
      <c r="A438" s="163">
        <f t="shared" si="351"/>
        <v>661</v>
      </c>
      <c r="B438" s="242">
        <v>42894</v>
      </c>
      <c r="C438" s="332">
        <v>2433.79</v>
      </c>
      <c r="D438" s="171">
        <f t="shared" si="743"/>
        <v>2.6714451285174342E-4</v>
      </c>
      <c r="E438" s="244">
        <f t="shared" ref="E438" si="808">(C438-$C$2)/$C$2</f>
        <v>0.15760259508000224</v>
      </c>
      <c r="F438" s="245">
        <v>6321.76</v>
      </c>
      <c r="G438" s="171">
        <f t="shared" si="593"/>
        <v>3.8714513019700429E-3</v>
      </c>
      <c r="H438" s="246">
        <f t="shared" ref="H438" si="809">(F438-F$2)/F$2</f>
        <v>0.24158139717579599</v>
      </c>
      <c r="I438" s="554">
        <v>347153.55</v>
      </c>
      <c r="J438" s="248">
        <v>350000</v>
      </c>
      <c r="K438" s="248">
        <f t="shared" ref="K438" si="810">I438-I437-J438+J437</f>
        <v>170.73999999999069</v>
      </c>
      <c r="L438" s="171">
        <f t="shared" si="596"/>
        <v>4.9207048614307637E-4</v>
      </c>
      <c r="M438" s="587">
        <f t="shared" ref="M438" si="811">I438-J438</f>
        <v>-2846.4500000000116</v>
      </c>
      <c r="N438" s="250">
        <f t="shared" ref="N438" si="812">M438/J438</f>
        <v>-8.1327142857143195E-3</v>
      </c>
      <c r="O438" s="183">
        <f t="shared" si="412"/>
        <v>-4.4939090663497052E-3</v>
      </c>
      <c r="P438" s="249" t="b">
        <f t="shared" ref="P438" si="813">L438&gt;D438</f>
        <v>1</v>
      </c>
      <c r="Q438" s="250">
        <f>COUNTIF(P$2:P438, TRUE)/(COUNTIF(P$2:P438,FALSE) + COUNTIF(P$2:P438, TRUE))</f>
        <v>0.47826086956521741</v>
      </c>
      <c r="R438" s="248">
        <v>278494.7</v>
      </c>
      <c r="S438" s="248">
        <f t="shared" ref="S438" si="814">I438-R438</f>
        <v>68658.849999999977</v>
      </c>
      <c r="T438" s="248">
        <v>-41692</v>
      </c>
      <c r="U438" s="248">
        <f t="shared" ref="U438" si="815">M438-T438</f>
        <v>38845.549999999988</v>
      </c>
      <c r="V438" s="250">
        <f>STDEV(D$2:D438)*SQRT(252)</f>
        <v>0.14728135611412443</v>
      </c>
      <c r="W438" s="250">
        <f>STDEV(L$2:L438)*SQRT(252)</f>
        <v>0.31791053438121292</v>
      </c>
      <c r="X438" s="174">
        <f t="shared" si="590"/>
        <v>-1.4135766451076353E-2</v>
      </c>
    </row>
    <row r="439" spans="1:24" ht="20.100000000000001" customHeight="1" x14ac:dyDescent="0.25">
      <c r="A439" s="163">
        <f t="shared" si="351"/>
        <v>662</v>
      </c>
      <c r="B439" s="242">
        <v>42895</v>
      </c>
      <c r="C439" s="332">
        <v>2431.77</v>
      </c>
      <c r="D439" s="171">
        <f t="shared" si="743"/>
        <v>-8.2998122270203339E-4</v>
      </c>
      <c r="E439" s="244">
        <f t="shared" ref="E439" si="816">(C439-$C$2)/$C$2</f>
        <v>0.15664180666273469</v>
      </c>
      <c r="F439" s="245">
        <v>6207.91</v>
      </c>
      <c r="G439" s="171">
        <f t="shared" si="593"/>
        <v>-1.8009225279036273E-2</v>
      </c>
      <c r="H439" s="246">
        <f t="shared" ref="H439" si="817">(F439-F$2)/F$2</f>
        <v>0.21922147809179646</v>
      </c>
      <c r="I439" s="554">
        <v>354123.05</v>
      </c>
      <c r="J439" s="248">
        <v>350000</v>
      </c>
      <c r="K439" s="248">
        <f t="shared" ref="K439" si="818">I439-I438-J439+J438</f>
        <v>6969.5</v>
      </c>
      <c r="L439" s="171">
        <f t="shared" si="596"/>
        <v>2.0076130576800959E-2</v>
      </c>
      <c r="M439" s="587">
        <f t="shared" ref="M439" si="819">I439-J439</f>
        <v>4123.0499999999884</v>
      </c>
      <c r="N439" s="250">
        <f t="shared" ref="N439" si="820">M439/J439</f>
        <v>1.1780142857142824E-2</v>
      </c>
      <c r="O439" s="183">
        <f t="shared" si="412"/>
        <v>6.4995425658178497E-3</v>
      </c>
      <c r="P439" s="249" t="b">
        <f t="shared" ref="P439" si="821">L439&gt;D439</f>
        <v>1</v>
      </c>
      <c r="Q439" s="250">
        <f>COUNTIF(P$2:P439, TRUE)/(COUNTIF(P$2:P439,FALSE) + COUNTIF(P$2:P439, TRUE))</f>
        <v>0.47945205479452052</v>
      </c>
      <c r="R439" s="248">
        <v>285464.2</v>
      </c>
      <c r="S439" s="248">
        <f t="shared" ref="S439" si="822">I439-R439</f>
        <v>68658.849999999977</v>
      </c>
      <c r="T439" s="248">
        <v>-37482</v>
      </c>
      <c r="U439" s="248">
        <f t="shared" ref="U439" si="823">M439-T439</f>
        <v>41605.049999999988</v>
      </c>
      <c r="V439" s="250">
        <f>STDEV(D$2:D439)*SQRT(252)</f>
        <v>0.14711522117325773</v>
      </c>
      <c r="W439" s="250">
        <f>STDEV(L$2:L439)*SQRT(252)</f>
        <v>0.3178976683829039</v>
      </c>
      <c r="X439" s="174">
        <f t="shared" si="590"/>
        <v>2.0445392376987268E-2</v>
      </c>
    </row>
    <row r="440" spans="1:24" ht="20.100000000000001" customHeight="1" x14ac:dyDescent="0.25">
      <c r="A440" s="163">
        <f t="shared" si="351"/>
        <v>665</v>
      </c>
      <c r="B440" s="172">
        <v>42898</v>
      </c>
      <c r="C440" s="215">
        <v>2429.39</v>
      </c>
      <c r="D440" s="171">
        <f t="shared" si="743"/>
        <v>-9.7871098006806125E-4</v>
      </c>
      <c r="E440" s="209">
        <f t="shared" ref="E440" si="824">(C440-$C$2)/$C$2</f>
        <v>0.1555097886265481</v>
      </c>
      <c r="F440" s="219">
        <v>6208.91</v>
      </c>
      <c r="G440" s="171">
        <f t="shared" si="593"/>
        <v>1.6108480954137545E-4</v>
      </c>
      <c r="H440" s="203">
        <f t="shared" ref="H440" si="825">(F440-F$2)/F$2</f>
        <v>0.21941787615138364</v>
      </c>
      <c r="I440" s="221">
        <v>354932.43</v>
      </c>
      <c r="J440" s="173">
        <v>350000</v>
      </c>
      <c r="K440" s="173">
        <f t="shared" ref="K440" si="826">I440-I439-J440+J439</f>
        <v>809.38000000000466</v>
      </c>
      <c r="L440" s="171">
        <f t="shared" si="596"/>
        <v>2.2855897123895343E-3</v>
      </c>
      <c r="M440" s="182">
        <f t="shared" ref="M440" si="827">I440-J440</f>
        <v>4932.429999999993</v>
      </c>
      <c r="N440" s="184">
        <f t="shared" ref="N440" si="828">M440/J440</f>
        <v>1.4092657142857123E-2</v>
      </c>
      <c r="O440" s="183">
        <f t="shared" si="412"/>
        <v>7.7403654457572401E-3</v>
      </c>
      <c r="P440" s="182" t="b">
        <f t="shared" ref="P440" si="829">L440&gt;D440</f>
        <v>1</v>
      </c>
      <c r="Q440" s="184">
        <f>COUNTIF(P$2:P440, TRUE)/(COUNTIF(P$2:P440,FALSE) + COUNTIF(P$2:P440, TRUE))</f>
        <v>0.48063781321184512</v>
      </c>
      <c r="R440" s="173">
        <v>278669.75</v>
      </c>
      <c r="S440" s="173">
        <f t="shared" ref="S440" si="830">I440-R440</f>
        <v>76262.679999999993</v>
      </c>
      <c r="T440" s="173">
        <v>-36662</v>
      </c>
      <c r="U440" s="173">
        <f t="shared" ref="U440" si="831">M440-T440</f>
        <v>41594.429999999993</v>
      </c>
      <c r="V440" s="184">
        <f>STDEV(D$2:D440)*SQRT(252)</f>
        <v>0.14695039242949098</v>
      </c>
      <c r="W440" s="184">
        <f>STDEV(L$2:L440)*SQRT(252)</f>
        <v>0.3175368564907623</v>
      </c>
      <c r="X440" s="174">
        <f t="shared" si="590"/>
        <v>2.43762740845248E-2</v>
      </c>
    </row>
    <row r="441" spans="1:24" ht="20.100000000000001" customHeight="1" x14ac:dyDescent="0.25">
      <c r="A441" s="163">
        <f t="shared" si="351"/>
        <v>666</v>
      </c>
      <c r="B441" s="172">
        <v>42899</v>
      </c>
      <c r="C441" s="215">
        <v>2440.35</v>
      </c>
      <c r="D441" s="171">
        <f t="shared" si="743"/>
        <v>4.5114205623634071E-3</v>
      </c>
      <c r="E441" s="209">
        <f t="shared" ref="E441" si="832">(C441-$C$2)/$C$2</f>
        <v>0.16072277924697012</v>
      </c>
      <c r="F441" s="219">
        <v>6220.36</v>
      </c>
      <c r="G441" s="171">
        <f t="shared" si="593"/>
        <v>1.8441240088839777E-3</v>
      </c>
      <c r="H441" s="203">
        <f t="shared" ref="H441" si="833">(F441-F$2)/F$2</f>
        <v>0.22166663393365671</v>
      </c>
      <c r="I441" s="221">
        <v>359514.03</v>
      </c>
      <c r="J441" s="173">
        <v>350000</v>
      </c>
      <c r="K441" s="173">
        <f t="shared" ref="K441" si="834">I441-I440-J441+J440</f>
        <v>4581.6000000000349</v>
      </c>
      <c r="L441" s="171">
        <f t="shared" si="596"/>
        <v>1.29083724471163E-2</v>
      </c>
      <c r="M441" s="182">
        <f t="shared" ref="M441" si="835">I441-J441</f>
        <v>9514.0300000000279</v>
      </c>
      <c r="N441" s="184">
        <f t="shared" ref="N441" si="836">M441/J441</f>
        <v>2.7182942857142938E-2</v>
      </c>
      <c r="O441" s="183">
        <f t="shared" si="412"/>
        <v>1.4907762580437625E-2</v>
      </c>
      <c r="P441" s="182" t="b">
        <f t="shared" ref="P441" si="837">L441&gt;D441</f>
        <v>1</v>
      </c>
      <c r="Q441" s="184">
        <f>COUNTIF(P$2:P441, TRUE)/(COUNTIF(P$2:P441,FALSE) + COUNTIF(P$2:P441, TRUE))</f>
        <v>0.48181818181818181</v>
      </c>
      <c r="R441" s="173">
        <v>282883.34999999998</v>
      </c>
      <c r="S441" s="173">
        <f t="shared" ref="S441" si="838">I441-R441</f>
        <v>76630.680000000051</v>
      </c>
      <c r="T441" s="173">
        <v>-33012</v>
      </c>
      <c r="U441" s="173">
        <f t="shared" ref="U441" si="839">M441-T441</f>
        <v>42526.030000000028</v>
      </c>
      <c r="V441" s="184">
        <f>STDEV(D$2:D441)*SQRT(252)</f>
        <v>0.14681603465160581</v>
      </c>
      <c r="W441" s="184">
        <f>STDEV(L$2:L441)*SQRT(252)</f>
        <v>0.31731497088300775</v>
      </c>
      <c r="X441" s="174">
        <f t="shared" si="590"/>
        <v>4.6980961972746108E-2</v>
      </c>
    </row>
    <row r="442" spans="1:24" ht="20.100000000000001" customHeight="1" x14ac:dyDescent="0.25">
      <c r="A442" s="163">
        <f t="shared" si="351"/>
        <v>667</v>
      </c>
      <c r="B442" s="172">
        <v>42900</v>
      </c>
      <c r="C442" s="215">
        <v>2437.92</v>
      </c>
      <c r="D442" s="171">
        <f t="shared" ref="D442" si="840">(C442-C441)/C441</f>
        <v>-9.9575880508936693E-4</v>
      </c>
      <c r="E442" s="209">
        <f t="shared" ref="E442" si="841">(C442-$C$2)/$C$2</f>
        <v>0.15956697931926714</v>
      </c>
      <c r="F442" s="219">
        <v>6194.89</v>
      </c>
      <c r="G442" s="171">
        <f t="shared" ref="G442" si="842">(F442-F441)/F441</f>
        <v>-4.0946183179107554E-3</v>
      </c>
      <c r="H442" s="203">
        <f t="shared" ref="H442" si="843">(F442-F$2)/F$2</f>
        <v>0.21666437535597158</v>
      </c>
      <c r="I442" s="221">
        <v>355660.79999999999</v>
      </c>
      <c r="J442" s="173">
        <v>350000</v>
      </c>
      <c r="K442" s="173">
        <f t="shared" ref="K442" si="844">I442-I441-J442+J441</f>
        <v>-3853.2300000000396</v>
      </c>
      <c r="L442" s="171">
        <f t="shared" ref="L442" si="845">K442/I441</f>
        <v>-1.0717884918149201E-2</v>
      </c>
      <c r="M442" s="182">
        <f t="shared" ref="M442" si="846">I442-J442</f>
        <v>5660.7999999999884</v>
      </c>
      <c r="N442" s="184">
        <f t="shared" ref="N442" si="847">M442/J442</f>
        <v>1.6173714285714253E-2</v>
      </c>
      <c r="O442" s="183">
        <f t="shared" si="412"/>
        <v>8.8567453416148901E-3</v>
      </c>
      <c r="P442" s="182" t="b">
        <f t="shared" ref="P442" si="848">L442&gt;D442</f>
        <v>0</v>
      </c>
      <c r="Q442" s="184">
        <f>COUNTIF(P$2:P442, TRUE)/(COUNTIF(P$2:P442,FALSE) + COUNTIF(P$2:P442, TRUE))</f>
        <v>0.48072562358276644</v>
      </c>
      <c r="R442" s="173">
        <v>283596.25</v>
      </c>
      <c r="S442" s="173">
        <f t="shared" ref="S442" si="849">I442-R442</f>
        <v>72064.549999999988</v>
      </c>
      <c r="T442" s="173">
        <v>-36382</v>
      </c>
      <c r="U442" s="173">
        <f t="shared" ref="U442" si="850">M442-T442</f>
        <v>42042.799999999988</v>
      </c>
      <c r="V442" s="184">
        <f>STDEV(D$2:D442)*SQRT(252)</f>
        <v>0.14665243029152958</v>
      </c>
      <c r="W442" s="184">
        <f>STDEV(L$2:L442)*SQRT(252)</f>
        <v>0.3170662521053495</v>
      </c>
      <c r="X442" s="174">
        <f t="shared" si="590"/>
        <v>2.7933421746418215E-2</v>
      </c>
    </row>
    <row r="443" spans="1:24" ht="20.100000000000001" customHeight="1" x14ac:dyDescent="0.25">
      <c r="A443" s="163">
        <f t="shared" si="351"/>
        <v>668</v>
      </c>
      <c r="B443" s="172">
        <v>42901</v>
      </c>
      <c r="C443" s="215">
        <v>2432.46</v>
      </c>
      <c r="D443" s="171">
        <f t="shared" ref="D443" si="851">(C443-C442)/C442</f>
        <v>-2.2396140972632556E-3</v>
      </c>
      <c r="E443" s="209">
        <f t="shared" ref="E443" si="852">(C443-$C$2)/$C$2</f>
        <v>0.15696999676566273</v>
      </c>
      <c r="F443" s="219">
        <v>6165.5</v>
      </c>
      <c r="G443" s="171">
        <f t="shared" ref="G443" si="853">(F443-F442)/F442</f>
        <v>-4.7442327466670634E-3</v>
      </c>
      <c r="H443" s="203">
        <f t="shared" ref="H443" si="854">(F443-F$2)/F$2</f>
        <v>0.21089223638470456</v>
      </c>
      <c r="I443" s="221">
        <v>343648.95</v>
      </c>
      <c r="J443" s="173">
        <v>350000</v>
      </c>
      <c r="K443" s="173">
        <f t="shared" ref="K443" si="855">I443-I442-J443+J442</f>
        <v>-12011.849999999977</v>
      </c>
      <c r="L443" s="171">
        <f t="shared" ref="L443" si="856">K443/I442</f>
        <v>-3.3773331218959125E-2</v>
      </c>
      <c r="M443" s="182">
        <f t="shared" ref="M443" si="857">I443-J443</f>
        <v>-6351.0499999999884</v>
      </c>
      <c r="N443" s="184">
        <f t="shared" ref="N443" si="858">M443/J443</f>
        <v>-1.8145857142857109E-2</v>
      </c>
      <c r="O443" s="183">
        <f t="shared" si="412"/>
        <v>-9.9218178464499391E-3</v>
      </c>
      <c r="P443" s="182" t="b">
        <f t="shared" ref="P443" si="859">L443&gt;D443</f>
        <v>0</v>
      </c>
      <c r="Q443" s="184">
        <f>COUNTIF(P$2:P443, TRUE)/(COUNTIF(P$2:P443,FALSE) + COUNTIF(P$2:P443, TRUE))</f>
        <v>0.47963800904977377</v>
      </c>
      <c r="R443" s="173">
        <v>276654.45</v>
      </c>
      <c r="S443" s="173">
        <f t="shared" ref="S443" si="860">I443-R443</f>
        <v>66994.5</v>
      </c>
      <c r="T443" s="173">
        <v>-42389</v>
      </c>
      <c r="U443" s="173">
        <f t="shared" ref="U443" si="861">M443-T443</f>
        <v>36037.950000000012</v>
      </c>
      <c r="V443" s="184">
        <f>STDEV(D$2:D443)*SQRT(252)</f>
        <v>0.1464990590899134</v>
      </c>
      <c r="W443" s="184">
        <f>STDEV(L$2:L443)*SQRT(252)</f>
        <v>0.31775974785827971</v>
      </c>
      <c r="X443" s="174">
        <f t="shared" si="590"/>
        <v>-3.1224275300202758E-2</v>
      </c>
    </row>
    <row r="444" spans="1:24" ht="20.100000000000001" customHeight="1" x14ac:dyDescent="0.25">
      <c r="A444" s="163">
        <f t="shared" si="351"/>
        <v>669</v>
      </c>
      <c r="B444" s="172">
        <v>42902</v>
      </c>
      <c r="C444" s="215">
        <v>2433.46</v>
      </c>
      <c r="D444" s="171">
        <f t="shared" ref="D444" si="862">(C444-C443)/C443</f>
        <v>4.1110645190465617E-4</v>
      </c>
      <c r="E444" s="209">
        <f t="shared" ref="E444" si="863">(C444-$C$2)/$C$2</f>
        <v>0.15744563459599323</v>
      </c>
      <c r="F444" s="219">
        <v>6166.5</v>
      </c>
      <c r="G444" s="171">
        <f t="shared" ref="G444" si="864">(F444-F443)/F443</f>
        <v>1.6219284729543428E-4</v>
      </c>
      <c r="H444" s="203">
        <f t="shared" ref="H444" si="865">(F444-F$2)/F$2</f>
        <v>0.21108863444429174</v>
      </c>
      <c r="I444" s="221">
        <v>340685.9</v>
      </c>
      <c r="J444" s="173">
        <v>350000</v>
      </c>
      <c r="K444" s="173">
        <f t="shared" ref="K444" si="866">I444-I443-J444+J443</f>
        <v>-2963.0499999999884</v>
      </c>
      <c r="L444" s="171">
        <f t="shared" ref="L444" si="867">K444/I443</f>
        <v>-8.6223164656839147E-3</v>
      </c>
      <c r="M444" s="182">
        <f t="shared" ref="M444" si="868">I444-J444</f>
        <v>-9314.0999999999767</v>
      </c>
      <c r="N444" s="184">
        <f t="shared" ref="N444" si="869">M444/J444</f>
        <v>-2.6611714285714218E-2</v>
      </c>
      <c r="O444" s="183">
        <f t="shared" si="412"/>
        <v>-1.4529041319666843E-2</v>
      </c>
      <c r="P444" s="182" t="b">
        <f t="shared" ref="P444" si="870">L444&gt;D444</f>
        <v>0</v>
      </c>
      <c r="Q444" s="184">
        <f>COUNTIF(P$2:P444, TRUE)/(COUNTIF(P$2:P444,FALSE) + COUNTIF(P$2:P444, TRUE))</f>
        <v>0.47855530474040631</v>
      </c>
      <c r="R444" s="173">
        <v>280371.40000000002</v>
      </c>
      <c r="S444" s="173">
        <f t="shared" ref="S444" si="871">I444-R444</f>
        <v>60314.5</v>
      </c>
      <c r="T444" s="173">
        <v>-45235</v>
      </c>
      <c r="U444" s="173">
        <f t="shared" ref="U444" si="872">M444-T444</f>
        <v>35920.900000000023</v>
      </c>
      <c r="V444" s="184">
        <f>STDEV(D$2:D444)*SQRT(252)</f>
        <v>0.14633286893407277</v>
      </c>
      <c r="W444" s="184">
        <f>STDEV(L$2:L444)*SQRT(252)</f>
        <v>0.31747170066336466</v>
      </c>
      <c r="X444" s="174">
        <f t="shared" si="590"/>
        <v>-4.5764839163012216E-2</v>
      </c>
    </row>
    <row r="445" spans="1:24" ht="20.100000000000001" customHeight="1" x14ac:dyDescent="0.25">
      <c r="A445" s="163">
        <f t="shared" si="351"/>
        <v>670</v>
      </c>
      <c r="B445" s="172">
        <v>42903</v>
      </c>
      <c r="C445" s="215">
        <v>2453.46</v>
      </c>
      <c r="D445" s="171">
        <f t="shared" ref="D445" si="873">(C445-C444)/C444</f>
        <v>8.2187502568359452E-3</v>
      </c>
      <c r="E445" s="209">
        <f t="shared" ref="E445" si="874">(C445-$C$2)/$C$2</f>
        <v>0.16695839120260267</v>
      </c>
      <c r="F445" s="219">
        <v>6239.01</v>
      </c>
      <c r="G445" s="171">
        <f t="shared" ref="G445" si="875">(F445-F444)/F444</f>
        <v>1.17586961809779E-2</v>
      </c>
      <c r="H445" s="203">
        <f t="shared" ref="H445" si="876">(F445-F$2)/F$2</f>
        <v>0.22532945774495758</v>
      </c>
      <c r="I445" s="221">
        <v>342070.2</v>
      </c>
      <c r="J445" s="173">
        <v>350000</v>
      </c>
      <c r="K445" s="173">
        <f t="shared" ref="K445" si="877">I445-I444-J445+J444</f>
        <v>1384.2999999999884</v>
      </c>
      <c r="L445" s="171">
        <f t="shared" ref="L445" si="878">K445/I444</f>
        <v>4.0632735314258331E-3</v>
      </c>
      <c r="M445" s="182">
        <f t="shared" ref="M445" si="879">I445-J445</f>
        <v>-7929.7999999999884</v>
      </c>
      <c r="N445" s="184">
        <f t="shared" ref="N445" si="880">M445/J445</f>
        <v>-2.2656571428571394E-2</v>
      </c>
      <c r="O445" s="183">
        <f t="shared" si="412"/>
        <v>-1.2351213006396569E-2</v>
      </c>
      <c r="P445" s="182" t="b">
        <f t="shared" ref="P445" si="881">L445&gt;D445</f>
        <v>0</v>
      </c>
      <c r="Q445" s="184">
        <f>COUNTIF(P$2:P445, TRUE)/(COUNTIF(P$2:P445,FALSE) + COUNTIF(P$2:P445, TRUE))</f>
        <v>0.47747747747747749</v>
      </c>
      <c r="R445" s="173">
        <v>281755.7</v>
      </c>
      <c r="S445" s="173">
        <f t="shared" ref="S445" si="882">I445-R445</f>
        <v>60314.5</v>
      </c>
      <c r="T445" s="173">
        <v>-44677</v>
      </c>
      <c r="U445" s="173">
        <f t="shared" ref="U445" si="883">M445-T445</f>
        <v>36747.200000000012</v>
      </c>
      <c r="V445" s="184">
        <f>STDEV(D$2:D445)*SQRT(252)</f>
        <v>0.14628696674144756</v>
      </c>
      <c r="W445" s="184">
        <f>STDEV(L$2:L445)*SQRT(252)</f>
        <v>0.31712481290126882</v>
      </c>
      <c r="X445" s="174">
        <f t="shared" si="590"/>
        <v>-3.8947482202352612E-2</v>
      </c>
    </row>
    <row r="446" spans="1:24" ht="20.100000000000001" customHeight="1" x14ac:dyDescent="0.25">
      <c r="A446" s="163">
        <f t="shared" si="351"/>
        <v>684</v>
      </c>
      <c r="B446" s="172">
        <v>42917</v>
      </c>
      <c r="C446" s="215">
        <v>2423.41</v>
      </c>
      <c r="D446" s="171">
        <f t="shared" ref="D446" si="884">(C446-C445)/C445</f>
        <v>-1.2248008934321399E-2</v>
      </c>
      <c r="E446" s="209">
        <f t="shared" ref="E446" si="885">(C446-$C$2)/$C$2</f>
        <v>0.15266547440117187</v>
      </c>
      <c r="F446" s="219">
        <v>6140.42</v>
      </c>
      <c r="G446" s="171">
        <f t="shared" ref="G446" si="886">(F446-F445)/F445</f>
        <v>-1.5802186564855665E-2</v>
      </c>
      <c r="H446" s="203">
        <f t="shared" ref="H446" si="887">(F446-F$2)/F$2</f>
        <v>0.20596657305025831</v>
      </c>
      <c r="I446" s="415">
        <v>340097.61</v>
      </c>
      <c r="J446" s="173">
        <v>350000</v>
      </c>
      <c r="K446" s="173">
        <f t="shared" ref="K446" si="888">I446-I445-J446+J445</f>
        <v>-1972.5900000000256</v>
      </c>
      <c r="L446" s="171">
        <f t="shared" ref="L446" si="889">K446/I445</f>
        <v>-5.7666233422263196E-3</v>
      </c>
      <c r="M446" s="415">
        <f t="shared" ref="M446" si="890">I446-J446</f>
        <v>-9902.390000000014</v>
      </c>
      <c r="N446" s="184">
        <f t="shared" ref="N446" si="891">M446/J446</f>
        <v>-2.8292542857142899E-2</v>
      </c>
      <c r="O446" s="183">
        <f t="shared" si="412"/>
        <v>-1.5107969705513806E-2</v>
      </c>
      <c r="P446" s="182" t="b">
        <f t="shared" ref="P446" si="892">L446&gt;D446</f>
        <v>1</v>
      </c>
      <c r="Q446" s="184">
        <f>COUNTIF(P$2:P446, TRUE)/(COUNTIF(P$2:P446,FALSE) + COUNTIF(P$2:P446, TRUE))</f>
        <v>0.47865168539325842</v>
      </c>
      <c r="R446" s="173">
        <v>265669.75</v>
      </c>
      <c r="S446" s="173">
        <f t="shared" ref="S446" si="893">I446-R446</f>
        <v>74427.859999999986</v>
      </c>
      <c r="T446" s="173">
        <v>-48327</v>
      </c>
      <c r="U446" s="173">
        <f t="shared" ref="U446:U457" si="894">M446-T446</f>
        <v>38424.609999999986</v>
      </c>
      <c r="V446" s="184">
        <f>STDEV(D$2:D446)*SQRT(252)</f>
        <v>0.14643166967945351</v>
      </c>
      <c r="W446" s="184">
        <f>STDEV(L$2:L446)*SQRT(252)</f>
        <v>0.31680015908275011</v>
      </c>
      <c r="X446" s="174">
        <f t="shared" si="590"/>
        <v>-4.7689274365444727E-2</v>
      </c>
    </row>
    <row r="447" spans="1:24" ht="20.100000000000001" customHeight="1" x14ac:dyDescent="0.25">
      <c r="A447" s="163">
        <f t="shared" si="351"/>
        <v>699</v>
      </c>
      <c r="B447" s="172">
        <v>42932</v>
      </c>
      <c r="C447" s="215">
        <v>2459.27</v>
      </c>
      <c r="D447" s="171">
        <f t="shared" ref="D447" si="895">(C447-C446)/C446</f>
        <v>1.4797331033543696E-2</v>
      </c>
      <c r="E447" s="209">
        <f t="shared" ref="E447" si="896">(C447-$C$2)/$C$2</f>
        <v>0.16972184699682269</v>
      </c>
      <c r="F447" s="219">
        <v>6312.46</v>
      </c>
      <c r="G447" s="171">
        <f t="shared" ref="G447" si="897">(F447-F446)/F446</f>
        <v>2.801762745870803E-2</v>
      </c>
      <c r="H447" s="203">
        <f t="shared" ref="H447" si="898">(F447-F$2)/F$2</f>
        <v>0.23975489522163526</v>
      </c>
      <c r="I447" s="221">
        <v>337505.3</v>
      </c>
      <c r="J447" s="173">
        <v>350000</v>
      </c>
      <c r="K447" s="173">
        <f t="shared" ref="K447" si="899">I447-I446-J447+J446</f>
        <v>-2592.3099999999977</v>
      </c>
      <c r="L447" s="171">
        <f t="shared" ref="L447" si="900">K447/I446</f>
        <v>-7.6222529173315791E-3</v>
      </c>
      <c r="M447" s="182">
        <f t="shared" ref="M447" si="901">I447-J447</f>
        <v>-12494.700000000012</v>
      </c>
      <c r="N447" s="184">
        <f t="shared" ref="N447" si="902">M447/J447</f>
        <v>-3.5699142857142888E-2</v>
      </c>
      <c r="O447" s="183">
        <f t="shared" si="412"/>
        <v>-1.8653951256897627E-2</v>
      </c>
      <c r="P447" s="182" t="b">
        <f t="shared" ref="P447" si="903">L447&gt;D447</f>
        <v>0</v>
      </c>
      <c r="Q447" s="184">
        <f>COUNTIF(P$2:P447, TRUE)/(COUNTIF(P$2:P447,FALSE) + COUNTIF(P$2:P447, TRUE))</f>
        <v>0.47757847533632286</v>
      </c>
      <c r="R447" s="173">
        <v>271259.02</v>
      </c>
      <c r="S447" s="173">
        <f t="shared" ref="S447" si="904">I447-R447</f>
        <v>66246.27999999997</v>
      </c>
      <c r="T447" s="173"/>
      <c r="U447" s="173"/>
      <c r="V447" s="184">
        <f>STDEV(D$2:D447)*SQRT(252)</f>
        <v>0.14666948290901966</v>
      </c>
      <c r="W447" s="184">
        <f>STDEV(L$2:L447)*SQRT(252)</f>
        <v>0.31649981867146626</v>
      </c>
      <c r="X447" s="174">
        <f t="shared" si="590"/>
        <v>-5.8938268385742225E-2</v>
      </c>
    </row>
    <row r="448" spans="1:24" ht="20.100000000000001" customHeight="1" x14ac:dyDescent="0.25">
      <c r="A448" s="163">
        <f t="shared" si="351"/>
        <v>702</v>
      </c>
      <c r="B448" s="172">
        <v>42935</v>
      </c>
      <c r="C448" s="215">
        <v>2473.83</v>
      </c>
      <c r="D448" s="171">
        <f t="shared" ref="D448" si="905">(C448-C447)/C447</f>
        <v>5.9204560702972612E-3</v>
      </c>
      <c r="E448" s="209">
        <f t="shared" ref="E448" si="906">(C448-$C$2)/$C$2</f>
        <v>0.17664713380643438</v>
      </c>
      <c r="F448" s="219">
        <v>6385.04</v>
      </c>
      <c r="G448" s="171">
        <f t="shared" ref="G448" si="907">(F448-F447)/F447</f>
        <v>1.1497894640124441E-2</v>
      </c>
      <c r="H448" s="203">
        <f t="shared" ref="H448" si="908">(F448-F$2)/F$2</f>
        <v>0.25400946638647215</v>
      </c>
      <c r="I448" s="221">
        <v>343410.37</v>
      </c>
      <c r="J448" s="173">
        <v>350000</v>
      </c>
      <c r="K448" s="173">
        <f t="shared" ref="K448" si="909">I448-I447-J448+J447</f>
        <v>5905.070000000007</v>
      </c>
      <c r="L448" s="171">
        <f t="shared" ref="L448" si="910">K448/I447</f>
        <v>1.7496228948108393E-2</v>
      </c>
      <c r="M448" s="182">
        <f t="shared" ref="M448" si="911">I448-J448</f>
        <v>-6589.6300000000047</v>
      </c>
      <c r="N448" s="184">
        <f t="shared" ref="N448" si="912">M448/J448</f>
        <v>-1.8827514285714299E-2</v>
      </c>
      <c r="O448" s="183">
        <f t="shared" si="412"/>
        <v>-9.7959395909645985E-3</v>
      </c>
      <c r="P448" s="182" t="b">
        <f t="shared" ref="P448" si="913">L448&gt;D448</f>
        <v>1</v>
      </c>
      <c r="Q448" s="184">
        <f>COUNTIF(P$2:P448, TRUE)/(COUNTIF(P$2:P448,FALSE) + COUNTIF(P$2:P448, TRUE))</f>
        <v>0.47874720357941836</v>
      </c>
      <c r="R448" s="173">
        <v>277164.09000000003</v>
      </c>
      <c r="S448" s="173">
        <f t="shared" ref="S448" si="914">I448-R448</f>
        <v>66246.27999999997</v>
      </c>
      <c r="T448" s="173"/>
      <c r="U448" s="173"/>
      <c r="V448" s="184">
        <f>STDEV(D$2:D448)*SQRT(252)</f>
        <v>0.14656345819426395</v>
      </c>
      <c r="W448" s="184">
        <f>STDEV(L$2:L448)*SQRT(252)</f>
        <v>0.31640768671182717</v>
      </c>
      <c r="X448" s="174">
        <f t="shared" si="590"/>
        <v>-3.0959866028433092E-2</v>
      </c>
    </row>
    <row r="449" spans="1:24" ht="20.100000000000001" customHeight="1" x14ac:dyDescent="0.25">
      <c r="A449" s="163">
        <f t="shared" ref="A449:A512" si="915">B449-$B$2</f>
        <v>706</v>
      </c>
      <c r="B449" s="172">
        <v>42939</v>
      </c>
      <c r="C449" s="215">
        <v>2472.54</v>
      </c>
      <c r="D449" s="171">
        <f t="shared" ref="D449" si="916">(C449-C448)/C448</f>
        <v>-5.214586289275996E-4</v>
      </c>
      <c r="E449" s="209">
        <f t="shared" ref="E449" si="917">(C449-$C$2)/$C$2</f>
        <v>0.17603356100530806</v>
      </c>
      <c r="F449" s="219">
        <v>6387.75</v>
      </c>
      <c r="G449" s="171">
        <f t="shared" ref="G449" si="918">(F449-F448)/F448</f>
        <v>4.2442960419982275E-4</v>
      </c>
      <c r="H449" s="203">
        <f t="shared" ref="H449" si="919">(F449-F$2)/F$2</f>
        <v>0.25454170512795338</v>
      </c>
      <c r="I449" s="221">
        <v>341551.16</v>
      </c>
      <c r="J449" s="173">
        <v>350000</v>
      </c>
      <c r="K449" s="173">
        <f t="shared" ref="K449" si="920">I449-I448-J449+J448</f>
        <v>-1859.210000000021</v>
      </c>
      <c r="L449" s="171">
        <f t="shared" ref="L449" si="921">K449/I448</f>
        <v>-5.4139599803000151E-3</v>
      </c>
      <c r="M449" s="182">
        <f t="shared" ref="M449" si="922">I449-J449</f>
        <v>-8448.8400000000256</v>
      </c>
      <c r="N449" s="184">
        <f t="shared" ref="N449" si="923">M449/J449</f>
        <v>-2.4139542857142929E-2</v>
      </c>
      <c r="O449" s="183">
        <f t="shared" si="412"/>
        <v>-1.248862326993124E-2</v>
      </c>
      <c r="P449" s="182" t="b">
        <f t="shared" ref="P449" si="924">L449&gt;D449</f>
        <v>0</v>
      </c>
      <c r="Q449" s="184">
        <f>COUNTIF(P$2:P449, TRUE)/(COUNTIF(P$2:P449,FALSE) + COUNTIF(P$2:P449, TRUE))</f>
        <v>0.47767857142857145</v>
      </c>
      <c r="R449" s="173">
        <v>272191.45</v>
      </c>
      <c r="S449" s="173">
        <f t="shared" ref="S449" si="925">I449-R449</f>
        <v>69359.709999999963</v>
      </c>
      <c r="T449" s="173"/>
      <c r="U449" s="173"/>
      <c r="V449" s="184">
        <f>STDEV(D$2:D449)*SQRT(252)</f>
        <v>0.14640071777698352</v>
      </c>
      <c r="W449" s="184">
        <f>STDEV(L$2:L449)*SQRT(252)</f>
        <v>0.3160824345317183</v>
      </c>
      <c r="X449" s="174">
        <f t="shared" si="590"/>
        <v>-3.9510652619571714E-2</v>
      </c>
    </row>
    <row r="450" spans="1:24" ht="20.100000000000001" customHeight="1" x14ac:dyDescent="0.25">
      <c r="A450" s="163">
        <f t="shared" si="915"/>
        <v>707</v>
      </c>
      <c r="B450" s="172">
        <v>42940</v>
      </c>
      <c r="C450" s="215">
        <v>2469.91</v>
      </c>
      <c r="D450" s="171">
        <f t="shared" ref="D450" si="926">(C450-C449)/C449</f>
        <v>-1.0636834995592019E-3</v>
      </c>
      <c r="E450" s="209">
        <f t="shared" ref="E450" si="927">(C450-$C$2)/$C$2</f>
        <v>0.17478263351153889</v>
      </c>
      <c r="F450" s="219">
        <v>6410.8</v>
      </c>
      <c r="G450" s="171">
        <f t="shared" ref="G450" si="928">(F450-F449)/F449</f>
        <v>3.6084693358381563E-3</v>
      </c>
      <c r="H450" s="203">
        <f t="shared" ref="H450" si="929">(F450-F$2)/F$2</f>
        <v>0.25906868040143771</v>
      </c>
      <c r="I450" s="221">
        <v>340982.83</v>
      </c>
      <c r="J450" s="173">
        <v>350000</v>
      </c>
      <c r="K450" s="173">
        <f t="shared" ref="K450" si="930">I450-I449-J450+J449</f>
        <v>-568.32999999995809</v>
      </c>
      <c r="L450" s="171">
        <f t="shared" ref="L450" si="931">K450/I449</f>
        <v>-1.6639674126709397E-3</v>
      </c>
      <c r="M450" s="182">
        <f t="shared" ref="M450" si="932">I450-J450</f>
        <v>-9017.1699999999837</v>
      </c>
      <c r="N450" s="184">
        <f t="shared" ref="N450" si="933">M450/J450</f>
        <v>-2.576334285714281E-2</v>
      </c>
      <c r="O450" s="183">
        <f t="shared" si="412"/>
        <v>-1.3309845797130709E-2</v>
      </c>
      <c r="P450" s="182" t="b">
        <f t="shared" ref="P450" si="934">L450&gt;D450</f>
        <v>0</v>
      </c>
      <c r="Q450" s="184">
        <f>COUNTIF(P$2:P450, TRUE)/(COUNTIF(P$2:P450,FALSE) + COUNTIF(P$2:P450, TRUE))</f>
        <v>0.47661469933184858</v>
      </c>
      <c r="R450" s="173">
        <v>270948.21000000002</v>
      </c>
      <c r="S450" s="173">
        <f t="shared" ref="S450" si="935">I450-R450</f>
        <v>70034.62</v>
      </c>
      <c r="T450" s="173"/>
      <c r="U450" s="173"/>
      <c r="V450" s="184">
        <f>STDEV(D$2:D450)*SQRT(252)</f>
        <v>0.14624101621643504</v>
      </c>
      <c r="W450" s="184">
        <f>STDEV(L$2:L450)*SQRT(252)</f>
        <v>0.31573225572131869</v>
      </c>
      <c r="X450" s="174">
        <f t="shared" si="590"/>
        <v>-4.2155483185343769E-2</v>
      </c>
    </row>
    <row r="451" spans="1:24" ht="20.100000000000001" customHeight="1" x14ac:dyDescent="0.25">
      <c r="A451" s="163">
        <f t="shared" si="915"/>
        <v>708</v>
      </c>
      <c r="B451" s="172">
        <v>42941</v>
      </c>
      <c r="C451" s="215">
        <v>2477.13</v>
      </c>
      <c r="D451" s="171">
        <f t="shared" ref="D451" si="936">(C451-C450)/C450</f>
        <v>2.9231834358337976E-3</v>
      </c>
      <c r="E451" s="209">
        <f t="shared" ref="E451" si="937">(C451-$C$2)/$C$2</f>
        <v>0.17821673864652501</v>
      </c>
      <c r="F451" s="219">
        <v>6412.17</v>
      </c>
      <c r="G451" s="171">
        <f t="shared" ref="G451" si="938">(F451-F450)/F450</f>
        <v>2.1370187808072172E-4</v>
      </c>
      <c r="H451" s="203">
        <f t="shared" ref="H451" si="939">(F451-F$2)/F$2</f>
        <v>0.25933774574307211</v>
      </c>
      <c r="I451" s="221">
        <v>346881.69</v>
      </c>
      <c r="J451" s="173">
        <v>350000</v>
      </c>
      <c r="K451" s="173">
        <f t="shared" ref="K451" si="940">I451-I450-J451+J450</f>
        <v>5898.859999999986</v>
      </c>
      <c r="L451" s="171">
        <f t="shared" ref="L451" si="941">K451/I450</f>
        <v>1.7299580744285527E-2</v>
      </c>
      <c r="M451" s="182">
        <f t="shared" ref="M451" si="942">I451-J451</f>
        <v>-3118.3099999999977</v>
      </c>
      <c r="N451" s="184">
        <f t="shared" ref="N451" si="943">M451/J451</f>
        <v>-8.9094571428571367E-3</v>
      </c>
      <c r="O451" s="183">
        <f t="shared" si="412"/>
        <v>-4.5962983353510858E-3</v>
      </c>
      <c r="P451" s="182" t="b">
        <f t="shared" ref="P451" si="944">L451&gt;D451</f>
        <v>1</v>
      </c>
      <c r="Q451" s="184">
        <f>COUNTIF(P$2:P451, TRUE)/(COUNTIF(P$2:P451,FALSE) + COUNTIF(P$2:P451, TRUE))</f>
        <v>0.4777777777777778</v>
      </c>
      <c r="R451" s="173">
        <v>271847.19</v>
      </c>
      <c r="S451" s="173">
        <f t="shared" ref="S451" si="945">I451-R451</f>
        <v>75034.5</v>
      </c>
      <c r="T451" s="173"/>
      <c r="U451" s="173"/>
      <c r="V451" s="184">
        <f>STDEV(D$2:D451)*SQRT(252)</f>
        <v>0.14608992125066686</v>
      </c>
      <c r="W451" s="184">
        <f>STDEV(L$2:L451)*SQRT(252)</f>
        <v>0.31563562645422927</v>
      </c>
      <c r="X451" s="174">
        <f t="shared" si="590"/>
        <v>-1.4562039104979175E-2</v>
      </c>
    </row>
    <row r="452" spans="1:24" ht="20.100000000000001" customHeight="1" x14ac:dyDescent="0.25">
      <c r="A452" s="163">
        <f t="shared" si="915"/>
        <v>709</v>
      </c>
      <c r="B452" s="172">
        <v>42942</v>
      </c>
      <c r="C452" s="215">
        <v>2477.83</v>
      </c>
      <c r="D452" s="171">
        <f t="shared" ref="D452" si="946">(C452-C451)/C451</f>
        <v>2.8258508838850525E-4</v>
      </c>
      <c r="E452" s="209">
        <f t="shared" ref="E452" si="947">(C452-$C$2)/$C$2</f>
        <v>0.17854968512775626</v>
      </c>
      <c r="F452" s="219">
        <v>6422.74</v>
      </c>
      <c r="G452" s="171">
        <f t="shared" ref="G452" si="948">(F452-F451)/F451</f>
        <v>1.6484279112998733E-3</v>
      </c>
      <c r="H452" s="203">
        <f t="shared" ref="H452" si="949">(F452-F$2)/F$2</f>
        <v>0.26141367323290848</v>
      </c>
      <c r="I452" s="221">
        <v>344935.7</v>
      </c>
      <c r="J452" s="173">
        <v>350000</v>
      </c>
      <c r="K452" s="173">
        <f t="shared" ref="K452" si="950">I452-I451-J452+J451</f>
        <v>-1945.9899999999907</v>
      </c>
      <c r="L452" s="171">
        <f t="shared" ref="L452" si="951">K452/I451</f>
        <v>-5.6099530649772571E-3</v>
      </c>
      <c r="M452" s="182">
        <f t="shared" ref="M452" si="952">I452-J452</f>
        <v>-5064.2999999999884</v>
      </c>
      <c r="N452" s="184">
        <f t="shared" ref="N452" si="953">M452/J452</f>
        <v>-1.4469428571428538E-2</v>
      </c>
      <c r="O452" s="183">
        <f t="shared" si="412"/>
        <v>-7.4541026596816268E-3</v>
      </c>
      <c r="P452" s="182" t="b">
        <f t="shared" ref="P452" si="954">L452&gt;D452</f>
        <v>0</v>
      </c>
      <c r="Q452" s="184">
        <f>COUNTIF(P$2:P452, TRUE)/(COUNTIF(P$2:P452,FALSE) + COUNTIF(P$2:P452, TRUE))</f>
        <v>0.47671840354767187</v>
      </c>
      <c r="R452" s="173">
        <v>271848.19</v>
      </c>
      <c r="S452" s="173">
        <f t="shared" ref="S452" si="955">I452-R452</f>
        <v>73087.510000000009</v>
      </c>
      <c r="T452" s="173"/>
      <c r="U452" s="173"/>
      <c r="V452" s="184">
        <f>STDEV(D$2:D452)*SQRT(252)</f>
        <v>0.14592717685018944</v>
      </c>
      <c r="W452" s="184">
        <f>STDEV(L$2:L452)*SQRT(252)</f>
        <v>0.31531573939865265</v>
      </c>
      <c r="X452" s="174">
        <f t="shared" si="590"/>
        <v>-2.3640122354493157E-2</v>
      </c>
    </row>
    <row r="453" spans="1:24" ht="20.100000000000001" customHeight="1" x14ac:dyDescent="0.25">
      <c r="A453" s="163">
        <f t="shared" si="915"/>
        <v>710</v>
      </c>
      <c r="B453" s="172">
        <v>42943</v>
      </c>
      <c r="C453" s="215">
        <v>2475.42</v>
      </c>
      <c r="D453" s="171">
        <f t="shared" ref="D453" si="956">(C453-C452)/C452</f>
        <v>-9.7262524063388312E-4</v>
      </c>
      <c r="E453" s="209">
        <f t="shared" ref="E453" si="957">(C453-$C$2)/$C$2</f>
        <v>0.17740339795665988</v>
      </c>
      <c r="F453" s="219">
        <v>6382.18</v>
      </c>
      <c r="G453" s="171">
        <f t="shared" ref="G453" si="958">(F453-F452)/F452</f>
        <v>-6.3150617960558101E-3</v>
      </c>
      <c r="H453" s="203">
        <f t="shared" ref="H453" si="959">(F453-F$2)/F$2</f>
        <v>0.25344776793605289</v>
      </c>
      <c r="I453" s="221">
        <v>347779.66</v>
      </c>
      <c r="J453" s="173">
        <v>350000</v>
      </c>
      <c r="K453" s="173">
        <f t="shared" ref="K453" si="960">I453-I452-J453+J452</f>
        <v>2843.9599999999627</v>
      </c>
      <c r="L453" s="171">
        <f t="shared" ref="L453" si="961">K453/I452</f>
        <v>8.2448989768236884E-3</v>
      </c>
      <c r="M453" s="182">
        <f t="shared" ref="M453" si="962">I453-J453</f>
        <v>-2220.3400000000256</v>
      </c>
      <c r="N453" s="184">
        <f t="shared" ref="N453" si="963">M453/J453</f>
        <v>-6.343828571428645E-3</v>
      </c>
      <c r="O453" s="183">
        <f t="shared" si="412"/>
        <v>-3.2634977263581869E-3</v>
      </c>
      <c r="P453" s="182" t="b">
        <f t="shared" ref="P453" si="964">L453&gt;D453</f>
        <v>1</v>
      </c>
      <c r="Q453" s="184">
        <f>COUNTIF(P$2:P453, TRUE)/(COUNTIF(P$2:P453,FALSE) + COUNTIF(P$2:P453, TRUE))</f>
        <v>0.47787610619469029</v>
      </c>
      <c r="R453" s="173">
        <v>282618.7</v>
      </c>
      <c r="S453" s="173">
        <f t="shared" ref="S453" si="965">I453-R453</f>
        <v>65160.959999999963</v>
      </c>
      <c r="T453" s="173"/>
      <c r="U453" s="173"/>
      <c r="V453" s="184">
        <f>STDEV(D$2:D453)*SQRT(252)</f>
        <v>0.14576859451697097</v>
      </c>
      <c r="W453" s="184">
        <f>STDEV(L$2:L453)*SQRT(252)</f>
        <v>0.31502032970329025</v>
      </c>
      <c r="X453" s="174">
        <f t="shared" si="590"/>
        <v>-1.0359641644182118E-2</v>
      </c>
    </row>
    <row r="454" spans="1:24" ht="20.100000000000001" customHeight="1" x14ac:dyDescent="0.25">
      <c r="A454" s="163">
        <f t="shared" si="915"/>
        <v>711</v>
      </c>
      <c r="B454" s="172">
        <v>42944</v>
      </c>
      <c r="C454" s="215">
        <v>2472.1</v>
      </c>
      <c r="D454" s="171">
        <f t="shared" ref="D454" si="966">(C454-C453)/C453</f>
        <v>-1.3411865461215324E-3</v>
      </c>
      <c r="E454" s="209">
        <f t="shared" ref="E454" si="967">(C454-$C$2)/$C$2</f>
        <v>0.17582428035996264</v>
      </c>
      <c r="F454" s="219">
        <v>6374.37</v>
      </c>
      <c r="G454" s="171">
        <f t="shared" ref="G454" si="968">(F454-F453)/F453</f>
        <v>-1.223719794803719E-3</v>
      </c>
      <c r="H454" s="203">
        <f t="shared" ref="H454" si="969">(F454-F$2)/F$2</f>
        <v>0.25191389909067702</v>
      </c>
      <c r="I454" s="221">
        <v>349490.54</v>
      </c>
      <c r="J454" s="173">
        <v>350000</v>
      </c>
      <c r="K454" s="173">
        <f t="shared" ref="K454" si="970">I454-I453-J454+J453</f>
        <v>1710.8800000000047</v>
      </c>
      <c r="L454" s="171">
        <f t="shared" ref="L454" si="971">K454/I453</f>
        <v>4.919436634103342E-3</v>
      </c>
      <c r="M454" s="182">
        <f t="shared" ref="M454" si="972">I454-J454</f>
        <v>-509.46000000002095</v>
      </c>
      <c r="N454" s="184">
        <f t="shared" ref="N454" si="973">M454/J454</f>
        <v>-1.4556000000000599E-3</v>
      </c>
      <c r="O454" s="183">
        <f t="shared" si="412"/>
        <v>-7.4776075949370164E-4</v>
      </c>
      <c r="P454" s="182" t="b">
        <f t="shared" ref="P454" si="974">L454&gt;D454</f>
        <v>1</v>
      </c>
      <c r="Q454" s="184">
        <f>COUNTIF(P$2:P454, TRUE)/(COUNTIF(P$2:P454,FALSE) + COUNTIF(P$2:P454, TRUE))</f>
        <v>0.47902869757174393</v>
      </c>
      <c r="R454" s="173">
        <v>280096.03000000003</v>
      </c>
      <c r="S454" s="173">
        <f t="shared" ref="S454" si="975">I454-R454</f>
        <v>69394.509999999951</v>
      </c>
      <c r="T454" s="173"/>
      <c r="U454" s="173"/>
      <c r="V454" s="184">
        <f>STDEV(D$2:D454)*SQRT(252)</f>
        <v>0.14561273064343241</v>
      </c>
      <c r="W454" s="184">
        <f>STDEV(L$2:L454)*SQRT(252)</f>
        <v>0.3146891603387108</v>
      </c>
      <c r="X454" s="174">
        <f t="shared" si="590"/>
        <v>-2.3761884860884976E-3</v>
      </c>
    </row>
    <row r="455" spans="1:24" ht="20.100000000000001" customHeight="1" x14ac:dyDescent="0.25">
      <c r="A455" s="163">
        <f t="shared" si="915"/>
        <v>714</v>
      </c>
      <c r="B455" s="172">
        <v>42947</v>
      </c>
      <c r="C455" s="215">
        <v>2470.3000000000002</v>
      </c>
      <c r="D455" s="171">
        <f t="shared" ref="D455" si="976">(C455-C454)/C454</f>
        <v>-7.2812588487509696E-4</v>
      </c>
      <c r="E455" s="209">
        <f t="shared" ref="E455" si="977">(C455-$C$2)/$C$2</f>
        <v>0.17496813226536792</v>
      </c>
      <c r="F455" s="219">
        <v>6348.12</v>
      </c>
      <c r="G455" s="171">
        <f t="shared" ref="G455" si="978">(F455-F454)/F454</f>
        <v>-4.1180540194560404E-3</v>
      </c>
      <c r="H455" s="203">
        <f t="shared" ref="H455" si="979">(F455-F$2)/F$2</f>
        <v>0.24675845002651375</v>
      </c>
      <c r="I455" s="473">
        <v>348754.42</v>
      </c>
      <c r="J455" s="173">
        <v>350000</v>
      </c>
      <c r="K455" s="173">
        <f t="shared" ref="K455" si="980">I455-I454-J455+J454</f>
        <v>-736.11999999999534</v>
      </c>
      <c r="L455" s="171">
        <f t="shared" ref="L455" si="981">K455/I454</f>
        <v>-2.1062658806158111E-3</v>
      </c>
      <c r="M455" s="473">
        <f t="shared" ref="M455" si="982">I455-J455</f>
        <v>-1245.5800000000163</v>
      </c>
      <c r="N455" s="184">
        <f t="shared" ref="N455" si="983">M455/J455</f>
        <v>-3.5588000000000464E-3</v>
      </c>
      <c r="O455" s="183">
        <f t="shared" ref="O455:O518" si="984">N455/(A455/365.25)</f>
        <v>-1.8205205882353178E-3</v>
      </c>
      <c r="P455" s="182" t="b">
        <f t="shared" ref="P455" si="985">L455&gt;D455</f>
        <v>0</v>
      </c>
      <c r="Q455" s="184">
        <f>COUNTIF(P$2:P455, TRUE)/(COUNTIF(P$2:P455,FALSE) + COUNTIF(P$2:P455, TRUE))</f>
        <v>0.47797356828193832</v>
      </c>
      <c r="R455" s="173">
        <v>280782.40999999997</v>
      </c>
      <c r="S455" s="173">
        <f t="shared" ref="S455" si="986">I455-R455</f>
        <v>67972.010000000009</v>
      </c>
      <c r="T455" s="173"/>
      <c r="U455" s="173"/>
      <c r="V455" s="184">
        <f>STDEV(D$2:D455)*SQRT(252)</f>
        <v>0.14545400037786788</v>
      </c>
      <c r="W455" s="184">
        <f>STDEV(L$2:L455)*SQRT(252)</f>
        <v>0.31434636500825969</v>
      </c>
      <c r="X455" s="174">
        <f t="shared" si="590"/>
        <v>-5.791447876890456E-3</v>
      </c>
    </row>
    <row r="456" spans="1:24" ht="20.100000000000001" customHeight="1" x14ac:dyDescent="0.25">
      <c r="A456" s="163">
        <f t="shared" si="915"/>
        <v>716</v>
      </c>
      <c r="B456" s="172">
        <v>42949</v>
      </c>
      <c r="C456" s="215">
        <v>2477.5700000000002</v>
      </c>
      <c r="D456" s="171">
        <f t="shared" ref="D456" si="987">(C456-C455)/C455</f>
        <v>2.9429623932315839E-3</v>
      </c>
      <c r="E456" s="209">
        <f t="shared" ref="E456" si="988">(C456-$C$2)/$C$2</f>
        <v>0.17842601929187044</v>
      </c>
      <c r="F456" s="219">
        <v>6362.64</v>
      </c>
      <c r="G456" s="171">
        <f t="shared" ref="G456" si="989">(F456-F455)/F455</f>
        <v>2.2872913555510035E-3</v>
      </c>
      <c r="H456" s="203">
        <f t="shared" ref="H456" si="990">(F456-F$2)/F$2</f>
        <v>0.24961014985171959</v>
      </c>
      <c r="I456" s="221">
        <v>346224.68</v>
      </c>
      <c r="J456" s="173">
        <v>350000</v>
      </c>
      <c r="K456" s="173">
        <f t="shared" ref="K456" si="991">I456-I455-J456+J455</f>
        <v>-2529.7399999999907</v>
      </c>
      <c r="L456" s="171">
        <f t="shared" ref="L456" si="992">K456/I455</f>
        <v>-7.2536428355517062E-3</v>
      </c>
      <c r="M456" s="182">
        <f t="shared" ref="M456" si="993">I456-J456</f>
        <v>-3775.320000000007</v>
      </c>
      <c r="N456" s="184">
        <f t="shared" ref="N456" si="994">M456/J456</f>
        <v>-1.0786628571428591E-2</v>
      </c>
      <c r="O456" s="183">
        <f t="shared" si="984"/>
        <v>-5.5025364325618619E-3</v>
      </c>
      <c r="P456" s="182" t="b">
        <f t="shared" ref="P456" si="995">L456&gt;D456</f>
        <v>0</v>
      </c>
      <c r="Q456" s="184">
        <f>COUNTIF(P$2:P456, TRUE)/(COUNTIF(P$2:P456,FALSE) + COUNTIF(P$2:P456, TRUE))</f>
        <v>0.47692307692307695</v>
      </c>
      <c r="R456" s="173">
        <v>285608.7</v>
      </c>
      <c r="S456" s="173">
        <f t="shared" ref="S456" si="996">I456-R456</f>
        <v>60615.979999999981</v>
      </c>
      <c r="T456" s="173"/>
      <c r="U456" s="173"/>
      <c r="V456" s="184">
        <f>STDEV(D$2:D456)*SQRT(252)</f>
        <v>0.14530573959175411</v>
      </c>
      <c r="W456" s="184">
        <f>STDEV(L$2:L456)*SQRT(252)</f>
        <v>0.31405074697791074</v>
      </c>
      <c r="X456" s="174">
        <f t="shared" si="590"/>
        <v>-1.7521169701114871E-2</v>
      </c>
    </row>
    <row r="457" spans="1:24" ht="20.100000000000001" customHeight="1" x14ac:dyDescent="0.25">
      <c r="A457" s="163">
        <f t="shared" si="915"/>
        <v>717</v>
      </c>
      <c r="B457" s="172">
        <v>42950</v>
      </c>
      <c r="C457" s="215">
        <v>2472.16</v>
      </c>
      <c r="D457" s="171">
        <f t="shared" ref="D457" si="997">(C457-C456)/C456</f>
        <v>-2.1835911800676907E-3</v>
      </c>
      <c r="E457" s="209">
        <f t="shared" ref="E457" si="998">(C457-$C$2)/$C$2</f>
        <v>0.17585281862978244</v>
      </c>
      <c r="F457" s="219">
        <v>6340.34</v>
      </c>
      <c r="G457" s="171">
        <f t="shared" ref="G457" si="999">(F457-F456)/F456</f>
        <v>-3.5048344712258089E-3</v>
      </c>
      <c r="H457" s="203">
        <f t="shared" ref="H457" si="1000">(F457-F$2)/F$2</f>
        <v>0.24523047312292562</v>
      </c>
      <c r="I457" s="221">
        <v>348198.95</v>
      </c>
      <c r="J457" s="173">
        <v>350000</v>
      </c>
      <c r="K457" s="173">
        <f t="shared" ref="K457" si="1001">I457-I456-J457+J456</f>
        <v>1974.2700000000186</v>
      </c>
      <c r="L457" s="171">
        <f t="shared" ref="L457" si="1002">K457/I456</f>
        <v>5.7022798028148044E-3</v>
      </c>
      <c r="M457" s="182">
        <f t="shared" ref="M457" si="1003">I457-J457</f>
        <v>-1801.0499999999884</v>
      </c>
      <c r="N457" s="184">
        <f t="shared" ref="N457" si="1004">M457/J457</f>
        <v>-5.1458571428571092E-3</v>
      </c>
      <c r="O457" s="183">
        <f t="shared" si="984"/>
        <v>-2.6213728332336946E-3</v>
      </c>
      <c r="P457" s="182" t="b">
        <f t="shared" ref="P457" si="1005">L457&gt;D457</f>
        <v>1</v>
      </c>
      <c r="Q457" s="184">
        <f>COUNTIF(P$2:P457, TRUE)/(COUNTIF(P$2:P457,FALSE) + COUNTIF(P$2:P457, TRUE))</f>
        <v>0.47807017543859648</v>
      </c>
      <c r="R457" s="173">
        <v>289835.09999999998</v>
      </c>
      <c r="S457" s="173">
        <f t="shared" ref="S457" si="1006">I457-R457</f>
        <v>58363.850000000035</v>
      </c>
      <c r="T457" s="173">
        <v>-40278</v>
      </c>
      <c r="U457" s="173">
        <f t="shared" si="894"/>
        <v>38476.950000000012</v>
      </c>
      <c r="V457" s="184">
        <f>STDEV(D$2:D457)*SQRT(252)</f>
        <v>0.14515839119279755</v>
      </c>
      <c r="W457" s="184">
        <f>STDEV(L$2:L457)*SQRT(252)</f>
        <v>0.31372982471955946</v>
      </c>
      <c r="X457" s="174">
        <f t="shared" si="590"/>
        <v>-8.3555104637466921E-3</v>
      </c>
    </row>
    <row r="458" spans="1:24" ht="20.100000000000001" customHeight="1" x14ac:dyDescent="0.25">
      <c r="A458" s="163">
        <f t="shared" si="915"/>
        <v>718</v>
      </c>
      <c r="B458" s="172">
        <v>42951</v>
      </c>
      <c r="C458" s="215">
        <v>2476.83</v>
      </c>
      <c r="D458" s="171">
        <f t="shared" ref="D458" si="1007">(C458-C457)/C457</f>
        <v>1.8890363083295875E-3</v>
      </c>
      <c r="E458" s="209">
        <f t="shared" ref="E458" si="1008">(C458-$C$2)/$C$2</f>
        <v>0.17807404729742579</v>
      </c>
      <c r="F458" s="219">
        <v>6351.56</v>
      </c>
      <c r="G458" s="171">
        <f t="shared" ref="G458" si="1009">(F458-F457)/F457</f>
        <v>1.7696211875073346E-3</v>
      </c>
      <c r="H458" s="203">
        <f t="shared" ref="H458" si="1010">(F458-F$2)/F$2</f>
        <v>0.24743405935149373</v>
      </c>
      <c r="I458" s="221">
        <v>352188.09</v>
      </c>
      <c r="J458" s="173">
        <v>350000</v>
      </c>
      <c r="K458" s="173">
        <f t="shared" ref="K458" si="1011">I458-I457-J458+J457</f>
        <v>3989.140000000014</v>
      </c>
      <c r="L458" s="171">
        <f t="shared" ref="L458" si="1012">K458/I457</f>
        <v>1.1456496350721374E-2</v>
      </c>
      <c r="M458" s="182">
        <f t="shared" ref="M458" si="1013">I458-J458</f>
        <v>2188.0900000000256</v>
      </c>
      <c r="N458" s="184">
        <f t="shared" ref="N458" si="1014">M458/J458</f>
        <v>6.2516857142857875E-3</v>
      </c>
      <c r="O458" s="183">
        <f t="shared" si="984"/>
        <v>3.1802621269399495E-3</v>
      </c>
      <c r="P458" s="182" t="b">
        <f t="shared" ref="P458" si="1015">L458&gt;D458</f>
        <v>1</v>
      </c>
      <c r="Q458" s="184">
        <f>COUNTIF(P$2:P458, TRUE)/(COUNTIF(P$2:P458,FALSE) + COUNTIF(P$2:P458, TRUE))</f>
        <v>0.47921225382932164</v>
      </c>
      <c r="R458" s="173">
        <v>296464.17</v>
      </c>
      <c r="S458" s="173">
        <f t="shared" ref="S458" si="1016">I458-R458</f>
        <v>55723.920000000042</v>
      </c>
      <c r="T458" s="173">
        <v>-36936</v>
      </c>
      <c r="U458" s="173">
        <f t="shared" ref="U458" si="1017">M458-T458</f>
        <v>39124.090000000026</v>
      </c>
      <c r="V458" s="184">
        <f>STDEV(D$2:D458)*SQRT(252)</f>
        <v>0.14500302685679403</v>
      </c>
      <c r="W458" s="184">
        <f>STDEV(L$2:L458)*SQRT(252)</f>
        <v>0.31349308569145112</v>
      </c>
      <c r="X458" s="174">
        <f t="shared" si="590"/>
        <v>1.0144600541748646E-2</v>
      </c>
    </row>
    <row r="459" spans="1:24" ht="20.100000000000001" customHeight="1" x14ac:dyDescent="0.25">
      <c r="A459" s="163">
        <f t="shared" si="915"/>
        <v>719</v>
      </c>
      <c r="B459" s="172">
        <v>42952</v>
      </c>
      <c r="C459" s="215">
        <v>2480.91</v>
      </c>
      <c r="D459" s="171">
        <f t="shared" ref="D459" si="1018">(C459-C458)/C458</f>
        <v>1.6472668693450609E-3</v>
      </c>
      <c r="E459" s="209">
        <f t="shared" ref="E459" si="1019">(C459-$C$2)/$C$2</f>
        <v>0.18001464964517408</v>
      </c>
      <c r="F459" s="219">
        <v>6383.77</v>
      </c>
      <c r="G459" s="171">
        <f t="shared" ref="G459" si="1020">(F459-F458)/F458</f>
        <v>5.0711951079734797E-3</v>
      </c>
      <c r="H459" s="203">
        <f t="shared" ref="H459" si="1021">(F459-F$2)/F$2</f>
        <v>0.25376004085079651</v>
      </c>
      <c r="I459" s="221">
        <v>348235.03</v>
      </c>
      <c r="J459" s="173">
        <v>350000</v>
      </c>
      <c r="K459" s="173">
        <f t="shared" ref="K459" si="1022">I459-I458-J459+J458</f>
        <v>-3953.0599999999977</v>
      </c>
      <c r="L459" s="171">
        <f t="shared" ref="L459" si="1023">K459/I458</f>
        <v>-1.1224286431718907E-2</v>
      </c>
      <c r="M459" s="182">
        <f t="shared" ref="M459" si="1024">I459-J459</f>
        <v>-1764.9699999999721</v>
      </c>
      <c r="N459" s="184">
        <f t="shared" ref="N459" si="1025">M459/J459</f>
        <v>-5.0427714285713491E-3</v>
      </c>
      <c r="O459" s="183">
        <f t="shared" si="984"/>
        <v>-2.5617138585336376E-3</v>
      </c>
      <c r="P459" s="182" t="b">
        <f t="shared" ref="P459" si="1026">L459&gt;D459</f>
        <v>0</v>
      </c>
      <c r="Q459" s="184">
        <f>COUNTIF(P$2:P459, TRUE)/(COUNTIF(P$2:P459,FALSE) + COUNTIF(P$2:P459, TRUE))</f>
        <v>0.47816593886462883</v>
      </c>
      <c r="R459" s="173">
        <v>292511.11</v>
      </c>
      <c r="S459" s="173">
        <f t="shared" ref="S459" si="1027">I459-R459</f>
        <v>55723.920000000042</v>
      </c>
      <c r="T459" s="173">
        <v>-40990</v>
      </c>
      <c r="U459" s="173">
        <f t="shared" ref="U459" si="1028">M459-T459</f>
        <v>39225.030000000028</v>
      </c>
      <c r="V459" s="184">
        <f>STDEV(D$2:D459)*SQRT(252)</f>
        <v>0.14484690154006488</v>
      </c>
      <c r="W459" s="184">
        <f>STDEV(L$2:L459)*SQRT(252)</f>
        <v>0.31326813608511911</v>
      </c>
      <c r="X459" s="174">
        <f t="shared" si="590"/>
        <v>-8.1773840472482203E-3</v>
      </c>
    </row>
    <row r="460" spans="1:24" ht="20.100000000000001" customHeight="1" x14ac:dyDescent="0.25">
      <c r="A460" s="163">
        <f t="shared" si="915"/>
        <v>722</v>
      </c>
      <c r="B460" s="172">
        <v>42955</v>
      </c>
      <c r="C460" s="215">
        <v>2474.92</v>
      </c>
      <c r="D460" s="171">
        <f t="shared" ref="D460" si="1029">(C460-C459)/C459</f>
        <v>-2.4144366381689711E-3</v>
      </c>
      <c r="E460" s="209">
        <f t="shared" ref="E460" si="1030">(C460-$C$2)/$C$2</f>
        <v>0.17716557904149466</v>
      </c>
      <c r="F460" s="219">
        <v>6370.46</v>
      </c>
      <c r="G460" s="171">
        <f t="shared" ref="G460" si="1031">(F460-F459)/F459</f>
        <v>-2.0849748659491803E-3</v>
      </c>
      <c r="H460" s="203">
        <f t="shared" ref="H460" si="1032">(F460-F$2)/F$2</f>
        <v>0.25114598267769117</v>
      </c>
      <c r="I460" s="221">
        <v>347445.16</v>
      </c>
      <c r="J460" s="173">
        <v>350000</v>
      </c>
      <c r="K460" s="173">
        <f t="shared" ref="K460" si="1033">I460-I459-J460+J459</f>
        <v>-789.87000000005355</v>
      </c>
      <c r="L460" s="171">
        <f t="shared" ref="L460" si="1034">K460/I459</f>
        <v>-2.2682094905847167E-3</v>
      </c>
      <c r="M460" s="182">
        <f t="shared" ref="M460" si="1035">I460-J460</f>
        <v>-2554.8400000000256</v>
      </c>
      <c r="N460" s="184">
        <f t="shared" ref="N460" si="1036">M460/J460</f>
        <v>-7.2995428571429304E-3</v>
      </c>
      <c r="O460" s="183">
        <f t="shared" si="984"/>
        <v>-3.6927396517610184E-3</v>
      </c>
      <c r="P460" s="182" t="b">
        <f t="shared" ref="P460" si="1037">L460&gt;D460</f>
        <v>1</v>
      </c>
      <c r="Q460" s="184">
        <f>COUNTIF(P$2:P460, TRUE)/(COUNTIF(P$2:P460,FALSE) + COUNTIF(P$2:P460, TRUE))</f>
        <v>0.47930283224400871</v>
      </c>
      <c r="R460" s="173">
        <v>282925.45</v>
      </c>
      <c r="S460" s="173">
        <f t="shared" ref="S460" si="1038">I460-R460</f>
        <v>64519.709999999963</v>
      </c>
      <c r="T460" s="173">
        <v>-41466</v>
      </c>
      <c r="U460" s="173">
        <f t="shared" ref="U460:U461" si="1039">M460-T460</f>
        <v>38911.159999999974</v>
      </c>
      <c r="V460" s="184">
        <f>STDEV(D$2:D460)*SQRT(252)</f>
        <v>0.14470343899895807</v>
      </c>
      <c r="W460" s="184">
        <f>STDEV(L$2:L460)*SQRT(252)</f>
        <v>0.31293135224758201</v>
      </c>
      <c r="X460" s="174">
        <f t="shared" si="590"/>
        <v>-1.1800478364467081E-2</v>
      </c>
    </row>
    <row r="461" spans="1:24" ht="20.100000000000001" customHeight="1" x14ac:dyDescent="0.25">
      <c r="A461" s="163">
        <f t="shared" si="915"/>
        <v>723</v>
      </c>
      <c r="B461" s="172">
        <v>42956</v>
      </c>
      <c r="C461" s="215">
        <v>2474.02</v>
      </c>
      <c r="D461" s="171">
        <f t="shared" ref="D461" si="1040">(C461-C460)/C460</f>
        <v>-3.6364811791899976E-4</v>
      </c>
      <c r="E461" s="209">
        <f t="shared" ref="E461" si="1041">(C461-$C$2)/$C$2</f>
        <v>0.17673750499419719</v>
      </c>
      <c r="F461" s="219">
        <v>6352.33</v>
      </c>
      <c r="G461" s="171">
        <f t="shared" ref="G461" si="1042">(F461-F460)/F460</f>
        <v>-2.8459483302618821E-3</v>
      </c>
      <c r="H461" s="203">
        <f t="shared" ref="H461" si="1043">(F461-F$2)/F$2</f>
        <v>0.24758528585737577</v>
      </c>
      <c r="I461" s="221">
        <v>344663.89</v>
      </c>
      <c r="J461" s="173">
        <v>350000</v>
      </c>
      <c r="K461" s="173">
        <f t="shared" ref="K461" si="1044">I461-I460-J461+J460</f>
        <v>-2781.2699999999604</v>
      </c>
      <c r="L461" s="171">
        <f t="shared" ref="L461" si="1045">K461/I460</f>
        <v>-8.0049179559731395E-3</v>
      </c>
      <c r="M461" s="182">
        <f t="shared" ref="M461" si="1046">I461-J461</f>
        <v>-5336.109999999986</v>
      </c>
      <c r="N461" s="184">
        <f t="shared" ref="N461" si="1047">M461/J461</f>
        <v>-1.5246028571428531E-2</v>
      </c>
      <c r="O461" s="183">
        <f t="shared" si="984"/>
        <v>-7.7020911973917994E-3</v>
      </c>
      <c r="P461" s="182" t="b">
        <f t="shared" ref="P461" si="1048">L461&gt;D461</f>
        <v>0</v>
      </c>
      <c r="Q461" s="184">
        <f>COUNTIF(P$2:P461, TRUE)/(COUNTIF(P$2:P461,FALSE) + COUNTIF(P$2:P461, TRUE))</f>
        <v>0.47826086956521741</v>
      </c>
      <c r="R461" s="173">
        <v>285894.18</v>
      </c>
      <c r="S461" s="173">
        <f t="shared" ref="S461" si="1049">I461-R461</f>
        <v>58769.710000000021</v>
      </c>
      <c r="T461" s="173">
        <v>-43506</v>
      </c>
      <c r="U461" s="173">
        <f t="shared" si="1039"/>
        <v>38169.890000000014</v>
      </c>
      <c r="V461" s="184">
        <f>STDEV(D$2:D461)*SQRT(252)</f>
        <v>0.14454647992700137</v>
      </c>
      <c r="W461" s="184">
        <f>STDEV(L$2:L461)*SQRT(252)</f>
        <v>0.31265113323308852</v>
      </c>
      <c r="X461" s="174">
        <f t="shared" si="590"/>
        <v>-2.4634777804082724E-2</v>
      </c>
    </row>
    <row r="462" spans="1:24" ht="20.100000000000001" customHeight="1" x14ac:dyDescent="0.25">
      <c r="A462" s="163">
        <f t="shared" si="915"/>
        <v>724</v>
      </c>
      <c r="B462" s="172">
        <v>42957</v>
      </c>
      <c r="C462" s="215">
        <v>2438.21</v>
      </c>
      <c r="D462" s="171">
        <f t="shared" ref="D462" si="1050">(C462-C461)/C461</f>
        <v>-1.4474418153450637E-2</v>
      </c>
      <c r="E462" s="209">
        <f t="shared" ref="E462" si="1051">(C462-$C$2)/$C$2</f>
        <v>0.15970491429006295</v>
      </c>
      <c r="F462" s="219">
        <v>6216.87</v>
      </c>
      <c r="G462" s="171">
        <f t="shared" ref="G462" si="1052">(F462-F461)/F461</f>
        <v>-2.1324458899333005E-2</v>
      </c>
      <c r="H462" s="203">
        <f t="shared" ref="H462" si="1053">(F462-F$2)/F$2</f>
        <v>0.22098120470569754</v>
      </c>
      <c r="I462" s="221">
        <v>338857.2</v>
      </c>
      <c r="J462" s="173">
        <v>350000</v>
      </c>
      <c r="K462" s="173">
        <f t="shared" ref="K462" si="1054">I462-I461-J462+J461</f>
        <v>-5806.6900000000023</v>
      </c>
      <c r="L462" s="171">
        <f t="shared" ref="L462" si="1055">K462/I461</f>
        <v>-1.6847398780301594E-2</v>
      </c>
      <c r="M462" s="182">
        <f t="shared" ref="M462" si="1056">I462-J462</f>
        <v>-11142.799999999988</v>
      </c>
      <c r="N462" s="184">
        <f t="shared" ref="N462" si="1057">M462/J462</f>
        <v>-3.1836571428571395E-2</v>
      </c>
      <c r="O462" s="183">
        <f t="shared" si="984"/>
        <v>-1.6061198500394617E-2</v>
      </c>
      <c r="P462" s="182" t="b">
        <f t="shared" ref="P462" si="1058">L462&gt;D462</f>
        <v>0</v>
      </c>
      <c r="Q462" s="184">
        <f>COUNTIF(P$2:P462, TRUE)/(COUNTIF(P$2:P462,FALSE) + COUNTIF(P$2:P462, TRUE))</f>
        <v>0.47722342733188722</v>
      </c>
      <c r="R462" s="173">
        <v>288927.49</v>
      </c>
      <c r="S462" s="173">
        <f t="shared" ref="S462" si="1059">I462-R462</f>
        <v>49929.710000000021</v>
      </c>
      <c r="T462" s="173">
        <v>-45429</v>
      </c>
      <c r="U462" s="173">
        <f t="shared" ref="U462:U472" si="1060">M462-T462</f>
        <v>34286.200000000012</v>
      </c>
      <c r="V462" s="184">
        <f>STDEV(D$2:D462)*SQRT(252)</f>
        <v>0.14480781665948367</v>
      </c>
      <c r="W462" s="184">
        <f>STDEV(L$2:L462)*SQRT(252)</f>
        <v>0.31256971763489261</v>
      </c>
      <c r="X462" s="174">
        <f t="shared" si="590"/>
        <v>-5.1384371531331227E-2</v>
      </c>
    </row>
    <row r="463" spans="1:24" ht="20.100000000000001" customHeight="1" x14ac:dyDescent="0.25">
      <c r="A463" s="163">
        <f t="shared" si="915"/>
        <v>729</v>
      </c>
      <c r="B463" s="172">
        <v>42962</v>
      </c>
      <c r="C463" s="215">
        <v>2464.61</v>
      </c>
      <c r="D463" s="171">
        <f t="shared" ref="D463" si="1061">(C463-C462)/C462</f>
        <v>1.0827615340762318E-2</v>
      </c>
      <c r="E463" s="209">
        <f t="shared" ref="E463" si="1062">(C463-$C$2)/$C$2</f>
        <v>0.1722617530107875</v>
      </c>
      <c r="F463" s="219">
        <v>6333.01</v>
      </c>
      <c r="G463" s="171">
        <f t="shared" ref="G463" si="1063">(F463-F462)/F462</f>
        <v>1.8681426505621049E-2</v>
      </c>
      <c r="H463" s="203">
        <f t="shared" ref="H463" si="1064">(F463-F$2)/F$2</f>
        <v>0.24379087534615168</v>
      </c>
      <c r="I463" s="221">
        <v>332438.64</v>
      </c>
      <c r="J463" s="173">
        <v>350000</v>
      </c>
      <c r="K463" s="173">
        <f t="shared" ref="K463" si="1065">I463-I462-J463+J462</f>
        <v>-6418.5599999999977</v>
      </c>
      <c r="L463" s="171">
        <f t="shared" ref="L463" si="1066">K463/I462</f>
        <v>-1.8941784326849179E-2</v>
      </c>
      <c r="M463" s="182">
        <f t="shared" ref="M463" si="1067">I463-J463</f>
        <v>-17561.359999999986</v>
      </c>
      <c r="N463" s="184">
        <f t="shared" ref="N463" si="1068">M463/J463</f>
        <v>-5.0175314285714243E-2</v>
      </c>
      <c r="O463" s="183">
        <f t="shared" si="984"/>
        <v>-2.5139277836566703E-2</v>
      </c>
      <c r="P463" s="182" t="b">
        <f t="shared" ref="P463" si="1069">L463&gt;D463</f>
        <v>0</v>
      </c>
      <c r="Q463" s="184">
        <f>COUNTIF(P$2:P463, TRUE)/(COUNTIF(P$2:P463,FALSE) + COUNTIF(P$2:P463, TRUE))</f>
        <v>0.47619047619047616</v>
      </c>
      <c r="R463" s="173">
        <v>295365.94</v>
      </c>
      <c r="S463" s="173">
        <f t="shared" ref="S463" si="1070">I463-R463</f>
        <v>37072.700000000012</v>
      </c>
      <c r="T463" s="173"/>
      <c r="U463" s="173"/>
      <c r="V463" s="184">
        <f>STDEV(D$2:D463)*SQRT(252)</f>
        <v>0.14485707775910978</v>
      </c>
      <c r="W463" s="184">
        <f>STDEV(L$2:L463)*SQRT(252)</f>
        <v>0.31255421973327635</v>
      </c>
      <c r="X463" s="174">
        <f t="shared" si="590"/>
        <v>-8.0431733918101475E-2</v>
      </c>
    </row>
    <row r="464" spans="1:24" ht="20.100000000000001" customHeight="1" x14ac:dyDescent="0.25">
      <c r="A464" s="163">
        <f t="shared" si="915"/>
        <v>730</v>
      </c>
      <c r="B464" s="172">
        <v>42963</v>
      </c>
      <c r="C464" s="215">
        <v>2468.11</v>
      </c>
      <c r="D464" s="171">
        <f t="shared" ref="D464" si="1071">(C464-C463)/C463</f>
        <v>1.4201029777530724E-3</v>
      </c>
      <c r="E464" s="209">
        <f t="shared" ref="E464" si="1072">(C464-$C$2)/$C$2</f>
        <v>0.17392648541694417</v>
      </c>
      <c r="F464" s="219">
        <v>6345.1</v>
      </c>
      <c r="G464" s="171">
        <f t="shared" ref="G464" si="1073">(F464-F463)/F463</f>
        <v>1.9090448301834586E-3</v>
      </c>
      <c r="H464" s="203">
        <f t="shared" ref="H464" si="1074">(F464-F$2)/F$2</f>
        <v>0.24616532788656059</v>
      </c>
      <c r="I464" s="221">
        <v>331487.06</v>
      </c>
      <c r="J464" s="173">
        <v>350000</v>
      </c>
      <c r="K464" s="173">
        <f t="shared" ref="K464" si="1075">I464-I463-J464+J463</f>
        <v>-951.5800000000163</v>
      </c>
      <c r="L464" s="171">
        <f t="shared" ref="L464" si="1076">K464/I463</f>
        <v>-2.8624229722514095E-3</v>
      </c>
      <c r="M464" s="182">
        <f t="shared" ref="M464" si="1077">I464-J464</f>
        <v>-18512.940000000002</v>
      </c>
      <c r="N464" s="184">
        <f t="shared" ref="N464" si="1078">M464/J464</f>
        <v>-5.2894114285714292E-2</v>
      </c>
      <c r="O464" s="183">
        <f t="shared" si="984"/>
        <v>-2.6465171565557732E-2</v>
      </c>
      <c r="P464" s="182" t="b">
        <f t="shared" ref="P464" si="1079">L464&gt;D464</f>
        <v>0</v>
      </c>
      <c r="Q464" s="184">
        <f>COUNTIF(P$2:P464, TRUE)/(COUNTIF(P$2:P464,FALSE) + COUNTIF(P$2:P464, TRUE))</f>
        <v>0.47516198704103674</v>
      </c>
      <c r="R464" s="173">
        <v>287776.84999999998</v>
      </c>
      <c r="S464" s="173">
        <f t="shared" ref="S464" si="1080">I464-R464</f>
        <v>43710.210000000021</v>
      </c>
      <c r="T464" s="173"/>
      <c r="U464" s="173"/>
      <c r="V464" s="184">
        <f>STDEV(D$2:D464)*SQRT(252)</f>
        <v>0.14470189508724368</v>
      </c>
      <c r="W464" s="184">
        <f>STDEV(L$2:L464)*SQRT(252)</f>
        <v>0.312223627542843</v>
      </c>
      <c r="X464" s="174">
        <f t="shared" si="590"/>
        <v>-8.4763513171104282E-2</v>
      </c>
    </row>
    <row r="465" spans="1:24" ht="20.100000000000001" customHeight="1" x14ac:dyDescent="0.25">
      <c r="A465" s="163">
        <f t="shared" si="915"/>
        <v>731</v>
      </c>
      <c r="B465" s="172">
        <v>42964</v>
      </c>
      <c r="C465" s="215">
        <v>2430.0100000000002</v>
      </c>
      <c r="D465" s="171">
        <f t="shared" ref="D465" si="1081">(C465-C464)/C464</f>
        <v>-1.5436913265616163E-2</v>
      </c>
      <c r="E465" s="209">
        <f t="shared" ref="E465" si="1082">(C465-$C$2)/$C$2</f>
        <v>0.15580468408135317</v>
      </c>
      <c r="F465" s="219">
        <v>6221.91</v>
      </c>
      <c r="G465" s="171">
        <f t="shared" ref="G465" si="1083">(F465-F464)/F464</f>
        <v>-1.9414981639375346E-2</v>
      </c>
      <c r="H465" s="203">
        <f t="shared" ref="H465" si="1084">(F465-F$2)/F$2</f>
        <v>0.22197105092601688</v>
      </c>
      <c r="I465" s="221">
        <v>325889.02</v>
      </c>
      <c r="J465" s="173">
        <v>350000</v>
      </c>
      <c r="K465" s="173">
        <f t="shared" ref="K465" si="1085">I465-I464-J465+J464</f>
        <v>-5598.039999999979</v>
      </c>
      <c r="L465" s="171">
        <f t="shared" ref="L465" si="1086">K465/I464</f>
        <v>-1.6887657696200809E-2</v>
      </c>
      <c r="M465" s="182">
        <f t="shared" ref="M465" si="1087">I465-J465</f>
        <v>-24110.979999999981</v>
      </c>
      <c r="N465" s="184">
        <f t="shared" ref="N465" si="1088">M465/J465</f>
        <v>-6.8888514285714228E-2</v>
      </c>
      <c r="O465" s="183">
        <f t="shared" si="984"/>
        <v>-3.4420697459448868E-2</v>
      </c>
      <c r="P465" s="182" t="b">
        <f t="shared" ref="P465" si="1089">L465&gt;D465</f>
        <v>0</v>
      </c>
      <c r="Q465" s="184">
        <f>COUNTIF(P$2:P465, TRUE)/(COUNTIF(P$2:P465,FALSE) + COUNTIF(P$2:P465, TRUE))</f>
        <v>0.47413793103448276</v>
      </c>
      <c r="R465" s="173">
        <v>282178.81</v>
      </c>
      <c r="S465" s="173">
        <f t="shared" ref="S465" si="1090">I465-R465</f>
        <v>43710.210000000021</v>
      </c>
      <c r="T465" s="173"/>
      <c r="U465" s="173"/>
      <c r="V465" s="184">
        <f>STDEV(D$2:D465)*SQRT(252)</f>
        <v>0.14501595644672607</v>
      </c>
      <c r="W465" s="184">
        <f>STDEV(L$2:L465)*SQRT(252)</f>
        <v>0.31214219131133292</v>
      </c>
      <c r="X465" s="174">
        <f t="shared" si="590"/>
        <v>-0.11027249252926981</v>
      </c>
    </row>
    <row r="466" spans="1:24" ht="20.100000000000001" customHeight="1" x14ac:dyDescent="0.25">
      <c r="A466" s="163">
        <f t="shared" si="915"/>
        <v>734</v>
      </c>
      <c r="B466" s="172">
        <v>42967</v>
      </c>
      <c r="C466" s="215">
        <v>2425.5500000000002</v>
      </c>
      <c r="D466" s="171">
        <f t="shared" ref="D466:D467" si="1091">(C466-C465)/C465</f>
        <v>-1.8353833934839922E-3</v>
      </c>
      <c r="E466" s="209">
        <f t="shared" ref="E466:E467" si="1092">(C466-$C$2)/$C$2</f>
        <v>0.15368333935807924</v>
      </c>
      <c r="F466" s="219">
        <v>6216.52</v>
      </c>
      <c r="G466" s="171">
        <f t="shared" ref="G466:G468" si="1093">(F466-F465)/F465</f>
        <v>-8.6629346936863724E-4</v>
      </c>
      <c r="H466" s="203">
        <f t="shared" ref="H466:H467" si="1094">(F466-F$2)/F$2</f>
        <v>0.22091246538484213</v>
      </c>
      <c r="I466" s="221">
        <v>347339.95</v>
      </c>
      <c r="J466" s="173">
        <v>370000</v>
      </c>
      <c r="K466" s="173">
        <f t="shared" ref="K466" si="1095">I466-I465-J466+J465</f>
        <v>1450.929999999993</v>
      </c>
      <c r="L466" s="171">
        <f t="shared" ref="L466" si="1096">K466/I465</f>
        <v>4.4522211886733496E-3</v>
      </c>
      <c r="M466" s="182">
        <f t="shared" ref="M466" si="1097">I466-J466</f>
        <v>-22660.049999999988</v>
      </c>
      <c r="N466" s="184">
        <f t="shared" ref="N466" si="1098">M466/J466</f>
        <v>-6.1243378378378344E-2</v>
      </c>
      <c r="O466" s="183">
        <f t="shared" si="984"/>
        <v>-3.0475672960085409E-2</v>
      </c>
      <c r="P466" s="182" t="b">
        <f t="shared" ref="P466" si="1099">L466&gt;D466</f>
        <v>1</v>
      </c>
      <c r="Q466" s="184">
        <f>COUNTIF(P$2:P466, TRUE)/(COUNTIF(P$2:P466,FALSE) + COUNTIF(P$2:P466, TRUE))</f>
        <v>0.47526881720430109</v>
      </c>
      <c r="R466" s="173">
        <v>291149.86</v>
      </c>
      <c r="S466" s="173">
        <f t="shared" ref="S466" si="1100">I466-R466</f>
        <v>56190.090000000026</v>
      </c>
      <c r="T466" s="173"/>
      <c r="U466" s="173"/>
      <c r="V466" s="184">
        <f>STDEV(D$2:D466)*SQRT(252)</f>
        <v>0.14486825523803426</v>
      </c>
      <c r="W466" s="184">
        <f>STDEV(L$2:L466)*SQRT(252)</f>
        <v>0.31182045349782028</v>
      </c>
      <c r="X466" s="174">
        <f t="shared" si="590"/>
        <v>-9.7734682309088633E-2</v>
      </c>
    </row>
    <row r="467" spans="1:24" ht="20.100000000000001" customHeight="1" x14ac:dyDescent="0.25">
      <c r="A467" s="163">
        <f t="shared" si="915"/>
        <v>736</v>
      </c>
      <c r="B467" s="172">
        <v>42969</v>
      </c>
      <c r="C467" s="215">
        <v>2452.5100000000002</v>
      </c>
      <c r="D467" s="171">
        <f t="shared" si="1091"/>
        <v>1.1115004844262141E-2</v>
      </c>
      <c r="E467" s="209">
        <f t="shared" si="1092"/>
        <v>0.16650653526378881</v>
      </c>
      <c r="F467" s="219">
        <v>6297.47</v>
      </c>
      <c r="G467" s="171">
        <f t="shared" si="1093"/>
        <v>1.3021754936845665E-2</v>
      </c>
      <c r="H467" s="203">
        <f t="shared" si="1094"/>
        <v>0.23681088830842362</v>
      </c>
      <c r="I467" s="221">
        <v>347918.93</v>
      </c>
      <c r="J467" s="173">
        <v>370000</v>
      </c>
      <c r="K467" s="173">
        <f t="shared" ref="K467" si="1101">I467-I466-J467+J466</f>
        <v>578.97999999998137</v>
      </c>
      <c r="L467" s="171">
        <f t="shared" ref="L467" si="1102">K467/I466</f>
        <v>1.6668972284932422E-3</v>
      </c>
      <c r="M467" s="182">
        <f t="shared" ref="M467" si="1103">I467-J467</f>
        <v>-22081.070000000007</v>
      </c>
      <c r="N467" s="184">
        <f t="shared" ref="N467" si="1104">M467/J467</f>
        <v>-5.9678567567567585E-2</v>
      </c>
      <c r="O467" s="183">
        <f t="shared" si="984"/>
        <v>-2.9616300005508238E-2</v>
      </c>
      <c r="P467" s="182" t="b">
        <f t="shared" ref="P467" si="1105">L467&gt;D467</f>
        <v>0</v>
      </c>
      <c r="Q467" s="184">
        <f>COUNTIF(P$2:P467, TRUE)/(COUNTIF(P$2:P467,FALSE) + COUNTIF(P$2:P467, TRUE))</f>
        <v>0.47424892703862659</v>
      </c>
      <c r="R467" s="173">
        <v>294443.84000000003</v>
      </c>
      <c r="S467" s="173">
        <f t="shared" ref="S467" si="1106">I467-R467</f>
        <v>53475.089999999967</v>
      </c>
      <c r="T467" s="173"/>
      <c r="U467" s="173"/>
      <c r="V467" s="184">
        <f>STDEV(D$2:D467)*SQRT(252)</f>
        <v>0.14492890674225326</v>
      </c>
      <c r="W467" s="184">
        <f>STDEV(L$2:L467)*SQRT(252)</f>
        <v>0.31148603418004434</v>
      </c>
      <c r="X467" s="174">
        <f t="shared" si="590"/>
        <v>-9.5080667367544003E-2</v>
      </c>
    </row>
    <row r="468" spans="1:24" ht="20.100000000000001" customHeight="1" x14ac:dyDescent="0.25">
      <c r="A468" s="163">
        <f t="shared" si="915"/>
        <v>739</v>
      </c>
      <c r="B468" s="172">
        <v>42972</v>
      </c>
      <c r="C468" s="215">
        <v>2443.0500000000002</v>
      </c>
      <c r="D468" s="171">
        <f t="shared" ref="D468" si="1107">(C468-C467)/C467</f>
        <v>-3.8572727532201847E-3</v>
      </c>
      <c r="E468" s="209">
        <f t="shared" ref="E468" si="1108">(C468-$C$2)/$C$2</f>
        <v>0.16200700138886251</v>
      </c>
      <c r="F468" s="219">
        <v>6265.64</v>
      </c>
      <c r="G468" s="171">
        <f t="shared" si="1093"/>
        <v>-5.0544107395509505E-3</v>
      </c>
      <c r="H468" s="203">
        <f t="shared" ref="H468" si="1109">(F468-F$2)/F$2</f>
        <v>0.23055953807176396</v>
      </c>
      <c r="I468" s="221">
        <v>350194.37</v>
      </c>
      <c r="J468" s="173">
        <v>370000</v>
      </c>
      <c r="K468" s="173">
        <f t="shared" ref="K468" si="1110">I468-I467-J468+J467</f>
        <v>2275.4400000000023</v>
      </c>
      <c r="L468" s="171">
        <f t="shared" ref="L468" si="1111">K468/I467</f>
        <v>6.5401442801632046E-3</v>
      </c>
      <c r="M468" s="182">
        <f t="shared" ref="M468" si="1112">I468-J468</f>
        <v>-19805.630000000005</v>
      </c>
      <c r="N468" s="184">
        <f t="shared" ref="N468" si="1113">M468/J468</f>
        <v>-5.3528729729729739E-2</v>
      </c>
      <c r="O468" s="183">
        <f t="shared" si="984"/>
        <v>-2.6456520343415137E-2</v>
      </c>
      <c r="P468" s="182" t="b">
        <f t="shared" ref="P468" si="1114">L468&gt;D468</f>
        <v>1</v>
      </c>
      <c r="Q468" s="184">
        <f>COUNTIF(P$2:P468, TRUE)/(COUNTIF(P$2:P468,FALSE) + COUNTIF(P$2:P468, TRUE))</f>
        <v>0.47537473233404709</v>
      </c>
      <c r="R468" s="173">
        <v>301558.38</v>
      </c>
      <c r="S468" s="173">
        <f t="shared" ref="S468" si="1115">I468-R468</f>
        <v>48635.989999999991</v>
      </c>
      <c r="T468" s="173"/>
      <c r="U468" s="173"/>
      <c r="V468" s="184">
        <f>STDEV(D$2:D468)*SQRT(252)</f>
        <v>0.14480639993993136</v>
      </c>
      <c r="W468" s="184">
        <f>STDEV(L$2:L468)*SQRT(252)</f>
        <v>0.31118539712304355</v>
      </c>
      <c r="X468" s="174">
        <f t="shared" si="590"/>
        <v>-8.5018514968921113E-2</v>
      </c>
    </row>
    <row r="469" spans="1:24" ht="20.100000000000001" customHeight="1" x14ac:dyDescent="0.25">
      <c r="A469" s="163">
        <f t="shared" si="915"/>
        <v>743</v>
      </c>
      <c r="B469" s="172">
        <v>42976</v>
      </c>
      <c r="C469" s="215">
        <v>2446.3000000000002</v>
      </c>
      <c r="D469" s="171">
        <f t="shared" ref="D469" si="1116">(C469-C468)/C468</f>
        <v>1.3303043326988804E-3</v>
      </c>
      <c r="E469" s="209">
        <f t="shared" ref="E469" si="1117">(C469-$C$2)/$C$2</f>
        <v>0.16355282433743656</v>
      </c>
      <c r="F469" s="219">
        <v>6301.88</v>
      </c>
      <c r="G469" s="171">
        <f t="shared" ref="G469" si="1118">(F469-F468)/F468</f>
        <v>5.7839263028197883E-3</v>
      </c>
      <c r="H469" s="203">
        <f t="shared" ref="H469" si="1119">(F469-F$2)/F$2</f>
        <v>0.23767700375120301</v>
      </c>
      <c r="I469" s="221">
        <v>348569.19</v>
      </c>
      <c r="J469" s="173">
        <v>370000</v>
      </c>
      <c r="K469" s="173">
        <f t="shared" ref="K469" si="1120">I469-I468-J469+J468</f>
        <v>-1625.179999999993</v>
      </c>
      <c r="L469" s="171">
        <f t="shared" ref="L469" si="1121">K469/I468</f>
        <v>-4.6407941966628216E-3</v>
      </c>
      <c r="M469" s="182">
        <f t="shared" ref="M469" si="1122">I469-J469</f>
        <v>-21430.809999999998</v>
      </c>
      <c r="N469" s="184">
        <f t="shared" ref="N469" si="1123">M469/J469</f>
        <v>-5.7921108108108105E-2</v>
      </c>
      <c r="O469" s="183">
        <f t="shared" si="984"/>
        <v>-2.847333073551344E-2</v>
      </c>
      <c r="P469" s="182" t="b">
        <f t="shared" ref="P469" si="1124">L469&gt;D469</f>
        <v>0</v>
      </c>
      <c r="Q469" s="184">
        <f>COUNTIF(P$2:P469, TRUE)/(COUNTIF(P$2:P469,FALSE) + COUNTIF(P$2:P469, TRUE))</f>
        <v>0.47435897435897434</v>
      </c>
      <c r="R469" s="173">
        <v>299933.2</v>
      </c>
      <c r="S469" s="173">
        <f t="shared" ref="S469" si="1125">I469-R469</f>
        <v>48635.989999999991</v>
      </c>
      <c r="T469" s="173"/>
      <c r="U469" s="173"/>
      <c r="V469" s="184">
        <f>STDEV(D$2:D469)*SQRT(252)</f>
        <v>0.14465268757046457</v>
      </c>
      <c r="W469" s="184">
        <f>STDEV(L$2:L469)*SQRT(252)</f>
        <v>0.31087213053146129</v>
      </c>
      <c r="X469" s="174">
        <f t="shared" si="590"/>
        <v>-9.1591776615150278E-2</v>
      </c>
    </row>
    <row r="470" spans="1:24" ht="20.100000000000001" customHeight="1" x14ac:dyDescent="0.25">
      <c r="A470" s="163">
        <f t="shared" si="915"/>
        <v>744</v>
      </c>
      <c r="B470" s="172">
        <v>42977</v>
      </c>
      <c r="C470" s="215">
        <v>2457.59</v>
      </c>
      <c r="D470" s="171">
        <f t="shared" ref="D470" si="1126">(C470-C469)/C469</f>
        <v>4.6151330580877087E-3</v>
      </c>
      <c r="E470" s="209">
        <f t="shared" ref="E470" si="1127">(C470-$C$2)/$C$2</f>
        <v>0.1689227754418676</v>
      </c>
      <c r="F470" s="219">
        <v>6368.3</v>
      </c>
      <c r="G470" s="171">
        <f t="shared" ref="G470" si="1128">(F470-F469)/F469</f>
        <v>1.0539711958970984E-2</v>
      </c>
      <c r="H470" s="203">
        <f t="shared" ref="H470" si="1129">(F470-F$2)/F$2</f>
        <v>0.25072176286898296</v>
      </c>
      <c r="I470" s="221">
        <v>350684.01</v>
      </c>
      <c r="J470" s="173">
        <v>370000</v>
      </c>
      <c r="K470" s="173">
        <f t="shared" ref="K470" si="1130">I470-I469-J470+J469</f>
        <v>2114.820000000007</v>
      </c>
      <c r="L470" s="171">
        <f t="shared" ref="L470" si="1131">K470/I469</f>
        <v>6.0671455213812987E-3</v>
      </c>
      <c r="M470" s="182">
        <f t="shared" ref="M470" si="1132">I470-J470</f>
        <v>-19315.989999999991</v>
      </c>
      <c r="N470" s="184">
        <f t="shared" ref="N470" si="1133">M470/J470</f>
        <v>-5.2205378378378353E-2</v>
      </c>
      <c r="O470" s="183">
        <f t="shared" si="984"/>
        <v>-2.5629051683740179E-2</v>
      </c>
      <c r="P470" s="182" t="b">
        <f t="shared" ref="P470" si="1134">L470&gt;D470</f>
        <v>1</v>
      </c>
      <c r="Q470" s="184">
        <f>COUNTIF(P$2:P470, TRUE)/(COUNTIF(P$2:P470,FALSE) + COUNTIF(P$2:P470, TRUE))</f>
        <v>0.47547974413646055</v>
      </c>
      <c r="R470" s="173">
        <v>295643.7</v>
      </c>
      <c r="S470" s="173">
        <f t="shared" ref="S470" si="1135">I470-R470</f>
        <v>55040.31</v>
      </c>
      <c r="T470" s="173"/>
      <c r="U470" s="173"/>
      <c r="V470" s="184">
        <f>STDEV(D$2:D470)*SQRT(252)</f>
        <v>0.14453137067764452</v>
      </c>
      <c r="W470" s="184">
        <f>STDEV(L$2:L470)*SQRT(252)</f>
        <v>0.31056850522583535</v>
      </c>
      <c r="X470" s="174">
        <f t="shared" si="590"/>
        <v>-8.2523022304220969E-2</v>
      </c>
    </row>
    <row r="471" spans="1:24" ht="20.100000000000001" customHeight="1" x14ac:dyDescent="0.25">
      <c r="A471" s="163">
        <f t="shared" si="915"/>
        <v>745</v>
      </c>
      <c r="B471" s="172">
        <v>42978</v>
      </c>
      <c r="C471" s="215">
        <v>2471.65</v>
      </c>
      <c r="D471" s="171">
        <f t="shared" ref="D471" si="1136">(C471-C470)/C470</f>
        <v>5.7210519248531875E-3</v>
      </c>
      <c r="E471" s="209">
        <f t="shared" ref="E471" si="1137">(C471-$C$2)/$C$2</f>
        <v>0.175610243336314</v>
      </c>
      <c r="F471" s="219">
        <v>6428.66</v>
      </c>
      <c r="G471" s="171">
        <f t="shared" ref="G471" si="1138">(F471-F470)/F470</f>
        <v>9.4781966929949387E-3</v>
      </c>
      <c r="H471" s="203">
        <f t="shared" ref="H471" si="1139">(F471-F$2)/F$2</f>
        <v>0.26257634974566452</v>
      </c>
      <c r="I471" s="415">
        <v>352584.03</v>
      </c>
      <c r="J471" s="173">
        <v>370000</v>
      </c>
      <c r="K471" s="173">
        <f t="shared" ref="K471" si="1140">I471-I470-J471+J470</f>
        <v>1900.0200000000186</v>
      </c>
      <c r="L471" s="171">
        <f t="shared" ref="L471" si="1141">K471/I470</f>
        <v>5.4180400184200544E-3</v>
      </c>
      <c r="M471" s="415">
        <f t="shared" ref="M471" si="1142">I471-J471</f>
        <v>-17415.969999999972</v>
      </c>
      <c r="N471" s="184">
        <f t="shared" ref="N471" si="1143">M471/J471</f>
        <v>-4.7070189189189114E-2</v>
      </c>
      <c r="O471" s="183">
        <f t="shared" si="984"/>
        <v>-2.3077028995102448E-2</v>
      </c>
      <c r="P471" s="182" t="b">
        <f t="shared" ref="P471" si="1144">L471&gt;D471</f>
        <v>0</v>
      </c>
      <c r="Q471" s="184">
        <f>COUNTIF(P$2:P471, TRUE)/(COUNTIF(P$2:P471,FALSE) + COUNTIF(P$2:P471, TRUE))</f>
        <v>0.474468085106383</v>
      </c>
      <c r="R471" s="173">
        <v>289110.77</v>
      </c>
      <c r="S471" s="173">
        <f t="shared" ref="S471:S472" si="1145">I471-R471</f>
        <v>63473.260000000009</v>
      </c>
      <c r="T471" s="173"/>
      <c r="U471" s="173"/>
      <c r="V471" s="184">
        <f>STDEV(D$2:D471)*SQRT(252)</f>
        <v>0.14443004981901336</v>
      </c>
      <c r="W471" s="184">
        <f>STDEV(L$2:L471)*SQRT(252)</f>
        <v>0.31025959043644818</v>
      </c>
      <c r="X471" s="174">
        <f t="shared" si="590"/>
        <v>-7.4379744273624371E-2</v>
      </c>
    </row>
    <row r="472" spans="1:24" ht="20.100000000000001" customHeight="1" x14ac:dyDescent="0.25">
      <c r="A472" s="163">
        <f t="shared" si="915"/>
        <v>746</v>
      </c>
      <c r="B472" s="172">
        <v>42979</v>
      </c>
      <c r="C472" s="215">
        <v>2476.5500000000002</v>
      </c>
      <c r="D472" s="171">
        <f t="shared" ref="D472" si="1146">(C472-C471)/C471</f>
        <v>1.9824813383772341E-3</v>
      </c>
      <c r="E472" s="209">
        <f t="shared" ref="E472" si="1147">(C472-$C$2)/$C$2</f>
        <v>0.17794086870493336</v>
      </c>
      <c r="F472" s="219">
        <v>6435.33</v>
      </c>
      <c r="G472" s="171">
        <f t="shared" ref="G472" si="1148">(F472-F471)/F471</f>
        <v>1.0375412605426438E-3</v>
      </c>
      <c r="H472" s="203">
        <f t="shared" ref="H472" si="1149">(F472-F$2)/F$2</f>
        <v>0.26388632480311097</v>
      </c>
      <c r="I472" s="221">
        <v>336954.37</v>
      </c>
      <c r="J472" s="173">
        <v>350000</v>
      </c>
      <c r="K472" s="173">
        <f t="shared" ref="K472" si="1150">I472-I471-J472+J471</f>
        <v>4370.3399999999674</v>
      </c>
      <c r="L472" s="171">
        <f t="shared" ref="L472" si="1151">K472/I471</f>
        <v>1.2395172861345895E-2</v>
      </c>
      <c r="M472" s="182">
        <f t="shared" ref="M472" si="1152">I472-J472</f>
        <v>-13045.630000000005</v>
      </c>
      <c r="N472" s="184">
        <f t="shared" ref="N472" si="1153">M472/J472</f>
        <v>-3.7273228571428584E-2</v>
      </c>
      <c r="O472" s="183">
        <f t="shared" si="984"/>
        <v>-1.8249392407123713E-2</v>
      </c>
      <c r="P472" s="182" t="b">
        <f t="shared" ref="P472" si="1154">L472&gt;D472</f>
        <v>1</v>
      </c>
      <c r="Q472" s="184">
        <f>COUNTIF(P$2:P472, TRUE)/(COUNTIF(P$2:P472,FALSE) + COUNTIF(P$2:P472, TRUE))</f>
        <v>0.47558386411889597</v>
      </c>
      <c r="R472" s="173">
        <v>291479.53000000003</v>
      </c>
      <c r="S472" s="173">
        <f t="shared" si="1145"/>
        <v>45474.839999999967</v>
      </c>
      <c r="T472" s="173">
        <v>-52981</v>
      </c>
      <c r="U472" s="173">
        <f t="shared" si="1060"/>
        <v>39935.369999999995</v>
      </c>
      <c r="V472" s="184">
        <f>STDEV(D$2:D472)*SQRT(252)</f>
        <v>0.1442807254907349</v>
      </c>
      <c r="W472" s="184">
        <f>STDEV(L$2:L472)*SQRT(252)</f>
        <v>0.31005583574297191</v>
      </c>
      <c r="X472" s="174">
        <f t="shared" si="590"/>
        <v>-5.8858406465382505E-2</v>
      </c>
    </row>
    <row r="473" spans="1:24" ht="20.100000000000001" customHeight="1" x14ac:dyDescent="0.25">
      <c r="A473" s="163">
        <f t="shared" si="915"/>
        <v>750</v>
      </c>
      <c r="B473" s="172">
        <v>42983</v>
      </c>
      <c r="C473" s="215">
        <v>2457.85</v>
      </c>
      <c r="D473" s="171">
        <f t="shared" ref="D473" si="1155">(C473-C472)/C472</f>
        <v>-7.5508267549616488E-3</v>
      </c>
      <c r="E473" s="209">
        <f t="shared" ref="E473" si="1156">(C473-$C$2)/$C$2</f>
        <v>0.1690464412777534</v>
      </c>
      <c r="F473" s="219">
        <v>6375.57</v>
      </c>
      <c r="G473" s="171">
        <f t="shared" ref="G473" si="1157">(F473-F472)/F472</f>
        <v>-9.2862370694277094E-3</v>
      </c>
      <c r="H473" s="203">
        <f t="shared" ref="H473" si="1158">(F473-F$2)/F$2</f>
        <v>0.25214957676218158</v>
      </c>
      <c r="I473" s="221">
        <v>336250.61</v>
      </c>
      <c r="J473" s="173">
        <v>350000</v>
      </c>
      <c r="K473" s="173">
        <f t="shared" ref="K473" si="1159">I473-I472-J473+J472</f>
        <v>-703.76000000000931</v>
      </c>
      <c r="L473" s="171">
        <f t="shared" ref="L473" si="1160">K473/I472</f>
        <v>-2.0885914018566056E-3</v>
      </c>
      <c r="M473" s="182">
        <f t="shared" ref="M473" si="1161">I473-J473</f>
        <v>-13749.390000000014</v>
      </c>
      <c r="N473" s="184">
        <f t="shared" ref="N473" si="1162">M473/J473</f>
        <v>-3.9283971428571471E-2</v>
      </c>
      <c r="O473" s="183">
        <f t="shared" si="984"/>
        <v>-1.9131294085714307E-2</v>
      </c>
      <c r="P473" s="182" t="b">
        <f t="shared" ref="P473" si="1163">L473&gt;D473</f>
        <v>1</v>
      </c>
      <c r="Q473" s="184">
        <f>COUNTIF(P$2:P473, TRUE)/(COUNTIF(P$2:P473,FALSE) + COUNTIF(P$2:P473, TRUE))</f>
        <v>0.47669491525423729</v>
      </c>
      <c r="R473" s="173">
        <v>296076.46999999997</v>
      </c>
      <c r="S473" s="173">
        <f t="shared" ref="S473" si="1164">I473-R473</f>
        <v>40174.140000000014</v>
      </c>
      <c r="T473" s="173">
        <v>-52601</v>
      </c>
      <c r="U473" s="173">
        <f t="shared" ref="U473" si="1165">M473-T473</f>
        <v>38851.609999999986</v>
      </c>
      <c r="V473" s="184">
        <f>STDEV(D$2:D473)*SQRT(252)</f>
        <v>0.14424413570977887</v>
      </c>
      <c r="W473" s="184">
        <f>STDEV(L$2:L473)*SQRT(252)</f>
        <v>0.30973071524404033</v>
      </c>
      <c r="X473" s="174">
        <f t="shared" si="590"/>
        <v>-6.1767506883004947E-2</v>
      </c>
    </row>
    <row r="474" spans="1:24" ht="20.100000000000001" customHeight="1" x14ac:dyDescent="0.25">
      <c r="A474" s="163">
        <f t="shared" si="915"/>
        <v>751</v>
      </c>
      <c r="B474" s="172">
        <v>42984</v>
      </c>
      <c r="C474" s="215">
        <v>2465.54</v>
      </c>
      <c r="D474" s="171">
        <f t="shared" ref="D474" si="1166">(C474-C473)/C473</f>
        <v>3.128750737433145E-3</v>
      </c>
      <c r="E474" s="209">
        <f t="shared" ref="E474" si="1167">(C474-$C$2)/$C$2</f>
        <v>0.17270409619299476</v>
      </c>
      <c r="F474" s="219">
        <v>6393.31</v>
      </c>
      <c r="G474" s="171">
        <f t="shared" ref="G474" si="1168">(F474-F473)/F473</f>
        <v>2.7824963101339474E-3</v>
      </c>
      <c r="H474" s="203">
        <f t="shared" ref="H474" si="1169">(F474-F$2)/F$2</f>
        <v>0.25563367833925815</v>
      </c>
      <c r="I474" s="221">
        <v>342369.21</v>
      </c>
      <c r="J474" s="173">
        <v>350000</v>
      </c>
      <c r="K474" s="173">
        <f t="shared" ref="K474" si="1170">I474-I473-J474+J473</f>
        <v>6118.6000000000349</v>
      </c>
      <c r="L474" s="171">
        <f t="shared" ref="L474" si="1171">K474/I473</f>
        <v>1.8196546914814624E-2</v>
      </c>
      <c r="M474" s="182">
        <f t="shared" ref="M474" si="1172">I474-J474</f>
        <v>-7630.789999999979</v>
      </c>
      <c r="N474" s="184">
        <f t="shared" ref="N474" si="1173">M474/J474</f>
        <v>-2.1802257142857082E-2</v>
      </c>
      <c r="O474" s="183">
        <f t="shared" si="984"/>
        <v>-1.0603561147042008E-2</v>
      </c>
      <c r="P474" s="182" t="b">
        <f t="shared" ref="P474" si="1174">L474&gt;D474</f>
        <v>1</v>
      </c>
      <c r="Q474" s="184">
        <f>COUNTIF(P$2:P474, TRUE)/(COUNTIF(P$2:P474,FALSE) + COUNTIF(P$2:P474, TRUE))</f>
        <v>0.47780126849894294</v>
      </c>
      <c r="R474" s="173">
        <v>255392.65</v>
      </c>
      <c r="S474" s="173">
        <f t="shared" ref="S474" si="1175">I474-R474</f>
        <v>86976.560000000027</v>
      </c>
      <c r="T474" s="173">
        <v>-48637</v>
      </c>
      <c r="U474" s="173">
        <f t="shared" ref="U474" si="1176">M474-T474</f>
        <v>41006.210000000021</v>
      </c>
      <c r="V474" s="184">
        <f>STDEV(D$2:D474)*SQRT(252)</f>
        <v>0.14410499979088631</v>
      </c>
      <c r="W474" s="184">
        <f>STDEV(L$2:L474)*SQRT(252)</f>
        <v>0.30967830740703384</v>
      </c>
      <c r="X474" s="174">
        <f t="shared" si="590"/>
        <v>-3.4240568013389899E-2</v>
      </c>
    </row>
    <row r="475" spans="1:24" ht="20.100000000000001" customHeight="1" x14ac:dyDescent="0.25">
      <c r="A475" s="163">
        <f t="shared" si="915"/>
        <v>752</v>
      </c>
      <c r="B475" s="172">
        <v>42985</v>
      </c>
      <c r="C475" s="215">
        <v>2465.1</v>
      </c>
      <c r="D475" s="171">
        <f t="shared" ref="D475" si="1177">(C475-C474)/C474</f>
        <v>-1.7845989113948854E-4</v>
      </c>
      <c r="E475" s="209">
        <f t="shared" ref="E475" si="1178">(C475-$C$2)/$C$2</f>
        <v>0.17249481554764931</v>
      </c>
      <c r="F475" s="219">
        <v>6397.86</v>
      </c>
      <c r="G475" s="171">
        <f t="shared" ref="G475" si="1179">(F475-F474)/F474</f>
        <v>7.1168142949415436E-4</v>
      </c>
      <c r="H475" s="203">
        <f t="shared" ref="H475" si="1180">(F475-F$2)/F$2</f>
        <v>0.25652728951037962</v>
      </c>
      <c r="I475" s="221">
        <v>342957.79</v>
      </c>
      <c r="J475" s="173">
        <v>350000</v>
      </c>
      <c r="K475" s="173">
        <f t="shared" ref="K475" si="1181">I475-I474-J475+J474</f>
        <v>588.57999999995809</v>
      </c>
      <c r="L475" s="171">
        <f t="shared" ref="L475" si="1182">K475/I474</f>
        <v>1.7191382367589599E-3</v>
      </c>
      <c r="M475" s="182">
        <f t="shared" ref="M475" si="1183">I475-J475</f>
        <v>-7042.210000000021</v>
      </c>
      <c r="N475" s="184">
        <f t="shared" ref="N475" si="1184">M475/J475</f>
        <v>-2.0120600000000061E-2</v>
      </c>
      <c r="O475" s="183">
        <f t="shared" si="984"/>
        <v>-9.7726717420213056E-3</v>
      </c>
      <c r="P475" s="182" t="b">
        <f t="shared" ref="P475" si="1185">L475&gt;D475</f>
        <v>1</v>
      </c>
      <c r="Q475" s="184">
        <f>COUNTIF(P$2:P475, TRUE)/(COUNTIF(P$2:P475,FALSE) + COUNTIF(P$2:P475, TRUE))</f>
        <v>0.47890295358649787</v>
      </c>
      <c r="R475" s="173">
        <v>258228.56</v>
      </c>
      <c r="S475" s="173">
        <f t="shared" ref="S475" si="1186">I475-R475</f>
        <v>84729.229999999981</v>
      </c>
      <c r="T475" s="173">
        <v>-47786</v>
      </c>
      <c r="U475" s="173">
        <f t="shared" ref="U475" si="1187">M475-T475</f>
        <v>40743.789999999979</v>
      </c>
      <c r="V475" s="184">
        <f>STDEV(D$2:D475)*SQRT(252)</f>
        <v>0.14395283952494337</v>
      </c>
      <c r="W475" s="184">
        <f>STDEV(L$2:L475)*SQRT(252)</f>
        <v>0.30935175432104961</v>
      </c>
      <c r="X475" s="174">
        <f t="shared" ref="X475:X538" si="1188">O475/W475</f>
        <v>-3.1590807569428198E-2</v>
      </c>
    </row>
    <row r="476" spans="1:24" ht="20.100000000000001" customHeight="1" x14ac:dyDescent="0.25">
      <c r="A476" s="163">
        <f t="shared" si="915"/>
        <v>753</v>
      </c>
      <c r="B476" s="172">
        <v>42986</v>
      </c>
      <c r="C476" s="215">
        <v>2461.4299999999998</v>
      </c>
      <c r="D476" s="171">
        <f t="shared" ref="D476" si="1189">(C476-C475)/C475</f>
        <v>-1.4887834164942894E-3</v>
      </c>
      <c r="E476" s="209">
        <f t="shared" ref="E476" si="1190">(C476-$C$2)/$C$2</f>
        <v>0.17074922471033646</v>
      </c>
      <c r="F476" s="219">
        <v>6360.39</v>
      </c>
      <c r="G476" s="171">
        <f t="shared" ref="G476" si="1191">(F476-F475)/F475</f>
        <v>-5.8566458159446041E-3</v>
      </c>
      <c r="H476" s="203">
        <f t="shared" ref="H476" si="1192">(F476-F$2)/F$2</f>
        <v>0.24916825421764843</v>
      </c>
      <c r="I476" s="221">
        <v>335342.87</v>
      </c>
      <c r="J476" s="173">
        <v>350000</v>
      </c>
      <c r="K476" s="173">
        <f t="shared" ref="K476" si="1193">I476-I475-J476+J475</f>
        <v>-7614.9199999999837</v>
      </c>
      <c r="L476" s="171">
        <f t="shared" ref="L476" si="1194">K476/I475</f>
        <v>-2.2203665354853099E-2</v>
      </c>
      <c r="M476" s="182">
        <f t="shared" ref="M476" si="1195">I476-J476</f>
        <v>-14657.130000000005</v>
      </c>
      <c r="N476" s="184">
        <f t="shared" ref="N476" si="1196">M476/J476</f>
        <v>-4.1877514285714297E-2</v>
      </c>
      <c r="O476" s="183">
        <f t="shared" si="984"/>
        <v>-2.0313097068867393E-2</v>
      </c>
      <c r="P476" s="182" t="b">
        <f t="shared" ref="P476" si="1197">L476&gt;D476</f>
        <v>0</v>
      </c>
      <c r="Q476" s="184">
        <f>COUNTIF(P$2:P476, TRUE)/(COUNTIF(P$2:P476,FALSE) + COUNTIF(P$2:P476, TRUE))</f>
        <v>0.47789473684210526</v>
      </c>
      <c r="R476" s="173">
        <v>249990.63</v>
      </c>
      <c r="S476" s="173">
        <f t="shared" ref="S476" si="1198">I476-R476</f>
        <v>85352.239999999991</v>
      </c>
      <c r="T476" s="173">
        <v>-54714</v>
      </c>
      <c r="U476" s="173">
        <f t="shared" ref="U476" si="1199">M476-T476</f>
        <v>40056.869999999995</v>
      </c>
      <c r="V476" s="184">
        <f>STDEV(D$2:D476)*SQRT(252)</f>
        <v>0.1438070269592682</v>
      </c>
      <c r="W476" s="184">
        <f>STDEV(L$2:L476)*SQRT(252)</f>
        <v>0.30946102397648323</v>
      </c>
      <c r="X476" s="174">
        <f t="shared" si="1188"/>
        <v>-6.5640243827316494E-2</v>
      </c>
    </row>
    <row r="477" spans="1:24" ht="20.100000000000001" customHeight="1" x14ac:dyDescent="0.25">
      <c r="A477" s="163">
        <f t="shared" si="915"/>
        <v>756</v>
      </c>
      <c r="B477" s="172">
        <v>42989</v>
      </c>
      <c r="C477" s="215">
        <v>2488.11</v>
      </c>
      <c r="D477" s="171">
        <f t="shared" ref="D477" si="1200">(C477-C476)/C476</f>
        <v>1.0839227603466397E-2</v>
      </c>
      <c r="E477" s="209">
        <f t="shared" ref="E477" si="1201">(C477-$C$2)/$C$2</f>
        <v>0.18343924202355361</v>
      </c>
      <c r="F477" s="219">
        <v>6432.26</v>
      </c>
      <c r="G477" s="171">
        <f t="shared" ref="G477" si="1202">(F477-F476)/F476</f>
        <v>1.1299621564086461E-2</v>
      </c>
      <c r="H477" s="203">
        <f t="shared" ref="H477" si="1203">(F477-F$2)/F$2</f>
        <v>0.26328338276017843</v>
      </c>
      <c r="I477" s="221">
        <v>339751.59</v>
      </c>
      <c r="J477" s="173">
        <v>350000</v>
      </c>
      <c r="K477" s="173">
        <f t="shared" ref="K477" si="1204">I477-I476-J477+J476</f>
        <v>4408.7200000000303</v>
      </c>
      <c r="L477" s="171">
        <f t="shared" ref="L477" si="1205">K477/I476</f>
        <v>1.3146902452406489E-2</v>
      </c>
      <c r="M477" s="182">
        <f t="shared" ref="M477" si="1206">I477-J477</f>
        <v>-10248.409999999974</v>
      </c>
      <c r="N477" s="184">
        <f t="shared" ref="N477" si="1207">M477/J477</f>
        <v>-2.9281171428571354E-2</v>
      </c>
      <c r="O477" s="183">
        <f t="shared" si="984"/>
        <v>-1.4146756434240326E-2</v>
      </c>
      <c r="P477" s="182" t="b">
        <f t="shared" ref="P477" si="1208">L477&gt;D477</f>
        <v>1</v>
      </c>
      <c r="Q477" s="184">
        <f>COUNTIF(P$2:P477, TRUE)/(COUNTIF(P$2:P477,FALSE) + COUNTIF(P$2:P477, TRUE))</f>
        <v>0.47899159663865548</v>
      </c>
      <c r="R477" s="173">
        <v>243718.12</v>
      </c>
      <c r="S477" s="173">
        <f t="shared" ref="S477" si="1209">I477-R477</f>
        <v>96033.47000000003</v>
      </c>
      <c r="T477" s="173">
        <v>-52678</v>
      </c>
      <c r="U477" s="173">
        <f t="shared" ref="U477" si="1210">M477-T477</f>
        <v>42429.590000000026</v>
      </c>
      <c r="V477" s="184">
        <f>STDEV(D$2:D477)*SQRT(252)</f>
        <v>0.14385736210567479</v>
      </c>
      <c r="W477" s="184">
        <f>STDEV(L$2:L477)*SQRT(252)</f>
        <v>0.30927640165645359</v>
      </c>
      <c r="X477" s="174">
        <f t="shared" si="1188"/>
        <v>-4.574146736857939E-2</v>
      </c>
    </row>
    <row r="478" spans="1:24" ht="20.100000000000001" customHeight="1" x14ac:dyDescent="0.25">
      <c r="A478" s="163">
        <f t="shared" si="915"/>
        <v>757</v>
      </c>
      <c r="B478" s="172">
        <v>42990</v>
      </c>
      <c r="C478" s="215">
        <v>2496.48</v>
      </c>
      <c r="D478" s="171">
        <f t="shared" ref="D478" si="1211">(C478-C477)/C477</f>
        <v>3.3639991801005143E-3</v>
      </c>
      <c r="E478" s="209">
        <f t="shared" ref="E478" si="1212">(C478-$C$2)/$C$2</f>
        <v>0.18742033066341962</v>
      </c>
      <c r="F478" s="219">
        <v>6454.28</v>
      </c>
      <c r="G478" s="171">
        <f t="shared" ref="G478" si="1213">(F478-F477)/F477</f>
        <v>3.4233690802298921E-3</v>
      </c>
      <c r="H478" s="203">
        <f t="shared" ref="H478" si="1214">(F478-F$2)/F$2</f>
        <v>0.26760806803228782</v>
      </c>
      <c r="I478" s="221">
        <v>342729.25</v>
      </c>
      <c r="J478" s="173">
        <v>350000</v>
      </c>
      <c r="K478" s="173">
        <f t="shared" ref="K478" si="1215">I478-I477-J478+J477</f>
        <v>2977.6599999999744</v>
      </c>
      <c r="L478" s="171">
        <f t="shared" ref="L478" si="1216">K478/I477</f>
        <v>8.7642268281951947E-3</v>
      </c>
      <c r="M478" s="182">
        <f t="shared" ref="M478" si="1217">I478-J478</f>
        <v>-7270.75</v>
      </c>
      <c r="N478" s="184">
        <f t="shared" ref="N478" si="1218">M478/J478</f>
        <v>-2.0773571428571429E-2</v>
      </c>
      <c r="O478" s="183">
        <f t="shared" si="984"/>
        <v>-1.0023179609360257E-2</v>
      </c>
      <c r="P478" s="182" t="b">
        <f t="shared" ref="P478" si="1219">L478&gt;D478</f>
        <v>1</v>
      </c>
      <c r="Q478" s="184">
        <f>COUNTIF(P$2:P478, TRUE)/(COUNTIF(P$2:P478,FALSE) + COUNTIF(P$2:P478, TRUE))</f>
        <v>0.48008385744234799</v>
      </c>
      <c r="R478" s="173">
        <v>243287.86</v>
      </c>
      <c r="S478" s="173">
        <f t="shared" ref="S478" si="1220">I478-R478</f>
        <v>99441.390000000014</v>
      </c>
      <c r="T478" s="173">
        <v>-50978</v>
      </c>
      <c r="U478" s="173">
        <f t="shared" ref="U478" si="1221">M478-T478</f>
        <v>43707.25</v>
      </c>
      <c r="V478" s="184">
        <f>STDEV(D$2:D478)*SQRT(252)</f>
        <v>0.14372208387906182</v>
      </c>
      <c r="W478" s="184">
        <f>STDEV(L$2:L478)*SQRT(252)</f>
        <v>0.30901192178328862</v>
      </c>
      <c r="X478" s="174">
        <f t="shared" si="1188"/>
        <v>-3.2436223015335816E-2</v>
      </c>
    </row>
    <row r="479" spans="1:24" ht="20.100000000000001" customHeight="1" x14ac:dyDescent="0.25">
      <c r="A479" s="163">
        <f t="shared" si="915"/>
        <v>758</v>
      </c>
      <c r="B479" s="172">
        <v>42991</v>
      </c>
      <c r="C479" s="215">
        <v>2498.37</v>
      </c>
      <c r="D479" s="171">
        <f t="shared" ref="D479" si="1222">(C479-C478)/C478</f>
        <v>7.5706594885593817E-4</v>
      </c>
      <c r="E479" s="209">
        <f t="shared" ref="E479" si="1223">(C479-$C$2)/$C$2</f>
        <v>0.18831928616274415</v>
      </c>
      <c r="F479" s="219">
        <v>6460.18</v>
      </c>
      <c r="G479" s="171">
        <f t="shared" ref="G479" si="1224">(F479-F478)/F478</f>
        <v>9.1412210192314957E-4</v>
      </c>
      <c r="H479" s="203">
        <f t="shared" ref="H479" si="1225">(F479-F$2)/F$2</f>
        <v>0.26876681658385226</v>
      </c>
      <c r="I479" s="221">
        <v>346163.11</v>
      </c>
      <c r="J479" s="173">
        <v>350000</v>
      </c>
      <c r="K479" s="173">
        <f t="shared" ref="K479" si="1226">I479-I478-J479+J478</f>
        <v>3433.859999999986</v>
      </c>
      <c r="L479" s="171">
        <f t="shared" ref="L479" si="1227">K479/I478</f>
        <v>1.0019162356291404E-2</v>
      </c>
      <c r="M479" s="182">
        <f t="shared" ref="M479" si="1228">I479-J479</f>
        <v>-3836.890000000014</v>
      </c>
      <c r="N479" s="184">
        <f t="shared" ref="N479" si="1229">M479/J479</f>
        <v>-1.0962542857142897E-2</v>
      </c>
      <c r="O479" s="183">
        <f t="shared" si="984"/>
        <v>-5.2824126366377878E-3</v>
      </c>
      <c r="P479" s="182" t="b">
        <f t="shared" ref="P479" si="1230">L479&gt;D479</f>
        <v>1</v>
      </c>
      <c r="Q479" s="184">
        <f>COUNTIF(P$2:P479, TRUE)/(COUNTIF(P$2:P479,FALSE) + COUNTIF(P$2:P479, TRUE))</f>
        <v>0.48117154811715479</v>
      </c>
      <c r="R479" s="173">
        <v>236800.45</v>
      </c>
      <c r="S479" s="173">
        <f t="shared" ref="S479" si="1231">I479-R479</f>
        <v>109362.65999999997</v>
      </c>
      <c r="T479" s="173">
        <v>-48114</v>
      </c>
      <c r="U479" s="173">
        <f t="shared" ref="U479" si="1232">M479-T479</f>
        <v>44277.109999999986</v>
      </c>
      <c r="V479" s="184">
        <f>STDEV(D$2:D479)*SQRT(252)</f>
        <v>0.14357126818301891</v>
      </c>
      <c r="W479" s="184">
        <f>STDEV(L$2:L479)*SQRT(252)</f>
        <v>0.30876753627425929</v>
      </c>
      <c r="X479" s="174">
        <f t="shared" si="1188"/>
        <v>-1.7108057085203882E-2</v>
      </c>
    </row>
    <row r="480" spans="1:24" ht="20.100000000000001" customHeight="1" x14ac:dyDescent="0.25">
      <c r="A480" s="163">
        <f t="shared" si="915"/>
        <v>759</v>
      </c>
      <c r="B480" s="172">
        <v>42992</v>
      </c>
      <c r="C480" s="215">
        <v>2495.62</v>
      </c>
      <c r="D480" s="171">
        <f t="shared" ref="D480" si="1233">(C480-C479)/C479</f>
        <v>-1.1007176679194836E-3</v>
      </c>
      <c r="E480" s="209">
        <f t="shared" ref="E480" si="1234">(C480-$C$2)/$C$2</f>
        <v>0.18701128212933535</v>
      </c>
      <c r="F480" s="219">
        <v>6429.08</v>
      </c>
      <c r="G480" s="171">
        <f t="shared" ref="G480" si="1235">(F480-F479)/F479</f>
        <v>-4.8141073468541684E-3</v>
      </c>
      <c r="H480" s="203">
        <f t="shared" ref="H480" si="1236">(F480-F$2)/F$2</f>
        <v>0.26265883693069114</v>
      </c>
      <c r="I480" s="221">
        <v>344939.43</v>
      </c>
      <c r="J480" s="173">
        <v>350000</v>
      </c>
      <c r="K480" s="173">
        <f t="shared" ref="K480" si="1237">I480-I479-J480+J479</f>
        <v>-1223.679999999993</v>
      </c>
      <c r="L480" s="171">
        <f t="shared" ref="L480" si="1238">K480/I479</f>
        <v>-3.5349809516097572E-3</v>
      </c>
      <c r="M480" s="182">
        <f t="shared" ref="M480" si="1239">I480-J480</f>
        <v>-5060.570000000007</v>
      </c>
      <c r="N480" s="184">
        <f t="shared" ref="N480" si="1240">M480/J480</f>
        <v>-1.4458771428571448E-2</v>
      </c>
      <c r="O480" s="183">
        <f t="shared" si="984"/>
        <v>-6.9579265669113587E-3</v>
      </c>
      <c r="P480" s="182" t="b">
        <f t="shared" ref="P480" si="1241">L480&gt;D480</f>
        <v>0</v>
      </c>
      <c r="Q480" s="184">
        <f>COUNTIF(P$2:P480, TRUE)/(COUNTIF(P$2:P480,FALSE) + COUNTIF(P$2:P480, TRUE))</f>
        <v>0.4801670146137787</v>
      </c>
      <c r="R480" s="173">
        <v>235576.77</v>
      </c>
      <c r="S480" s="173">
        <f t="shared" ref="S480" si="1242">I480-R480</f>
        <v>109362.66</v>
      </c>
      <c r="T480" s="173">
        <v>-48830</v>
      </c>
      <c r="U480" s="173">
        <f t="shared" ref="U480" si="1243">M480-T480</f>
        <v>43769.429999999993</v>
      </c>
      <c r="V480" s="184">
        <f>STDEV(D$2:D480)*SQRT(252)</f>
        <v>0.14342484838502698</v>
      </c>
      <c r="W480" s="184">
        <f>STDEV(L$2:L480)*SQRT(252)</f>
        <v>0.30845659017030708</v>
      </c>
      <c r="X480" s="174">
        <f t="shared" si="1188"/>
        <v>-2.2557231029071877E-2</v>
      </c>
    </row>
    <row r="481" spans="1:24" ht="20.100000000000001" customHeight="1" x14ac:dyDescent="0.25">
      <c r="A481" s="163">
        <f t="shared" si="915"/>
        <v>760</v>
      </c>
      <c r="B481" s="172">
        <v>42993</v>
      </c>
      <c r="C481" s="215">
        <v>2500.23</v>
      </c>
      <c r="D481" s="171">
        <f t="shared" ref="D481" si="1244">(C481-C480)/C480</f>
        <v>1.8472363580994413E-3</v>
      </c>
      <c r="E481" s="209">
        <f t="shared" ref="E481" si="1245">(C481-$C$2)/$C$2</f>
        <v>0.1892039725271589</v>
      </c>
      <c r="F481" s="219">
        <v>6448.66</v>
      </c>
      <c r="G481" s="171">
        <f t="shared" ref="G481" si="1246">(F481-F480)/F480</f>
        <v>3.0455368419742682E-3</v>
      </c>
      <c r="H481" s="203">
        <f t="shared" ref="H481" si="1247">(F481-F$2)/F$2</f>
        <v>0.26650431093740795</v>
      </c>
      <c r="I481" s="221">
        <v>346855.18</v>
      </c>
      <c r="J481" s="173">
        <v>350000</v>
      </c>
      <c r="K481" s="173">
        <f t="shared" ref="K481" si="1248">I481-I480-J481+J480</f>
        <v>1915.75</v>
      </c>
      <c r="L481" s="171">
        <f t="shared" ref="L481" si="1249">K481/I480</f>
        <v>5.5538736177537023E-3</v>
      </c>
      <c r="M481" s="182">
        <f t="shared" ref="M481" si="1250">I481-J481</f>
        <v>-3144.820000000007</v>
      </c>
      <c r="N481" s="184">
        <f t="shared" ref="N481" si="1251">M481/J481</f>
        <v>-8.9852000000000196E-3</v>
      </c>
      <c r="O481" s="183">
        <f t="shared" si="984"/>
        <v>-4.3182161842105363E-3</v>
      </c>
      <c r="P481" s="182" t="b">
        <f t="shared" ref="P481" si="1252">L481&gt;D481</f>
        <v>1</v>
      </c>
      <c r="Q481" s="184">
        <f>COUNTIF(P$2:P481, TRUE)/(COUNTIF(P$2:P481,FALSE) + COUNTIF(P$2:P481, TRUE))</f>
        <v>0.48125000000000001</v>
      </c>
      <c r="R481" s="173">
        <v>244138.62</v>
      </c>
      <c r="S481" s="173">
        <f t="shared" ref="S481" si="1253">I481-R481</f>
        <v>102716.56</v>
      </c>
      <c r="T481" s="173">
        <v>-47636</v>
      </c>
      <c r="U481" s="173">
        <f t="shared" ref="U481" si="1254">M481-T481</f>
        <v>44491.179999999993</v>
      </c>
      <c r="V481" s="184">
        <f>STDEV(D$2:D481)*SQRT(252)</f>
        <v>0.14327859255827297</v>
      </c>
      <c r="W481" s="184">
        <f>STDEV(L$2:L481)*SQRT(252)</f>
        <v>0.30815698264983843</v>
      </c>
      <c r="X481" s="174">
        <f t="shared" si="1188"/>
        <v>-1.4013040194897561E-2</v>
      </c>
    </row>
    <row r="482" spans="1:24" ht="20.100000000000001" customHeight="1" x14ac:dyDescent="0.25">
      <c r="A482" s="163">
        <f t="shared" si="915"/>
        <v>763</v>
      </c>
      <c r="B482" s="172">
        <v>42996</v>
      </c>
      <c r="C482" s="215">
        <v>2503.87</v>
      </c>
      <c r="D482" s="171">
        <f t="shared" ref="D482" si="1255">(C482-C481)/C481</f>
        <v>1.4558660603223993E-3</v>
      </c>
      <c r="E482" s="209">
        <f t="shared" ref="E482" si="1256">(C482-$C$2)/$C$2</f>
        <v>0.19093529422956176</v>
      </c>
      <c r="F482" s="219">
        <v>6454.63</v>
      </c>
      <c r="G482" s="171">
        <f t="shared" ref="G482" si="1257">(F482-F481)/F481</f>
        <v>9.2577372663472024E-4</v>
      </c>
      <c r="H482" s="203">
        <f t="shared" ref="H482" si="1258">(F482-F$2)/F$2</f>
        <v>0.26767680735314342</v>
      </c>
      <c r="I482" s="221">
        <v>347277.37</v>
      </c>
      <c r="J482" s="173">
        <v>350000</v>
      </c>
      <c r="K482" s="173">
        <f t="shared" ref="K482" si="1259">I482-I481-J482+J481</f>
        <v>422.19000000000233</v>
      </c>
      <c r="L482" s="171">
        <f t="shared" ref="L482" si="1260">K482/I481</f>
        <v>1.217193873247049E-3</v>
      </c>
      <c r="M482" s="182">
        <f t="shared" ref="M482" si="1261">I482-J482</f>
        <v>-2722.6300000000047</v>
      </c>
      <c r="N482" s="184">
        <f t="shared" ref="N482" si="1262">M482/J482</f>
        <v>-7.7789428571428702E-3</v>
      </c>
      <c r="O482" s="183">
        <f t="shared" si="984"/>
        <v>-3.7237993166073834E-3</v>
      </c>
      <c r="P482" s="182" t="b">
        <f t="shared" ref="P482" si="1263">L482&gt;D482</f>
        <v>0</v>
      </c>
      <c r="Q482" s="184">
        <f>COUNTIF(P$2:P482, TRUE)/(COUNTIF(P$2:P482,FALSE) + COUNTIF(P$2:P482, TRUE))</f>
        <v>0.48024948024948028</v>
      </c>
      <c r="R482" s="173">
        <v>245606.42</v>
      </c>
      <c r="S482" s="173">
        <f t="shared" ref="S482" si="1264">I482-R482</f>
        <v>101670.94999999998</v>
      </c>
      <c r="T482" s="173">
        <v>-47720</v>
      </c>
      <c r="U482" s="173">
        <f t="shared" ref="U482" si="1265">M482-T482</f>
        <v>44997.369999999995</v>
      </c>
      <c r="V482" s="184">
        <f>STDEV(D$2:D482)*SQRT(252)</f>
        <v>0.143130989675923</v>
      </c>
      <c r="W482" s="184">
        <f>STDEV(L$2:L482)*SQRT(252)</f>
        <v>0.30783578900658637</v>
      </c>
      <c r="X482" s="174">
        <f t="shared" si="1188"/>
        <v>-1.2096706911903963E-2</v>
      </c>
    </row>
    <row r="483" spans="1:24" ht="20.100000000000001" customHeight="1" x14ac:dyDescent="0.25">
      <c r="A483" s="163">
        <f t="shared" si="915"/>
        <v>764</v>
      </c>
      <c r="B483" s="172">
        <v>42997</v>
      </c>
      <c r="C483" s="215">
        <v>2506.65</v>
      </c>
      <c r="D483" s="171">
        <f t="shared" ref="D483" si="1266">(C483-C482)/C482</f>
        <v>1.1102812845715632E-3</v>
      </c>
      <c r="E483" s="209">
        <f t="shared" ref="E483" si="1267">(C483-$C$2)/$C$2</f>
        <v>0.19225756739788058</v>
      </c>
      <c r="F483" s="219">
        <v>6461.32</v>
      </c>
      <c r="G483" s="171">
        <f t="shared" ref="G483" si="1268">(F483-F482)/F482</f>
        <v>1.036465297003794E-3</v>
      </c>
      <c r="H483" s="203">
        <f t="shared" ref="H483" si="1269">(F483-F$2)/F$2</f>
        <v>0.26899071037178152</v>
      </c>
      <c r="I483" s="221">
        <v>345709.56</v>
      </c>
      <c r="J483" s="173">
        <v>350000</v>
      </c>
      <c r="K483" s="173">
        <f t="shared" ref="K483" si="1270">I483-I482-J483+J482</f>
        <v>-1567.8099999999977</v>
      </c>
      <c r="L483" s="171">
        <f t="shared" ref="L483" si="1271">K483/I482</f>
        <v>-4.5145757697946098E-3</v>
      </c>
      <c r="M483" s="182">
        <f t="shared" ref="M483" si="1272">I483-J483</f>
        <v>-4290.4400000000023</v>
      </c>
      <c r="N483" s="184">
        <f t="shared" ref="N483" si="1273">M483/J483</f>
        <v>-1.2258400000000006E-2</v>
      </c>
      <c r="O483" s="183">
        <f t="shared" si="984"/>
        <v>-5.8604458115183271E-3</v>
      </c>
      <c r="P483" s="182" t="b">
        <f t="shared" ref="P483" si="1274">L483&gt;D483</f>
        <v>0</v>
      </c>
      <c r="Q483" s="184">
        <f>COUNTIF(P$2:P483, TRUE)/(COUNTIF(P$2:P483,FALSE) + COUNTIF(P$2:P483, TRUE))</f>
        <v>0.47925311203319504</v>
      </c>
      <c r="R483" s="173">
        <v>246242.24</v>
      </c>
      <c r="S483" s="173">
        <f t="shared" ref="S483" si="1275">I483-R483</f>
        <v>99467.32</v>
      </c>
      <c r="T483" s="173">
        <v>-48500</v>
      </c>
      <c r="U483" s="173">
        <f t="shared" ref="U483" si="1276">M483-T483</f>
        <v>44209.56</v>
      </c>
      <c r="V483" s="184">
        <f>STDEV(D$2:D483)*SQRT(252)</f>
        <v>0.14298272953663635</v>
      </c>
      <c r="W483" s="184">
        <f>STDEV(L$2:L483)*SQRT(252)</f>
        <v>0.3075351311503991</v>
      </c>
      <c r="X483" s="174">
        <f t="shared" si="1188"/>
        <v>-1.9056183238630692E-2</v>
      </c>
    </row>
    <row r="484" spans="1:24" ht="20.100000000000001" customHeight="1" x14ac:dyDescent="0.25">
      <c r="A484" s="163">
        <f t="shared" si="915"/>
        <v>765</v>
      </c>
      <c r="B484" s="172">
        <v>42998</v>
      </c>
      <c r="C484" s="215">
        <v>2508.2399999999998</v>
      </c>
      <c r="D484" s="171">
        <f t="shared" ref="D484:D490" si="1277">(C484-C483)/C483</f>
        <v>6.3431272814301587E-4</v>
      </c>
      <c r="E484" s="209">
        <f t="shared" ref="E484" si="1278">(C484-$C$2)/$C$2</f>
        <v>0.19301383154810586</v>
      </c>
      <c r="F484" s="219">
        <v>6456.04</v>
      </c>
      <c r="G484" s="171">
        <f t="shared" ref="G484:G490" si="1279">(F484-F483)/F483</f>
        <v>-8.1717048528779659E-4</v>
      </c>
      <c r="H484" s="203">
        <f t="shared" ref="H484:H489" si="1280">(F484-F$2)/F$2</f>
        <v>0.26795372861716132</v>
      </c>
      <c r="I484" s="221">
        <v>347542.31</v>
      </c>
      <c r="J484" s="173">
        <v>350000</v>
      </c>
      <c r="K484" s="173">
        <f t="shared" ref="K484:K489" si="1281">I484-I483-J484+J483</f>
        <v>1832.75</v>
      </c>
      <c r="L484" s="171">
        <f t="shared" ref="L484:L489" si="1282">K484/I483</f>
        <v>5.3014154424887759E-3</v>
      </c>
      <c r="M484" s="182">
        <f t="shared" ref="M484" si="1283">I484-J484</f>
        <v>-2457.6900000000023</v>
      </c>
      <c r="N484" s="184">
        <f t="shared" ref="N484" si="1284">M484/J484</f>
        <v>-7.0219714285714354E-3</v>
      </c>
      <c r="O484" s="183">
        <f t="shared" si="984"/>
        <v>-3.3526471428571456E-3</v>
      </c>
      <c r="P484" s="182" t="b">
        <f t="shared" ref="P484" si="1285">L484&gt;D484</f>
        <v>1</v>
      </c>
      <c r="Q484" s="184">
        <f>COUNTIF(P$2:P484, TRUE)/(COUNTIF(P$2:P484,FALSE) + COUNTIF(P$2:P484, TRUE))</f>
        <v>0.48033126293995859</v>
      </c>
      <c r="R484" s="173">
        <v>261969.09</v>
      </c>
      <c r="S484" s="173">
        <f t="shared" ref="S484" si="1286">I484-R484</f>
        <v>85573.22</v>
      </c>
      <c r="T484" s="173">
        <v>-45800</v>
      </c>
      <c r="U484" s="173">
        <f t="shared" ref="U484" si="1287">M484-T484</f>
        <v>43342.31</v>
      </c>
      <c r="V484" s="184">
        <f>STDEV(D$2:D484)*SQRT(252)</f>
        <v>0.14283411686318409</v>
      </c>
      <c r="W484" s="184">
        <f>STDEV(L$2:L484)*SQRT(252)</f>
        <v>0.30723621311065613</v>
      </c>
      <c r="X484" s="174">
        <f t="shared" si="1188"/>
        <v>-1.0912278565449038E-2</v>
      </c>
    </row>
    <row r="485" spans="1:24" ht="20.100000000000001" customHeight="1" x14ac:dyDescent="0.25">
      <c r="A485" s="163">
        <f t="shared" si="915"/>
        <v>766</v>
      </c>
      <c r="B485" s="172">
        <v>42999</v>
      </c>
      <c r="C485" s="215">
        <v>2500.6</v>
      </c>
      <c r="D485" s="171">
        <f t="shared" si="1277"/>
        <v>-3.0459605141453265E-3</v>
      </c>
      <c r="E485" s="209">
        <f t="shared" ref="E485" si="1288">(C485-$C$2)/$C$2</f>
        <v>0.18937995852438111</v>
      </c>
      <c r="F485" s="219">
        <v>6422.69</v>
      </c>
      <c r="G485" s="171">
        <f t="shared" si="1279"/>
        <v>-5.1657052930279808E-3</v>
      </c>
      <c r="H485" s="203">
        <f t="shared" si="1280"/>
        <v>0.26140385332992905</v>
      </c>
      <c r="I485" s="221">
        <v>348466.58</v>
      </c>
      <c r="J485" s="173">
        <v>350000</v>
      </c>
      <c r="K485" s="173">
        <f t="shared" si="1281"/>
        <v>924.27000000001863</v>
      </c>
      <c r="L485" s="171">
        <f t="shared" si="1282"/>
        <v>2.6594459822748447E-3</v>
      </c>
      <c r="M485" s="182">
        <f t="shared" ref="M485" si="1289">I485-J485</f>
        <v>-1533.4199999999837</v>
      </c>
      <c r="N485" s="184">
        <f t="shared" ref="N485" si="1290">M485/J485</f>
        <v>-4.3811999999999532E-3</v>
      </c>
      <c r="O485" s="183">
        <f t="shared" si="984"/>
        <v>-2.0890774151435805E-3</v>
      </c>
      <c r="P485" s="182" t="b">
        <f t="shared" ref="P485" si="1291">L485&gt;D485</f>
        <v>1</v>
      </c>
      <c r="Q485" s="184">
        <f>COUNTIF(P$2:P485, TRUE)/(COUNTIF(P$2:P485,FALSE) + COUNTIF(P$2:P485, TRUE))</f>
        <v>0.48140495867768596</v>
      </c>
      <c r="R485" s="173">
        <v>266943.35999999999</v>
      </c>
      <c r="S485" s="173">
        <f t="shared" ref="S485" si="1292">I485-R485</f>
        <v>81523.22000000003</v>
      </c>
      <c r="T485" s="173">
        <v>-44486</v>
      </c>
      <c r="U485" s="173">
        <f t="shared" ref="U485:U486" si="1293">M485-T485</f>
        <v>42952.580000000016</v>
      </c>
      <c r="V485" s="184">
        <f>STDEV(D$2:D485)*SQRT(252)</f>
        <v>0.14270766261353252</v>
      </c>
      <c r="W485" s="184">
        <f>STDEV(L$2:L485)*SQRT(252)</f>
        <v>0.30692186377022179</v>
      </c>
      <c r="X485" s="174">
        <f t="shared" si="1188"/>
        <v>-6.8065447976934489E-3</v>
      </c>
    </row>
    <row r="486" spans="1:24" ht="20.100000000000001" customHeight="1" x14ac:dyDescent="0.25">
      <c r="A486" s="163">
        <f t="shared" si="915"/>
        <v>767</v>
      </c>
      <c r="B486" s="172">
        <v>43000</v>
      </c>
      <c r="C486" s="215">
        <v>2502.2199999999998</v>
      </c>
      <c r="D486" s="171">
        <f t="shared" si="1277"/>
        <v>6.4784451731580062E-4</v>
      </c>
      <c r="E486" s="209">
        <f t="shared" ref="E486" si="1294">(C486-$C$2)/$C$2</f>
        <v>0.19015049180951643</v>
      </c>
      <c r="F486" s="219">
        <v>6426.92</v>
      </c>
      <c r="G486" s="171">
        <f t="shared" si="1279"/>
        <v>6.586025481535732E-4</v>
      </c>
      <c r="H486" s="203">
        <f t="shared" si="1280"/>
        <v>0.26223461712198287</v>
      </c>
      <c r="I486" s="221">
        <v>349263.92</v>
      </c>
      <c r="J486" s="173">
        <v>350000</v>
      </c>
      <c r="K486" s="173">
        <f t="shared" si="1281"/>
        <v>797.3399999999674</v>
      </c>
      <c r="L486" s="171">
        <f t="shared" si="1282"/>
        <v>2.2881390806543554E-3</v>
      </c>
      <c r="M486" s="182">
        <f t="shared" ref="M486" si="1295">I486-J486</f>
        <v>-736.0800000000163</v>
      </c>
      <c r="N486" s="184">
        <f t="shared" ref="N486" si="1296">M486/J486</f>
        <v>-2.1030857142857609E-3</v>
      </c>
      <c r="O486" s="183">
        <f t="shared" si="984"/>
        <v>-1.0015020301732387E-3</v>
      </c>
      <c r="P486" s="182" t="b">
        <f t="shared" ref="P486" si="1297">L486&gt;D486</f>
        <v>1</v>
      </c>
      <c r="Q486" s="184">
        <f>COUNTIF(P$2:P486, TRUE)/(COUNTIF(P$2:P486,FALSE) + COUNTIF(P$2:P486, TRUE))</f>
        <v>0.48247422680412372</v>
      </c>
      <c r="R486" s="173">
        <v>254711</v>
      </c>
      <c r="S486" s="173">
        <f t="shared" ref="S486" si="1298">I486-R486</f>
        <v>94552.919999999984</v>
      </c>
      <c r="T486" s="173">
        <v>-44478</v>
      </c>
      <c r="U486" s="173">
        <f t="shared" si="1293"/>
        <v>43741.919999999984</v>
      </c>
      <c r="V486" s="184">
        <f>STDEV(D$2:D486)*SQRT(252)</f>
        <v>0.14255996830243736</v>
      </c>
      <c r="W486" s="184">
        <f>STDEV(L$2:L486)*SQRT(252)</f>
        <v>0.30660714220309959</v>
      </c>
      <c r="X486" s="174">
        <f t="shared" si="1188"/>
        <v>-3.2664015031647043E-3</v>
      </c>
    </row>
    <row r="487" spans="1:24" ht="20.100000000000001" customHeight="1" x14ac:dyDescent="0.25">
      <c r="A487" s="163">
        <f t="shared" si="915"/>
        <v>768</v>
      </c>
      <c r="B487" s="172">
        <v>43001</v>
      </c>
      <c r="C487" s="215">
        <v>2496.66</v>
      </c>
      <c r="D487" s="171">
        <f t="shared" si="1277"/>
        <v>-2.222026840165911E-3</v>
      </c>
      <c r="E487" s="209">
        <f t="shared" ref="E487" si="1299">(C487-$C$2)/$C$2</f>
        <v>0.18750594547287902</v>
      </c>
      <c r="F487" s="219">
        <v>6370.59</v>
      </c>
      <c r="G487" s="171">
        <f t="shared" si="1279"/>
        <v>-8.764695997460669E-3</v>
      </c>
      <c r="H487" s="203">
        <f t="shared" si="1280"/>
        <v>0.25117151442543756</v>
      </c>
      <c r="I487" s="221">
        <v>353035.89</v>
      </c>
      <c r="J487" s="173">
        <v>350000</v>
      </c>
      <c r="K487" s="173">
        <f t="shared" si="1281"/>
        <v>3771.9700000000303</v>
      </c>
      <c r="L487" s="171">
        <f t="shared" si="1282"/>
        <v>1.0799769984829897E-2</v>
      </c>
      <c r="M487" s="182">
        <f t="shared" ref="M487" si="1300">I487-J487</f>
        <v>3035.890000000014</v>
      </c>
      <c r="N487" s="184">
        <f t="shared" ref="N487" si="1301">M487/J487</f>
        <v>8.6739714285714691E-3</v>
      </c>
      <c r="O487" s="183">
        <f t="shared" si="984"/>
        <v>4.1252188337053764E-3</v>
      </c>
      <c r="P487" s="182" t="b">
        <f t="shared" ref="P487" si="1302">L487&gt;D487</f>
        <v>1</v>
      </c>
      <c r="Q487" s="184">
        <f>COUNTIF(P$2:P487, TRUE)/(COUNTIF(P$2:P487,FALSE) + COUNTIF(P$2:P487, TRUE))</f>
        <v>0.48353909465020578</v>
      </c>
      <c r="R487" s="173">
        <v>258482.97</v>
      </c>
      <c r="S487" s="173">
        <f t="shared" ref="S487" si="1303">I487-R487</f>
        <v>94552.920000000013</v>
      </c>
      <c r="T487" s="173">
        <v>-44802</v>
      </c>
      <c r="U487" s="173">
        <f t="shared" ref="U487" si="1304">M487-T487</f>
        <v>47837.890000000014</v>
      </c>
      <c r="V487" s="184">
        <f>STDEV(D$2:D487)*SQRT(252)</f>
        <v>0.14242515955078755</v>
      </c>
      <c r="W487" s="184">
        <f>STDEV(L$2:L487)*SQRT(252)</f>
        <v>0.30638265374051055</v>
      </c>
      <c r="X487" s="174">
        <f t="shared" si="1188"/>
        <v>1.3464270197226024E-2</v>
      </c>
    </row>
    <row r="488" spans="1:24" ht="20.100000000000001" customHeight="1" x14ac:dyDescent="0.25">
      <c r="A488" s="163">
        <f t="shared" si="915"/>
        <v>771</v>
      </c>
      <c r="B488" s="172">
        <v>43004</v>
      </c>
      <c r="C488" s="215">
        <v>2496.84</v>
      </c>
      <c r="D488" s="171">
        <f t="shared" si="1277"/>
        <v>7.2096320684550985E-5</v>
      </c>
      <c r="E488" s="209">
        <f t="shared" ref="E488" si="1305">(C488-$C$2)/$C$2</f>
        <v>0.18759156028233864</v>
      </c>
      <c r="F488" s="219">
        <v>6380.16</v>
      </c>
      <c r="G488" s="171">
        <f t="shared" si="1279"/>
        <v>1.5022156503557299E-3</v>
      </c>
      <c r="H488" s="203">
        <f t="shared" si="1280"/>
        <v>0.25305104385568672</v>
      </c>
      <c r="I488" s="221">
        <v>354979.17</v>
      </c>
      <c r="J488" s="173">
        <v>350000</v>
      </c>
      <c r="K488" s="173">
        <f t="shared" si="1281"/>
        <v>1943.2799999999697</v>
      </c>
      <c r="L488" s="171">
        <f t="shared" si="1282"/>
        <v>5.5044828445061766E-3</v>
      </c>
      <c r="M488" s="182">
        <f t="shared" ref="M488" si="1306">I488-J488</f>
        <v>4979.1699999999837</v>
      </c>
      <c r="N488" s="184">
        <f t="shared" ref="N488" si="1307">M488/J488</f>
        <v>1.4226199999999953E-2</v>
      </c>
      <c r="O488" s="183">
        <f t="shared" si="984"/>
        <v>6.7394546692606779E-3</v>
      </c>
      <c r="P488" s="182" t="b">
        <f t="shared" ref="P488" si="1308">L488&gt;D488</f>
        <v>1</v>
      </c>
      <c r="Q488" s="184">
        <f>COUNTIF(P$2:P488, TRUE)/(COUNTIF(P$2:P488,FALSE) + COUNTIF(P$2:P488, TRUE))</f>
        <v>0.48459958932238195</v>
      </c>
      <c r="R488" s="173">
        <v>256460.34</v>
      </c>
      <c r="S488" s="173">
        <f t="shared" ref="S488" si="1309">I488-R488</f>
        <v>98518.829999999987</v>
      </c>
      <c r="T488" s="173">
        <v>-44286</v>
      </c>
      <c r="U488" s="173">
        <f t="shared" ref="U488" si="1310">M488-T488</f>
        <v>49265.169999999984</v>
      </c>
      <c r="V488" s="184">
        <f>STDEV(D$2:D488)*SQRT(252)</f>
        <v>0.1422784431195839</v>
      </c>
      <c r="W488" s="184">
        <f>STDEV(L$2:L488)*SQRT(252)</f>
        <v>0.30608885692923749</v>
      </c>
      <c r="X488" s="174">
        <f t="shared" si="1188"/>
        <v>2.2017968039975806E-2</v>
      </c>
    </row>
    <row r="489" spans="1:24" ht="20.100000000000001" customHeight="1" x14ac:dyDescent="0.25">
      <c r="A489" s="163">
        <f t="shared" si="915"/>
        <v>772</v>
      </c>
      <c r="B489" s="172">
        <v>43005</v>
      </c>
      <c r="C489" s="215">
        <v>2507.2399999999998</v>
      </c>
      <c r="D489" s="171">
        <f t="shared" si="1277"/>
        <v>4.1652648948269158E-3</v>
      </c>
      <c r="E489" s="209">
        <f t="shared" ref="E489" si="1311">(C489-$C$2)/$C$2</f>
        <v>0.19253819371777539</v>
      </c>
      <c r="F489" s="219">
        <v>6453.26</v>
      </c>
      <c r="G489" s="171">
        <f t="shared" si="1279"/>
        <v>1.1457392918045999E-2</v>
      </c>
      <c r="H489" s="203">
        <f t="shared" si="1280"/>
        <v>0.26740774201150902</v>
      </c>
      <c r="I489" s="221">
        <v>358361.96</v>
      </c>
      <c r="J489" s="173">
        <v>350000</v>
      </c>
      <c r="K489" s="173">
        <f t="shared" si="1281"/>
        <v>3382.7900000000373</v>
      </c>
      <c r="L489" s="171">
        <f t="shared" si="1282"/>
        <v>9.5295450716165603E-3</v>
      </c>
      <c r="M489" s="182">
        <f t="shared" ref="M489" si="1312">I489-J489</f>
        <v>8361.960000000021</v>
      </c>
      <c r="N489" s="184">
        <f t="shared" ref="N489" si="1313">M489/J489</f>
        <v>2.3891314285714345E-2</v>
      </c>
      <c r="O489" s="183">
        <f t="shared" si="984"/>
        <v>1.1303500703182855E-2</v>
      </c>
      <c r="P489" s="182" t="b">
        <f t="shared" ref="P489" si="1314">L489&gt;D489</f>
        <v>1</v>
      </c>
      <c r="Q489" s="184">
        <f>COUNTIF(P$2:P489, TRUE)/(COUNTIF(P$2:P489,FALSE) + COUNTIF(P$2:P489, TRUE))</f>
        <v>0.48565573770491804</v>
      </c>
      <c r="R489" s="173">
        <v>243509.71</v>
      </c>
      <c r="S489" s="173">
        <f t="shared" ref="S489" si="1315">I489-R489</f>
        <v>114852.25000000003</v>
      </c>
      <c r="T489" s="173">
        <v>-44153</v>
      </c>
      <c r="U489" s="173">
        <f t="shared" ref="U489" si="1316">M489-T489</f>
        <v>52514.960000000021</v>
      </c>
      <c r="V489" s="184">
        <f>STDEV(D$2:D489)*SQRT(252)</f>
        <v>0.14215788029055842</v>
      </c>
      <c r="W489" s="184">
        <f>STDEV(L$2:L489)*SQRT(252)</f>
        <v>0.30584441738354512</v>
      </c>
      <c r="X489" s="174">
        <f t="shared" si="1188"/>
        <v>3.6958335875091897E-2</v>
      </c>
    </row>
    <row r="490" spans="1:24" ht="20.100000000000001" customHeight="1" x14ac:dyDescent="0.25">
      <c r="A490" s="163">
        <f t="shared" si="915"/>
        <v>773</v>
      </c>
      <c r="B490" s="172">
        <v>43006</v>
      </c>
      <c r="C490" s="215">
        <v>2510.06</v>
      </c>
      <c r="D490" s="171">
        <f t="shared" si="1277"/>
        <v>1.1247427450105151E-3</v>
      </c>
      <c r="E490" s="209">
        <f t="shared" ref="E490" si="1317">(C490-$C$2)/$C$2</f>
        <v>0.19387949239930741</v>
      </c>
      <c r="F490" s="219">
        <v>6453.45</v>
      </c>
      <c r="G490" s="171">
        <f t="shared" si="1279"/>
        <v>2.9442483333942816E-5</v>
      </c>
      <c r="H490" s="203">
        <f t="shared" ref="H490" si="1318">(F490-F$2)/F$2</f>
        <v>0.2674450576428305</v>
      </c>
      <c r="I490" s="221">
        <v>356533.28</v>
      </c>
      <c r="J490" s="173">
        <v>350000</v>
      </c>
      <c r="K490" s="173">
        <f t="shared" ref="K490" si="1319">I490-I489-J490+J489</f>
        <v>-1828.679999999993</v>
      </c>
      <c r="L490" s="171">
        <f t="shared" ref="L490" si="1320">K490/I489</f>
        <v>-5.1028853620512429E-3</v>
      </c>
      <c r="M490" s="182">
        <f t="shared" ref="M490" si="1321">I490-J490</f>
        <v>6533.2800000000279</v>
      </c>
      <c r="N490" s="184">
        <f t="shared" ref="N490" si="1322">M490/J490</f>
        <v>1.8666514285714364E-2</v>
      </c>
      <c r="O490" s="183">
        <f t="shared" si="984"/>
        <v>8.8201091110700798E-3</v>
      </c>
      <c r="P490" s="182" t="b">
        <f t="shared" ref="P490" si="1323">L490&gt;D490</f>
        <v>0</v>
      </c>
      <c r="Q490" s="184">
        <f>COUNTIF(P$2:P490, TRUE)/(COUNTIF(P$2:P490,FALSE) + COUNTIF(P$2:P490, TRUE))</f>
        <v>0.48466257668711654</v>
      </c>
      <c r="R490" s="173">
        <v>245698.28</v>
      </c>
      <c r="S490" s="173">
        <f t="shared" ref="S490" si="1324">I490-R490</f>
        <v>110835.00000000003</v>
      </c>
      <c r="T490" s="173">
        <v>-44103</v>
      </c>
      <c r="U490" s="173">
        <f t="shared" ref="U490" si="1325">M490-T490</f>
        <v>50636.280000000028</v>
      </c>
      <c r="V490" s="184">
        <f>STDEV(D$2:D490)*SQRT(252)</f>
        <v>0.14201280348305981</v>
      </c>
      <c r="W490" s="184">
        <f>STDEV(L$2:L490)*SQRT(252)</f>
        <v>0.30555594359067673</v>
      </c>
      <c r="X490" s="174">
        <f t="shared" si="1188"/>
        <v>2.8865774978625563E-2</v>
      </c>
    </row>
    <row r="491" spans="1:24" ht="20.100000000000001" customHeight="1" x14ac:dyDescent="0.25">
      <c r="A491" s="163">
        <f t="shared" si="915"/>
        <v>774</v>
      </c>
      <c r="B491" s="172">
        <v>43007</v>
      </c>
      <c r="C491" s="215">
        <v>2519.36</v>
      </c>
      <c r="D491" s="171">
        <f t="shared" ref="D491" si="1326">(C491-C490)/C490</f>
        <v>3.7050907149630613E-3</v>
      </c>
      <c r="E491" s="209">
        <f t="shared" ref="E491" si="1327">(C491-$C$2)/$C$2</f>
        <v>0.19830292422138091</v>
      </c>
      <c r="F491" s="219">
        <v>6495.95</v>
      </c>
      <c r="G491" s="171">
        <f t="shared" ref="G491" si="1328">(F491-F490)/F490</f>
        <v>6.5856247433543303E-3</v>
      </c>
      <c r="H491" s="203">
        <f t="shared" ref="H491" si="1329">(F491-F$2)/F$2</f>
        <v>0.27579197517528525</v>
      </c>
      <c r="I491" s="473">
        <v>356859.34</v>
      </c>
      <c r="J491" s="173">
        <v>350000</v>
      </c>
      <c r="K491" s="173">
        <f t="shared" ref="K491" si="1330">I491-I490-J491+J490</f>
        <v>326.05999999999767</v>
      </c>
      <c r="L491" s="171">
        <f t="shared" ref="L491" si="1331">K491/I490</f>
        <v>9.1452893261464302E-4</v>
      </c>
      <c r="M491" s="473">
        <f t="shared" ref="M491" si="1332">I491-J491</f>
        <v>6859.3400000000256</v>
      </c>
      <c r="N491" s="184">
        <f t="shared" ref="N491" si="1333">M491/J491</f>
        <v>1.9598114285714358E-2</v>
      </c>
      <c r="O491" s="183">
        <f t="shared" si="984"/>
        <v>9.2483349390919505E-3</v>
      </c>
      <c r="P491" s="182" t="b">
        <f t="shared" ref="P491" si="1334">L491&gt;D491</f>
        <v>0</v>
      </c>
      <c r="Q491" s="184">
        <f>COUNTIF(P$2:P491, TRUE)/(COUNTIF(P$2:P491,FALSE) + COUNTIF(P$2:P491, TRUE))</f>
        <v>0.48367346938775513</v>
      </c>
      <c r="R491" s="173">
        <v>237754.52</v>
      </c>
      <c r="S491" s="173">
        <f t="shared" ref="S491" si="1335">I491-R491</f>
        <v>119104.82000000004</v>
      </c>
      <c r="T491" s="173">
        <v>-44681</v>
      </c>
      <c r="U491" s="173">
        <f t="shared" ref="U491" si="1336">M491-T491</f>
        <v>51540.340000000026</v>
      </c>
      <c r="V491" s="184">
        <f>STDEV(D$2:D491)*SQRT(252)</f>
        <v>0.14188702615366891</v>
      </c>
      <c r="W491" s="184">
        <f>STDEV(L$2:L491)*SQRT(252)</f>
        <v>0.30524293675127467</v>
      </c>
      <c r="X491" s="174">
        <f t="shared" si="1188"/>
        <v>3.0298276636710187E-2</v>
      </c>
    </row>
    <row r="492" spans="1:24" ht="20.100000000000001" customHeight="1" x14ac:dyDescent="0.25">
      <c r="A492" s="163">
        <f t="shared" si="915"/>
        <v>777</v>
      </c>
      <c r="B492" s="172">
        <v>43010</v>
      </c>
      <c r="C492" s="215">
        <v>2529.12</v>
      </c>
      <c r="D492" s="171">
        <f t="shared" ref="D492" si="1337">(C492-C491)/C491</f>
        <v>3.8739997459671357E-3</v>
      </c>
      <c r="E492" s="209">
        <f t="shared" ref="E492" si="1338">(C492-$C$2)/$C$2</f>
        <v>0.2029451494454062</v>
      </c>
      <c r="F492" s="219">
        <v>6516.71</v>
      </c>
      <c r="G492" s="171">
        <f t="shared" ref="G492" si="1339">(F492-F491)/F491</f>
        <v>3.1958374063840115E-3</v>
      </c>
      <c r="H492" s="203">
        <f t="shared" ref="H492" si="1340">(F492-F$2)/F$2</f>
        <v>0.27986919889231499</v>
      </c>
      <c r="I492" s="221">
        <v>357811.27</v>
      </c>
      <c r="J492" s="173">
        <v>350000</v>
      </c>
      <c r="K492" s="173">
        <f t="shared" ref="K492" si="1341">I492-I491-J492+J491</f>
        <v>951.92999999999302</v>
      </c>
      <c r="L492" s="171">
        <f t="shared" ref="L492" si="1342">K492/I491</f>
        <v>2.6675216066924098E-3</v>
      </c>
      <c r="M492" s="182">
        <f t="shared" ref="M492" si="1343">I492-J492</f>
        <v>7811.2700000000186</v>
      </c>
      <c r="N492" s="184">
        <f t="shared" ref="N492" si="1344">M492/J492</f>
        <v>2.2317914285714339E-2</v>
      </c>
      <c r="O492" s="183">
        <f t="shared" si="984"/>
        <v>1.0491143105350272E-2</v>
      </c>
      <c r="P492" s="182" t="b">
        <f t="shared" ref="P492" si="1345">L492&gt;D492</f>
        <v>0</v>
      </c>
      <c r="Q492" s="184">
        <f>COUNTIF(P$2:P492, TRUE)/(COUNTIF(P$2:P492,FALSE) + COUNTIF(P$2:P492, TRUE))</f>
        <v>0.48268839103869654</v>
      </c>
      <c r="R492" s="173">
        <v>232965.68</v>
      </c>
      <c r="S492" s="173">
        <f t="shared" ref="S492" si="1346">I492-R492</f>
        <v>124845.59000000003</v>
      </c>
      <c r="T492" s="173">
        <v>-44640</v>
      </c>
      <c r="U492" s="173">
        <f t="shared" ref="U492" si="1347">M492-T492</f>
        <v>52451.270000000019</v>
      </c>
      <c r="V492" s="184">
        <f>STDEV(D$2:D492)*SQRT(252)</f>
        <v>0.14176364260850624</v>
      </c>
      <c r="W492" s="184">
        <f>STDEV(L$2:L492)*SQRT(252)</f>
        <v>0.30493499881552349</v>
      </c>
      <c r="X492" s="174">
        <f t="shared" si="1188"/>
        <v>3.4404522754362801E-2</v>
      </c>
    </row>
    <row r="493" spans="1:24" ht="20.100000000000001" customHeight="1" x14ac:dyDescent="0.25">
      <c r="A493" s="163">
        <f t="shared" si="915"/>
        <v>778</v>
      </c>
      <c r="B493" s="172">
        <v>43011</v>
      </c>
      <c r="C493" s="215">
        <v>2534.58</v>
      </c>
      <c r="D493" s="171">
        <f t="shared" ref="D493" si="1348">(C493-C492)/C492</f>
        <v>2.1588536724236242E-3</v>
      </c>
      <c r="E493" s="209">
        <f t="shared" ref="E493" si="1349">(C493-$C$2)/$C$2</f>
        <v>0.20554213199901061</v>
      </c>
      <c r="F493" s="219">
        <v>6531.71</v>
      </c>
      <c r="G493" s="171">
        <f t="shared" ref="G493" si="1350">(F493-F492)/F492</f>
        <v>2.3017749754093708E-3</v>
      </c>
      <c r="H493" s="203">
        <f t="shared" ref="H493" si="1351">(F493-F$2)/F$2</f>
        <v>0.28281516978612259</v>
      </c>
      <c r="I493" s="221">
        <v>360621.39</v>
      </c>
      <c r="J493" s="173">
        <v>350000</v>
      </c>
      <c r="K493" s="173">
        <f t="shared" ref="K493" si="1352">I493-I492-J493+J492</f>
        <v>2810.1199999999953</v>
      </c>
      <c r="L493" s="171">
        <f t="shared" ref="L493" si="1353">K493/I492</f>
        <v>7.8536374776568534E-3</v>
      </c>
      <c r="M493" s="182">
        <f t="shared" ref="M493" si="1354">I493-J493</f>
        <v>10621.390000000014</v>
      </c>
      <c r="N493" s="184">
        <f t="shared" ref="N493" si="1355">M493/J493</f>
        <v>3.0346828571428612E-2</v>
      </c>
      <c r="O493" s="183">
        <f t="shared" si="984"/>
        <v>1.4247016883951542E-2</v>
      </c>
      <c r="P493" s="182" t="b">
        <f t="shared" ref="P493" si="1356">L493&gt;D493</f>
        <v>1</v>
      </c>
      <c r="Q493" s="184">
        <f>COUNTIF(P$2:P493, TRUE)/(COUNTIF(P$2:P493,FALSE) + COUNTIF(P$2:P493, TRUE))</f>
        <v>0.48373983739837401</v>
      </c>
      <c r="R493" s="173">
        <v>231582.4</v>
      </c>
      <c r="S493" s="173">
        <f t="shared" ref="S493" si="1357">I493-R493</f>
        <v>129038.99000000002</v>
      </c>
      <c r="T493" s="173">
        <v>-43206</v>
      </c>
      <c r="U493" s="173">
        <f t="shared" ref="U493" si="1358">M493-T493</f>
        <v>53827.390000000014</v>
      </c>
      <c r="V493" s="184">
        <f>STDEV(D$2:D493)*SQRT(252)</f>
        <v>0.14162441046518581</v>
      </c>
      <c r="W493" s="184">
        <f>STDEV(L$2:L493)*SQRT(252)</f>
        <v>0.30467040638109993</v>
      </c>
      <c r="X493" s="174">
        <f t="shared" si="1188"/>
        <v>4.6762063480922801E-2</v>
      </c>
    </row>
    <row r="494" spans="1:24" ht="20.100000000000001" customHeight="1" x14ac:dyDescent="0.25">
      <c r="A494" s="163">
        <f t="shared" si="915"/>
        <v>779</v>
      </c>
      <c r="B494" s="172">
        <v>43012</v>
      </c>
      <c r="C494" s="215">
        <v>2537.7399999999998</v>
      </c>
      <c r="D494" s="171">
        <f t="shared" ref="D494" si="1359">(C494-C493)/C493</f>
        <v>1.2467548864111035E-3</v>
      </c>
      <c r="E494" s="209">
        <f t="shared" ref="E494" si="1360">(C494-$C$2)/$C$2</f>
        <v>0.20704514754285483</v>
      </c>
      <c r="F494" s="219">
        <v>6534.62</v>
      </c>
      <c r="G494" s="171">
        <f t="shared" ref="G494" si="1361">(F494-F493)/F493</f>
        <v>4.4551886106392573E-4</v>
      </c>
      <c r="H494" s="203">
        <f t="shared" ref="H494" si="1362">(F494-F$2)/F$2</f>
        <v>0.28338668813952123</v>
      </c>
      <c r="I494" s="221">
        <v>360384.52</v>
      </c>
      <c r="J494" s="173">
        <v>350000</v>
      </c>
      <c r="K494" s="173">
        <f t="shared" ref="K494" si="1363">I494-I493-J494+J493</f>
        <v>-236.86999999999534</v>
      </c>
      <c r="L494" s="171">
        <f t="shared" ref="L494" si="1364">K494/I493</f>
        <v>-6.5683846429629518E-4</v>
      </c>
      <c r="M494" s="182">
        <f t="shared" ref="M494" si="1365">I494-J494</f>
        <v>10384.520000000019</v>
      </c>
      <c r="N494" s="184">
        <f t="shared" ref="N494" si="1366">M494/J494</f>
        <v>2.9670057142857195E-2</v>
      </c>
      <c r="O494" s="183">
        <f t="shared" si="984"/>
        <v>1.3911409976159935E-2</v>
      </c>
      <c r="P494" s="182" t="b">
        <f t="shared" ref="P494" si="1367">L494&gt;D494</f>
        <v>0</v>
      </c>
      <c r="Q494" s="184">
        <f>COUNTIF(P$2:P494, TRUE)/(COUNTIF(P$2:P494,FALSE) + COUNTIF(P$2:P494, TRUE))</f>
        <v>0.48275862068965519</v>
      </c>
      <c r="R494" s="173">
        <v>228739.13</v>
      </c>
      <c r="S494" s="173">
        <f t="shared" ref="S494" si="1368">I494-R494</f>
        <v>131645.39000000001</v>
      </c>
      <c r="T494" s="173">
        <v>-43349</v>
      </c>
      <c r="U494" s="173">
        <f t="shared" ref="U494" si="1369">M494-T494</f>
        <v>53733.520000000019</v>
      </c>
      <c r="V494" s="184">
        <f>STDEV(D$2:D494)*SQRT(252)</f>
        <v>0.14148135258004679</v>
      </c>
      <c r="W494" s="184">
        <f>STDEV(L$2:L494)*SQRT(252)</f>
        <v>0.30436097081382762</v>
      </c>
      <c r="X494" s="174">
        <f t="shared" si="1188"/>
        <v>4.5706944418538162E-2</v>
      </c>
    </row>
    <row r="495" spans="1:24" ht="20.100000000000001" customHeight="1" x14ac:dyDescent="0.25">
      <c r="A495" s="163">
        <f t="shared" si="915"/>
        <v>780</v>
      </c>
      <c r="B495" s="172">
        <v>43013</v>
      </c>
      <c r="C495" s="215">
        <v>2552.0700000000002</v>
      </c>
      <c r="D495" s="171">
        <f t="shared" ref="D495" si="1370">(C495-C494)/C494</f>
        <v>5.6467565629262188E-3</v>
      </c>
      <c r="E495" s="209">
        <f t="shared" ref="E495" si="1371">(C495-$C$2)/$C$2</f>
        <v>0.2138610376514907</v>
      </c>
      <c r="F495" s="219">
        <v>6585.35</v>
      </c>
      <c r="G495" s="171">
        <f t="shared" ref="G495" si="1372">(F495-F494)/F494</f>
        <v>7.7632670300645601E-3</v>
      </c>
      <c r="H495" s="203">
        <f t="shared" ref="H495" si="1373">(F495-F$2)/F$2</f>
        <v>0.29334996170237848</v>
      </c>
      <c r="I495" s="221">
        <v>360856.84</v>
      </c>
      <c r="J495" s="173">
        <v>350000</v>
      </c>
      <c r="K495" s="173">
        <f t="shared" ref="K495" si="1374">I495-I494-J495+J494</f>
        <v>472.32000000000698</v>
      </c>
      <c r="L495" s="171">
        <f t="shared" ref="L495" si="1375">K495/I494</f>
        <v>1.3106001334352733E-3</v>
      </c>
      <c r="M495" s="182">
        <f t="shared" ref="M495" si="1376">I495-J495</f>
        <v>10856.840000000026</v>
      </c>
      <c r="N495" s="184">
        <f t="shared" ref="N495" si="1377">M495/J495</f>
        <v>3.101954285714293E-2</v>
      </c>
      <c r="O495" s="183">
        <f t="shared" si="984"/>
        <v>1.4525497472527507E-2</v>
      </c>
      <c r="P495" s="182" t="b">
        <f t="shared" ref="P495" si="1378">L495&gt;D495</f>
        <v>0</v>
      </c>
      <c r="Q495" s="184">
        <f>COUNTIF(P$2:P495, TRUE)/(COUNTIF(P$2:P495,FALSE) + COUNTIF(P$2:P495, TRUE))</f>
        <v>0.48178137651821862</v>
      </c>
      <c r="R495" s="173">
        <v>230791.45</v>
      </c>
      <c r="S495" s="173">
        <f t="shared" ref="S495" si="1379">I495-R495</f>
        <v>130065.39000000001</v>
      </c>
      <c r="T495" s="173">
        <v>-43035</v>
      </c>
      <c r="U495" s="173">
        <f t="shared" ref="U495" si="1380">M495-T495</f>
        <v>53891.840000000026</v>
      </c>
      <c r="V495" s="184">
        <f>STDEV(D$2:D495)*SQRT(252)</f>
        <v>0.14138684968311818</v>
      </c>
      <c r="W495" s="184">
        <f>STDEV(L$2:L495)*SQRT(252)</f>
        <v>0.30405217201951462</v>
      </c>
      <c r="X495" s="174">
        <f t="shared" si="1188"/>
        <v>4.7773042948679324E-2</v>
      </c>
    </row>
    <row r="496" spans="1:24" ht="20.100000000000001" customHeight="1" x14ac:dyDescent="0.25">
      <c r="A496" s="163">
        <f t="shared" si="915"/>
        <v>781</v>
      </c>
      <c r="B496" s="172">
        <v>43014</v>
      </c>
      <c r="C496" s="215">
        <v>2549.33</v>
      </c>
      <c r="D496" s="171">
        <f t="shared" ref="D496" si="1381">(C496-C495)/C495</f>
        <v>-1.0736382622734627E-3</v>
      </c>
      <c r="E496" s="209">
        <f t="shared" ref="E496" si="1382">(C496-$C$2)/$C$2</f>
        <v>0.21255778999638508</v>
      </c>
      <c r="F496" s="219">
        <v>6590.18</v>
      </c>
      <c r="G496" s="171">
        <f t="shared" ref="G496" si="1383">(F496-F495)/F495</f>
        <v>7.334462101482726E-4</v>
      </c>
      <c r="H496" s="203">
        <f t="shared" ref="H496" si="1384">(F496-F$2)/F$2</f>
        <v>0.29429856433018453</v>
      </c>
      <c r="I496" s="221">
        <v>357118.36</v>
      </c>
      <c r="J496" s="173">
        <v>350000</v>
      </c>
      <c r="K496" s="173">
        <f t="shared" ref="K496" si="1385">I496-I495-J496+J495</f>
        <v>-3738.4800000000396</v>
      </c>
      <c r="L496" s="171">
        <f t="shared" ref="L496" si="1386">K496/I495</f>
        <v>-1.036000869486093E-2</v>
      </c>
      <c r="M496" s="182">
        <f t="shared" ref="M496" si="1387">I496-J496</f>
        <v>7118.359999999986</v>
      </c>
      <c r="N496" s="184">
        <f t="shared" ref="N496" si="1388">M496/J496</f>
        <v>2.0338171428571389E-2</v>
      </c>
      <c r="O496" s="183">
        <f t="shared" si="984"/>
        <v>9.5115456008779756E-3</v>
      </c>
      <c r="P496" s="182" t="b">
        <f t="shared" ref="P496" si="1389">L496&gt;D496</f>
        <v>0</v>
      </c>
      <c r="Q496" s="184">
        <f>COUNTIF(P$2:P496, TRUE)/(COUNTIF(P$2:P496,FALSE) + COUNTIF(P$2:P496, TRUE))</f>
        <v>0.4808080808080808</v>
      </c>
      <c r="R496" s="173">
        <v>240460.37</v>
      </c>
      <c r="S496" s="173">
        <f t="shared" ref="S496" si="1390">I496-R496</f>
        <v>116657.98999999999</v>
      </c>
      <c r="T496" s="173">
        <v>-43165</v>
      </c>
      <c r="U496" s="173">
        <f t="shared" ref="U496" si="1391">M496-T496</f>
        <v>50283.359999999986</v>
      </c>
      <c r="V496" s="184">
        <f>STDEV(D$2:D496)*SQRT(252)</f>
        <v>0.14124747997458517</v>
      </c>
      <c r="W496" s="184">
        <f>STDEV(L$2:L496)*SQRT(252)</f>
        <v>0.30384122519704199</v>
      </c>
      <c r="X496" s="174">
        <f t="shared" si="1188"/>
        <v>3.1304328748377408E-2</v>
      </c>
    </row>
    <row r="497" spans="1:24" ht="20.100000000000001" customHeight="1" x14ac:dyDescent="0.25">
      <c r="A497" s="163">
        <f t="shared" si="915"/>
        <v>784</v>
      </c>
      <c r="B497" s="172">
        <v>43017</v>
      </c>
      <c r="C497" s="215">
        <v>2544.73</v>
      </c>
      <c r="D497" s="171">
        <f t="shared" ref="D497" si="1392">(C497-C496)/C496</f>
        <v>-1.8043956647432499E-3</v>
      </c>
      <c r="E497" s="209">
        <f t="shared" ref="E497" si="1393">(C497-$C$2)/$C$2</f>
        <v>0.21036985597686494</v>
      </c>
      <c r="F497" s="219">
        <v>6579.73</v>
      </c>
      <c r="G497" s="171">
        <f t="shared" ref="G497" si="1394">(F497-F496)/F496</f>
        <v>-1.5856926517941433E-3</v>
      </c>
      <c r="H497" s="203">
        <f t="shared" ref="H497" si="1395">(F497-F$2)/F$2</f>
        <v>0.29224620460749845</v>
      </c>
      <c r="I497" s="221">
        <v>354927.69</v>
      </c>
      <c r="J497" s="173">
        <v>350000</v>
      </c>
      <c r="K497" s="173">
        <f t="shared" ref="K497" si="1396">I497-I496-J497+J496</f>
        <v>-2190.6699999999837</v>
      </c>
      <c r="L497" s="171">
        <f t="shared" ref="L497" si="1397">K497/I496</f>
        <v>-6.1342967636835695E-3</v>
      </c>
      <c r="M497" s="182">
        <f t="shared" ref="M497" si="1398">I497-J497</f>
        <v>4927.6900000000023</v>
      </c>
      <c r="N497" s="184">
        <f t="shared" ref="N497" si="1399">M497/J497</f>
        <v>1.4079114285714293E-2</v>
      </c>
      <c r="O497" s="183">
        <f t="shared" si="984"/>
        <v>6.5591792000728897E-3</v>
      </c>
      <c r="P497" s="182" t="b">
        <f t="shared" ref="P497" si="1400">L497&gt;D497</f>
        <v>0</v>
      </c>
      <c r="Q497" s="184">
        <f>COUNTIF(P$2:P497, TRUE)/(COUNTIF(P$2:P497,FALSE) + COUNTIF(P$2:P497, TRUE))</f>
        <v>0.47983870967741937</v>
      </c>
      <c r="R497" s="173">
        <v>251444.7</v>
      </c>
      <c r="S497" s="173">
        <f t="shared" ref="S497" si="1401">I497-R497</f>
        <v>103482.98999999999</v>
      </c>
      <c r="T497" s="173">
        <v>-43757</v>
      </c>
      <c r="U497" s="173">
        <f t="shared" ref="U497" si="1402">M497-T497</f>
        <v>48684.69</v>
      </c>
      <c r="V497" s="184">
        <f>STDEV(D$2:D497)*SQRT(252)</f>
        <v>0.14111344767392758</v>
      </c>
      <c r="W497" s="184">
        <f>STDEV(L$2:L497)*SQRT(252)</f>
        <v>0.30356932879528697</v>
      </c>
      <c r="X497" s="174">
        <f t="shared" si="1188"/>
        <v>2.1606857405861626E-2</v>
      </c>
    </row>
    <row r="498" spans="1:24" ht="20.100000000000001" customHeight="1" x14ac:dyDescent="0.25">
      <c r="A498" s="163">
        <f t="shared" si="915"/>
        <v>785</v>
      </c>
      <c r="B498" s="172">
        <v>43018</v>
      </c>
      <c r="C498" s="215">
        <v>2550.64</v>
      </c>
      <c r="D498" s="171">
        <f t="shared" ref="D498" si="1403">(C498-C497)/C497</f>
        <v>2.3224467821732972E-3</v>
      </c>
      <c r="E498" s="209">
        <f t="shared" ref="E498" si="1404">(C498-$C$2)/$C$2</f>
        <v>0.21318087555411799</v>
      </c>
      <c r="F498" s="219">
        <v>6587.25</v>
      </c>
      <c r="G498" s="171">
        <f t="shared" ref="G498" si="1405">(F498-F497)/F497</f>
        <v>1.142904040135452E-3</v>
      </c>
      <c r="H498" s="203">
        <f t="shared" ref="H498" si="1406">(F498-F$2)/F$2</f>
        <v>0.29372311801559403</v>
      </c>
      <c r="I498" s="221">
        <v>356097.03</v>
      </c>
      <c r="J498" s="173">
        <v>350000</v>
      </c>
      <c r="K498" s="173">
        <f t="shared" ref="K498" si="1407">I498-I497-J498+J497</f>
        <v>1169.3400000000256</v>
      </c>
      <c r="L498" s="171">
        <f t="shared" ref="L498" si="1408">K498/I497</f>
        <v>3.2945865677598317E-3</v>
      </c>
      <c r="M498" s="182">
        <f t="shared" ref="M498" si="1409">I498-J498</f>
        <v>6097.0300000000279</v>
      </c>
      <c r="N498" s="184">
        <f t="shared" ref="N498" si="1410">M498/J498</f>
        <v>1.7420085714285796E-2</v>
      </c>
      <c r="O498" s="183">
        <f t="shared" si="984"/>
        <v>8.1053328753412576E-3</v>
      </c>
      <c r="P498" s="182" t="b">
        <f t="shared" ref="P498" si="1411">L498&gt;D498</f>
        <v>1</v>
      </c>
      <c r="Q498" s="184">
        <f>COUNTIF(P$2:P498, TRUE)/(COUNTIF(P$2:P498,FALSE) + COUNTIF(P$2:P498, TRUE))</f>
        <v>0.48088531187122735</v>
      </c>
      <c r="R498" s="173">
        <v>248460.64</v>
      </c>
      <c r="S498" s="173">
        <f t="shared" ref="S498" si="1412">I498-R498</f>
        <v>107636.39000000001</v>
      </c>
      <c r="T498" s="173">
        <v>-43317</v>
      </c>
      <c r="U498" s="173">
        <f t="shared" ref="U498" si="1413">M498-T498</f>
        <v>49414.030000000028</v>
      </c>
      <c r="V498" s="184">
        <f>STDEV(D$2:D498)*SQRT(252)</f>
        <v>0.14097732351097575</v>
      </c>
      <c r="W498" s="184">
        <f>STDEV(L$2:L498)*SQRT(252)</f>
        <v>0.30326962638945343</v>
      </c>
      <c r="X498" s="174">
        <f t="shared" si="1188"/>
        <v>2.6726490785900642E-2</v>
      </c>
    </row>
    <row r="499" spans="1:24" ht="20.100000000000001" customHeight="1" x14ac:dyDescent="0.25">
      <c r="A499" s="163">
        <f t="shared" si="915"/>
        <v>786</v>
      </c>
      <c r="B499" s="172">
        <v>43019</v>
      </c>
      <c r="C499" s="215">
        <v>2555.2399999999998</v>
      </c>
      <c r="D499" s="171">
        <f t="shared" ref="D499" si="1414">(C499-C498)/C498</f>
        <v>1.8034689332872963E-3</v>
      </c>
      <c r="E499" s="209">
        <f t="shared" ref="E499" si="1415">(C499-$C$2)/$C$2</f>
        <v>0.2153688095736381</v>
      </c>
      <c r="F499" s="219">
        <v>6603.54</v>
      </c>
      <c r="G499" s="171">
        <f t="shared" ref="G499" si="1416">(F499-F498)/F498</f>
        <v>2.4729591255835083E-3</v>
      </c>
      <c r="H499" s="203">
        <f t="shared" ref="H499" si="1417">(F499-F$2)/F$2</f>
        <v>0.29692244240626908</v>
      </c>
      <c r="I499" s="221">
        <v>356596.97</v>
      </c>
      <c r="J499" s="173">
        <v>350000</v>
      </c>
      <c r="K499" s="173">
        <f t="shared" ref="K499" si="1418">I499-I498-J499+J498</f>
        <v>499.93999999994412</v>
      </c>
      <c r="L499" s="171">
        <f t="shared" ref="L499" si="1419">K499/I498</f>
        <v>1.4039431893041738E-3</v>
      </c>
      <c r="M499" s="182">
        <f t="shared" ref="M499" si="1420">I499-J499</f>
        <v>6596.9699999999721</v>
      </c>
      <c r="N499" s="184">
        <f t="shared" ref="N499" si="1421">M499/J499</f>
        <v>1.8848485714285636E-2</v>
      </c>
      <c r="O499" s="183">
        <f t="shared" si="984"/>
        <v>8.7587905943292983E-3</v>
      </c>
      <c r="P499" s="182" t="b">
        <f t="shared" ref="P499" si="1422">L499&gt;D499</f>
        <v>0</v>
      </c>
      <c r="Q499" s="184">
        <f>COUNTIF(P$2:P499, TRUE)/(COUNTIF(P$2:P499,FALSE) + COUNTIF(P$2:P499, TRUE))</f>
        <v>0.47991967871485941</v>
      </c>
      <c r="R499" s="173">
        <v>252179.58</v>
      </c>
      <c r="S499" s="173">
        <f t="shared" ref="S499" si="1423">I499-R499</f>
        <v>104417.38999999998</v>
      </c>
      <c r="T499" s="173">
        <v>-42865</v>
      </c>
      <c r="U499" s="173">
        <f t="shared" ref="U499" si="1424">M499-T499</f>
        <v>49461.969999999972</v>
      </c>
      <c r="V499" s="184">
        <f>STDEV(D$2:D499)*SQRT(252)</f>
        <v>0.14083853845440183</v>
      </c>
      <c r="W499" s="184">
        <f>STDEV(L$2:L499)*SQRT(252)</f>
        <v>0.30296461457562501</v>
      </c>
      <c r="X499" s="174">
        <f t="shared" si="1188"/>
        <v>2.8910275896734991E-2</v>
      </c>
    </row>
    <row r="500" spans="1:24" ht="20.100000000000001" customHeight="1" x14ac:dyDescent="0.25">
      <c r="A500" s="163">
        <f t="shared" si="915"/>
        <v>787</v>
      </c>
      <c r="B500" s="172">
        <v>43020</v>
      </c>
      <c r="C500" s="215">
        <v>2550.9299999999998</v>
      </c>
      <c r="D500" s="171">
        <f t="shared" ref="D500" si="1425">(C500-C499)/C499</f>
        <v>-1.6867300136190518E-3</v>
      </c>
      <c r="E500" s="209">
        <f t="shared" ref="E500" si="1426">(C500-$C$2)/$C$2</f>
        <v>0.2133188105249138</v>
      </c>
      <c r="F500" s="219">
        <v>6591.51</v>
      </c>
      <c r="G500" s="171">
        <f t="shared" ref="G500" si="1427">(F500-F499)/F499</f>
        <v>-1.821750152191059E-3</v>
      </c>
      <c r="H500" s="203">
        <f t="shared" ref="H500" si="1428">(F500-F$2)/F$2</f>
        <v>0.29455977374943543</v>
      </c>
      <c r="I500" s="221">
        <v>355844.19</v>
      </c>
      <c r="J500" s="173">
        <v>350000</v>
      </c>
      <c r="K500" s="173">
        <f t="shared" ref="K500" si="1429">I500-I499-J500+J499</f>
        <v>-752.77999999996973</v>
      </c>
      <c r="L500" s="171">
        <f t="shared" ref="L500" si="1430">K500/I499</f>
        <v>-2.1110106459961502E-3</v>
      </c>
      <c r="M500" s="182">
        <f t="shared" ref="M500" si="1431">I500-J500</f>
        <v>5844.1900000000023</v>
      </c>
      <c r="N500" s="184">
        <f t="shared" ref="N500" si="1432">M500/J500</f>
        <v>1.6697685714285721E-2</v>
      </c>
      <c r="O500" s="183">
        <f t="shared" si="984"/>
        <v>7.7494659557088433E-3</v>
      </c>
      <c r="P500" s="182" t="b">
        <f t="shared" ref="P500" si="1433">L500&gt;D500</f>
        <v>0</v>
      </c>
      <c r="Q500" s="184">
        <f>COUNTIF(P$2:P500, TRUE)/(COUNTIF(P$2:P500,FALSE) + COUNTIF(P$2:P500, TRUE))</f>
        <v>0.47895791583166331</v>
      </c>
      <c r="R500" s="173">
        <v>257692.79999999999</v>
      </c>
      <c r="S500" s="173">
        <f t="shared" ref="S500" si="1434">I500-R500</f>
        <v>98151.390000000014</v>
      </c>
      <c r="T500" s="173">
        <v>-42451</v>
      </c>
      <c r="U500" s="173">
        <f t="shared" ref="U500" si="1435">M500-T500</f>
        <v>48295.19</v>
      </c>
      <c r="V500" s="184">
        <f>STDEV(D$2:D500)*SQRT(252)</f>
        <v>0.14070484863788504</v>
      </c>
      <c r="W500" s="184">
        <f>STDEV(L$2:L500)*SQRT(252)</f>
        <v>0.30266491141400748</v>
      </c>
      <c r="X500" s="174">
        <f t="shared" si="1188"/>
        <v>2.5604110894468866E-2</v>
      </c>
    </row>
    <row r="501" spans="1:24" ht="20.100000000000001" customHeight="1" x14ac:dyDescent="0.25">
      <c r="A501" s="163">
        <f t="shared" si="915"/>
        <v>788</v>
      </c>
      <c r="B501" s="172">
        <v>43021</v>
      </c>
      <c r="C501" s="215">
        <v>2553.17</v>
      </c>
      <c r="D501" s="171">
        <f t="shared" ref="D501" si="1436">(C501-C500)/C500</f>
        <v>8.7811112025819467E-4</v>
      </c>
      <c r="E501" s="209">
        <f t="shared" ref="E501" si="1437">(C501-$C$2)/$C$2</f>
        <v>0.21438423926485417</v>
      </c>
      <c r="F501" s="219">
        <v>6605.8</v>
      </c>
      <c r="G501" s="171">
        <f t="shared" ref="G501" si="1438">(F501-F500)/F500</f>
        <v>2.1679402746866746E-3</v>
      </c>
      <c r="H501" s="203">
        <f t="shared" ref="H501" si="1439">(F501-F$2)/F$2</f>
        <v>0.29736630202093611</v>
      </c>
      <c r="I501" s="221">
        <v>357661.23</v>
      </c>
      <c r="J501" s="173">
        <v>350000</v>
      </c>
      <c r="K501" s="173">
        <f t="shared" ref="K501" si="1440">I501-I500-J501+J500</f>
        <v>1817.039999999979</v>
      </c>
      <c r="L501" s="171">
        <f t="shared" ref="L501" si="1441">K501/I500</f>
        <v>5.1062798018424276E-3</v>
      </c>
      <c r="M501" s="182">
        <f t="shared" ref="M501" si="1442">I501-J501</f>
        <v>7661.2299999999814</v>
      </c>
      <c r="N501" s="184">
        <f t="shared" ref="N501" si="1443">M501/J501</f>
        <v>2.1889228571428519E-2</v>
      </c>
      <c r="O501" s="183">
        <f t="shared" si="984"/>
        <v>1.0145990781363284E-2</v>
      </c>
      <c r="P501" s="182" t="b">
        <f t="shared" ref="P501" si="1444">L501&gt;D501</f>
        <v>1</v>
      </c>
      <c r="Q501" s="184">
        <f>COUNTIF(P$2:P501, TRUE)/(COUNTIF(P$2:P501,FALSE) + COUNTIF(P$2:P501, TRUE))</f>
        <v>0.48</v>
      </c>
      <c r="R501" s="173">
        <v>265762.32</v>
      </c>
      <c r="S501" s="173">
        <f t="shared" ref="S501" si="1445">I501-R501</f>
        <v>91898.909999999974</v>
      </c>
      <c r="T501" s="173">
        <v>-41907</v>
      </c>
      <c r="U501" s="173">
        <f t="shared" ref="U501" si="1446">M501-T501</f>
        <v>49568.229999999981</v>
      </c>
      <c r="V501" s="184">
        <f>STDEV(D$2:D501)*SQRT(252)</f>
        <v>0.14056387251664079</v>
      </c>
      <c r="W501" s="184">
        <f>STDEV(L$2:L501)*SQRT(252)</f>
        <v>0.30237946520340636</v>
      </c>
      <c r="X501" s="174">
        <f t="shared" si="1188"/>
        <v>3.3553835325881735E-2</v>
      </c>
    </row>
    <row r="502" spans="1:24" ht="20.100000000000001" customHeight="1" x14ac:dyDescent="0.25">
      <c r="A502" s="163">
        <f t="shared" si="915"/>
        <v>791</v>
      </c>
      <c r="B502" s="172">
        <v>43024</v>
      </c>
      <c r="C502" s="215">
        <v>2557.64</v>
      </c>
      <c r="D502" s="171">
        <f t="shared" ref="D502" si="1447">(C502-C501)/C501</f>
        <v>1.7507647356031129E-3</v>
      </c>
      <c r="E502" s="209">
        <f t="shared" ref="E502" si="1448">(C502-$C$2)/$C$2</f>
        <v>0.2165103403664313</v>
      </c>
      <c r="F502" s="219">
        <v>6624</v>
      </c>
      <c r="G502" s="171">
        <f t="shared" ref="G502" si="1449">(F502-F501)/F501</f>
        <v>2.7551545611432101E-3</v>
      </c>
      <c r="H502" s="203">
        <f t="shared" ref="H502" si="1450">(F502-F$2)/F$2</f>
        <v>0.30094074670542259</v>
      </c>
      <c r="I502" s="221">
        <v>356269.41</v>
      </c>
      <c r="J502" s="173">
        <v>350000</v>
      </c>
      <c r="K502" s="173">
        <f t="shared" ref="K502" si="1451">I502-I501-J502+J501</f>
        <v>-1391.820000000007</v>
      </c>
      <c r="L502" s="171">
        <f t="shared" ref="L502" si="1452">K502/I501</f>
        <v>-3.8914477814662972E-3</v>
      </c>
      <c r="M502" s="182">
        <f t="shared" ref="M502" si="1453">I502-J502</f>
        <v>6269.4099999999744</v>
      </c>
      <c r="N502" s="184">
        <f t="shared" ref="N502" si="1454">M502/J502</f>
        <v>1.7912599999999928E-2</v>
      </c>
      <c r="O502" s="183">
        <f t="shared" si="984"/>
        <v>8.271273261694025E-3</v>
      </c>
      <c r="P502" s="182" t="b">
        <f t="shared" ref="P502" si="1455">L502&gt;D502</f>
        <v>0</v>
      </c>
      <c r="Q502" s="184">
        <f>COUNTIF(P$2:P502, TRUE)/(COUNTIF(P$2:P502,FALSE) + COUNTIF(P$2:P502, TRUE))</f>
        <v>0.47904191616766467</v>
      </c>
      <c r="R502" s="173">
        <v>264370.51</v>
      </c>
      <c r="S502" s="173">
        <f t="shared" ref="S502" si="1456">I502-R502</f>
        <v>91898.899999999965</v>
      </c>
      <c r="T502" s="173">
        <v>-43678</v>
      </c>
      <c r="U502" s="173">
        <f t="shared" ref="U502" si="1457">M502-T502</f>
        <v>49947.409999999974</v>
      </c>
      <c r="V502" s="184">
        <f>STDEV(D$2:D502)*SQRT(252)</f>
        <v>0.14042609448007151</v>
      </c>
      <c r="W502" s="184">
        <f>STDEV(L$2:L502)*SQRT(252)</f>
        <v>0.30209167628759925</v>
      </c>
      <c r="X502" s="174">
        <f t="shared" si="1188"/>
        <v>2.7380010476751947E-2</v>
      </c>
    </row>
    <row r="503" spans="1:24" ht="20.100000000000001" customHeight="1" x14ac:dyDescent="0.25">
      <c r="A503" s="163">
        <f t="shared" si="915"/>
        <v>792</v>
      </c>
      <c r="B503" s="172">
        <v>43025</v>
      </c>
      <c r="C503" s="215">
        <v>2559.36</v>
      </c>
      <c r="D503" s="171">
        <f t="shared" ref="D503" si="1458">(C503-C502)/C502</f>
        <v>6.7249495628792747E-4</v>
      </c>
      <c r="E503" s="209">
        <f t="shared" ref="E503" si="1459">(C503-$C$2)/$C$2</f>
        <v>0.21732843743459981</v>
      </c>
      <c r="F503" s="219">
        <v>6623.65</v>
      </c>
      <c r="G503" s="171">
        <f t="shared" ref="G503" si="1460">(F503-F502)/F502</f>
        <v>-5.2838164251262654E-5</v>
      </c>
      <c r="H503" s="203">
        <f t="shared" ref="H503" si="1461">(F503-F$2)/F$2</f>
        <v>0.30087200738456704</v>
      </c>
      <c r="I503" s="221">
        <v>356984.93</v>
      </c>
      <c r="J503" s="173">
        <v>350000</v>
      </c>
      <c r="K503" s="173">
        <f t="shared" ref="K503" si="1462">I503-I502-J503+J502</f>
        <v>715.52000000001863</v>
      </c>
      <c r="L503" s="171">
        <f t="shared" ref="L503" si="1463">K503/I502</f>
        <v>2.008367768650187E-3</v>
      </c>
      <c r="M503" s="182">
        <f t="shared" ref="M503" si="1464">I503-J503</f>
        <v>6984.929999999993</v>
      </c>
      <c r="N503" s="184">
        <f t="shared" ref="N503" si="1465">M503/J503</f>
        <v>1.9956942857142838E-2</v>
      </c>
      <c r="O503" s="183">
        <f t="shared" si="984"/>
        <v>9.2036280032467433E-3</v>
      </c>
      <c r="P503" s="182" t="b">
        <f t="shared" ref="P503" si="1466">L503&gt;D503</f>
        <v>1</v>
      </c>
      <c r="Q503" s="184">
        <f>COUNTIF(P$2:P503, TRUE)/(COUNTIF(P$2:P503,FALSE) + COUNTIF(P$2:P503, TRUE))</f>
        <v>0.48007968127490042</v>
      </c>
      <c r="R503" s="173">
        <v>265086.02</v>
      </c>
      <c r="S503" s="173">
        <f t="shared" ref="S503" si="1467">I503-R503</f>
        <v>91898.909999999974</v>
      </c>
      <c r="T503" s="173">
        <v>-43661</v>
      </c>
      <c r="U503" s="173">
        <f t="shared" ref="U503" si="1468">M503-T503</f>
        <v>50645.929999999993</v>
      </c>
      <c r="V503" s="184">
        <f>STDEV(D$2:D503)*SQRT(252)</f>
        <v>0.14028570263636367</v>
      </c>
      <c r="W503" s="184">
        <f>STDEV(L$2:L503)*SQRT(252)</f>
        <v>0.30179161775372321</v>
      </c>
      <c r="X503" s="174">
        <f t="shared" si="1188"/>
        <v>3.049663231785767E-2</v>
      </c>
    </row>
    <row r="504" spans="1:24" ht="20.100000000000001" customHeight="1" x14ac:dyDescent="0.25">
      <c r="A504" s="163">
        <f t="shared" si="915"/>
        <v>793</v>
      </c>
      <c r="B504" s="172">
        <v>43026</v>
      </c>
      <c r="C504" s="215">
        <v>2561.2600000000002</v>
      </c>
      <c r="D504" s="171">
        <f t="shared" ref="D504" si="1469">(C504-C503)/C503</f>
        <v>7.4237309327335383E-4</v>
      </c>
      <c r="E504" s="209">
        <f t="shared" ref="E504" si="1470">(C504-$C$2)/$C$2</f>
        <v>0.21823214931222776</v>
      </c>
      <c r="F504" s="219">
        <v>6624.22</v>
      </c>
      <c r="G504" s="171">
        <f t="shared" ref="G504" si="1471">(F504-F503)/F503</f>
        <v>8.6055271640352141E-5</v>
      </c>
      <c r="H504" s="203">
        <f t="shared" ref="H504" si="1472">(F504-F$2)/F$2</f>
        <v>0.30098395427853181</v>
      </c>
      <c r="I504" s="221">
        <v>356309.25</v>
      </c>
      <c r="J504" s="173">
        <v>350000</v>
      </c>
      <c r="K504" s="173">
        <f t="shared" ref="K504" si="1473">I504-I503-J504+J503</f>
        <v>-675.67999999999302</v>
      </c>
      <c r="L504" s="171">
        <f t="shared" ref="L504" si="1474">K504/I503</f>
        <v>-1.8927409624826265E-3</v>
      </c>
      <c r="M504" s="182">
        <f t="shared" ref="M504" si="1475">I504-J504</f>
        <v>6309.25</v>
      </c>
      <c r="N504" s="184">
        <f t="shared" ref="N504" si="1476">M504/J504</f>
        <v>1.8026428571428572E-2</v>
      </c>
      <c r="O504" s="183">
        <f t="shared" si="984"/>
        <v>8.3028411547468924E-3</v>
      </c>
      <c r="P504" s="182" t="b">
        <f t="shared" ref="P504" si="1477">L504&gt;D504</f>
        <v>0</v>
      </c>
      <c r="Q504" s="184">
        <f>COUNTIF(P$2:P504, TRUE)/(COUNTIF(P$2:P504,FALSE) + COUNTIF(P$2:P504, TRUE))</f>
        <v>0.47912524850894633</v>
      </c>
      <c r="R504" s="173">
        <v>264410.34000000003</v>
      </c>
      <c r="S504" s="173">
        <f t="shared" ref="S504" si="1478">I504-R504</f>
        <v>91898.909999999974</v>
      </c>
      <c r="T504" s="173">
        <v>-43281</v>
      </c>
      <c r="U504" s="173">
        <f t="shared" ref="U504" si="1479">M504-T504</f>
        <v>49590.25</v>
      </c>
      <c r="V504" s="184">
        <f>STDEV(D$2:D504)*SQRT(252)</f>
        <v>0.14014580009075686</v>
      </c>
      <c r="W504" s="184">
        <f>STDEV(L$2:L504)*SQRT(252)</f>
        <v>0.30149462610170669</v>
      </c>
      <c r="X504" s="174">
        <f t="shared" si="1188"/>
        <v>2.7538935808248864E-2</v>
      </c>
    </row>
    <row r="505" spans="1:24" ht="20.100000000000001" customHeight="1" x14ac:dyDescent="0.25">
      <c r="A505" s="163">
        <f t="shared" si="915"/>
        <v>794</v>
      </c>
      <c r="B505" s="172">
        <v>43027</v>
      </c>
      <c r="C505" s="215">
        <v>2562.1</v>
      </c>
      <c r="D505" s="171">
        <f t="shared" ref="D505" si="1480">(C505-C504)/C504</f>
        <v>3.2796358042513869E-4</v>
      </c>
      <c r="E505" s="209">
        <f t="shared" ref="E505" si="1481">(C505-$C$2)/$C$2</f>
        <v>0.21863168508970521</v>
      </c>
      <c r="F505" s="219">
        <v>6605.06</v>
      </c>
      <c r="G505" s="171">
        <f t="shared" ref="G505" si="1482">(F505-F504)/F504</f>
        <v>-2.8924160127531775E-3</v>
      </c>
      <c r="H505" s="203">
        <f t="shared" ref="H505" si="1483">(F505-F$2)/F$2</f>
        <v>0.29722096745684168</v>
      </c>
      <c r="I505" s="221">
        <v>357443.95</v>
      </c>
      <c r="J505" s="173">
        <v>350000</v>
      </c>
      <c r="K505" s="173">
        <f t="shared" ref="K505" si="1484">I505-I504-J505+J504</f>
        <v>1134.7000000000116</v>
      </c>
      <c r="L505" s="171">
        <f t="shared" ref="L505" si="1485">K505/I504</f>
        <v>3.1845931588922031E-3</v>
      </c>
      <c r="M505" s="182">
        <f t="shared" ref="M505" si="1486">I505-J505</f>
        <v>7443.9500000000116</v>
      </c>
      <c r="N505" s="184">
        <f t="shared" ref="N505" si="1487">M505/J505</f>
        <v>2.1268428571428605E-2</v>
      </c>
      <c r="O505" s="183">
        <f t="shared" si="984"/>
        <v>9.783745007196849E-3</v>
      </c>
      <c r="P505" s="182" t="b">
        <f t="shared" ref="P505" si="1488">L505&gt;D505</f>
        <v>1</v>
      </c>
      <c r="Q505" s="184">
        <f>COUNTIF(P$2:P505, TRUE)/(COUNTIF(P$2:P505,FALSE) + COUNTIF(P$2:P505, TRUE))</f>
        <v>0.48015873015873017</v>
      </c>
      <c r="R505" s="173">
        <v>264411.34000000003</v>
      </c>
      <c r="S505" s="173">
        <f t="shared" ref="S505" si="1489">I505-R505</f>
        <v>93032.609999999986</v>
      </c>
      <c r="T505" s="173">
        <v>-42836</v>
      </c>
      <c r="U505" s="173">
        <f t="shared" ref="U505" si="1490">M505-T505</f>
        <v>50279.950000000012</v>
      </c>
      <c r="V505" s="184">
        <f>STDEV(D$2:D505)*SQRT(252)</f>
        <v>0.14000616246662231</v>
      </c>
      <c r="W505" s="184">
        <f>STDEV(L$2:L505)*SQRT(252)</f>
        <v>0.3012006871665695</v>
      </c>
      <c r="X505" s="174">
        <f t="shared" si="1188"/>
        <v>3.2482479038257503E-2</v>
      </c>
    </row>
    <row r="506" spans="1:24" ht="20.100000000000001" customHeight="1" x14ac:dyDescent="0.25">
      <c r="A506" s="163">
        <f t="shared" si="915"/>
        <v>795</v>
      </c>
      <c r="B506" s="172">
        <v>43028</v>
      </c>
      <c r="C506" s="215">
        <v>2575.21</v>
      </c>
      <c r="D506" s="171">
        <f t="shared" ref="D506" si="1491">(C506-C505)/C505</f>
        <v>5.1168962960072319E-3</v>
      </c>
      <c r="E506" s="209">
        <f t="shared" ref="E506" si="1492">(C506-$C$2)/$C$2</f>
        <v>0.22486729704533778</v>
      </c>
      <c r="F506" s="219">
        <v>6629.05</v>
      </c>
      <c r="G506" s="171">
        <f t="shared" ref="G506" si="1493">(F506-F505)/F505</f>
        <v>3.6320639025231838E-3</v>
      </c>
      <c r="H506" s="203">
        <f t="shared" ref="H506" si="1494">(F506-F$2)/F$2</f>
        <v>0.30193255690633786</v>
      </c>
      <c r="I506" s="221">
        <v>360239.92</v>
      </c>
      <c r="J506" s="173">
        <v>350000</v>
      </c>
      <c r="K506" s="173">
        <f t="shared" ref="K506" si="1495">I506-I505-J506+J505</f>
        <v>2795.9699999999721</v>
      </c>
      <c r="L506" s="171">
        <f t="shared" ref="L506" si="1496">K506/I505</f>
        <v>7.822121482263085E-3</v>
      </c>
      <c r="M506" s="182">
        <f t="shared" ref="M506" si="1497">I506-J506</f>
        <v>10239.919999999984</v>
      </c>
      <c r="N506" s="184">
        <f t="shared" ref="N506" si="1498">M506/J506</f>
        <v>2.9256914285714239E-2</v>
      </c>
      <c r="O506" s="183">
        <f t="shared" si="984"/>
        <v>1.3441620053908334E-2</v>
      </c>
      <c r="P506" s="182" t="b">
        <f t="shared" ref="P506" si="1499">L506&gt;D506</f>
        <v>1</v>
      </c>
      <c r="Q506" s="184">
        <f>COUNTIF(P$2:P506, TRUE)/(COUNTIF(P$2:P506,FALSE) + COUNTIF(P$2:P506, TRUE))</f>
        <v>0.48118811881188117</v>
      </c>
      <c r="R506" s="173">
        <v>254585.5</v>
      </c>
      <c r="S506" s="173">
        <f t="shared" ref="S506" si="1500">I506-R506</f>
        <v>105654.41999999998</v>
      </c>
      <c r="T506" s="173">
        <v>-42552</v>
      </c>
      <c r="U506" s="173">
        <f t="shared" ref="U506" si="1501">M506-T506</f>
        <v>52791.919999999984</v>
      </c>
      <c r="V506" s="184">
        <f>STDEV(D$2:D506)*SQRT(252)</f>
        <v>0.13990614860228603</v>
      </c>
      <c r="W506" s="184">
        <f>STDEV(L$2:L506)*SQRT(252)</f>
        <v>0.30094697841501933</v>
      </c>
      <c r="X506" s="174">
        <f t="shared" si="1188"/>
        <v>4.466441273044363E-2</v>
      </c>
    </row>
    <row r="507" spans="1:24" ht="20.100000000000001" customHeight="1" x14ac:dyDescent="0.25">
      <c r="A507" s="163">
        <f t="shared" si="915"/>
        <v>798</v>
      </c>
      <c r="B507" s="172">
        <v>43031</v>
      </c>
      <c r="C507" s="215">
        <v>2564.98</v>
      </c>
      <c r="D507" s="171">
        <f t="shared" ref="D507" si="1502">(C507-C506)/C506</f>
        <v>-3.9724915637948041E-3</v>
      </c>
      <c r="E507" s="209">
        <f t="shared" ref="E507" si="1503">(C507-$C$2)/$C$2</f>
        <v>0.22000152204105702</v>
      </c>
      <c r="F507" s="219">
        <v>6586.82</v>
      </c>
      <c r="G507" s="171">
        <f t="shared" ref="G507" si="1504">(F507-F506)/F506</f>
        <v>-6.3704452372512609E-3</v>
      </c>
      <c r="H507" s="203">
        <f t="shared" ref="H507" si="1505">(F507-F$2)/F$2</f>
        <v>0.29363866684997153</v>
      </c>
      <c r="I507" s="221">
        <v>357804.68</v>
      </c>
      <c r="J507" s="173">
        <v>350000</v>
      </c>
      <c r="K507" s="173">
        <f t="shared" ref="K507" si="1506">I507-I506-J507+J506</f>
        <v>-2435.2399999999907</v>
      </c>
      <c r="L507" s="171">
        <f t="shared" ref="L507" si="1507">K507/I506</f>
        <v>-6.760050357550576E-3</v>
      </c>
      <c r="M507" s="182">
        <f t="shared" ref="M507" si="1508">I507-J507</f>
        <v>7804.679999999993</v>
      </c>
      <c r="N507" s="184">
        <f t="shared" ref="N507" si="1509">M507/J507</f>
        <v>2.2299085714285693E-2</v>
      </c>
      <c r="O507" s="183">
        <f t="shared" si="984"/>
        <v>1.0206442427497305E-2</v>
      </c>
      <c r="P507" s="182" t="b">
        <f t="shared" ref="P507" si="1510">L507&gt;D507</f>
        <v>0</v>
      </c>
      <c r="Q507" s="184">
        <f>COUNTIF(P$2:P507, TRUE)/(COUNTIF(P$2:P507,FALSE) + COUNTIF(P$2:P507, TRUE))</f>
        <v>0.48023715415019763</v>
      </c>
      <c r="R507" s="173">
        <v>252150.26</v>
      </c>
      <c r="S507" s="173">
        <f t="shared" ref="S507" si="1511">I507-R507</f>
        <v>105654.41999999998</v>
      </c>
      <c r="T507" s="173">
        <v>-41908</v>
      </c>
      <c r="U507" s="173">
        <f t="shared" ref="U507" si="1512">M507-T507</f>
        <v>49712.679999999993</v>
      </c>
      <c r="V507" s="184">
        <f>STDEV(D$2:D507)*SQRT(252)</f>
        <v>0.13980205559585135</v>
      </c>
      <c r="W507" s="184">
        <f>STDEV(L$2:L507)*SQRT(252)</f>
        <v>0.30069091329485875</v>
      </c>
      <c r="X507" s="174">
        <f t="shared" si="1188"/>
        <v>3.3943301829971913E-2</v>
      </c>
    </row>
    <row r="508" spans="1:24" ht="20.100000000000001" customHeight="1" x14ac:dyDescent="0.25">
      <c r="A508" s="163">
        <f t="shared" si="915"/>
        <v>799</v>
      </c>
      <c r="B508" s="172">
        <v>43032</v>
      </c>
      <c r="C508" s="215">
        <v>2569.13</v>
      </c>
      <c r="D508" s="171">
        <f t="shared" ref="D508" si="1513">(C508-C507)/C507</f>
        <v>1.6179463387629108E-3</v>
      </c>
      <c r="E508" s="209">
        <f t="shared" ref="E508" si="1514">(C508-$C$2)/$C$2</f>
        <v>0.22197541903692855</v>
      </c>
      <c r="F508" s="219">
        <v>6598.63</v>
      </c>
      <c r="G508" s="171">
        <f t="shared" ref="G508" si="1515">(F508-F507)/F507</f>
        <v>1.792974455048172E-3</v>
      </c>
      <c r="H508" s="203">
        <f t="shared" ref="H508" si="1516">(F508-F$2)/F$2</f>
        <v>0.29595812793369608</v>
      </c>
      <c r="I508" s="221">
        <v>308838.62</v>
      </c>
      <c r="J508" s="173">
        <v>300000</v>
      </c>
      <c r="K508" s="173">
        <f t="shared" ref="K508" si="1517">I508-I507-J508+J507</f>
        <v>1033.9400000000023</v>
      </c>
      <c r="L508" s="171">
        <f t="shared" ref="L508" si="1518">K508/I507</f>
        <v>2.8896771277558539E-3</v>
      </c>
      <c r="M508" s="182">
        <f t="shared" ref="M508" si="1519">I508-J508</f>
        <v>8838.6199999999953</v>
      </c>
      <c r="N508" s="184">
        <f t="shared" ref="N508" si="1520">M508/J508</f>
        <v>2.9462066666666651E-2</v>
      </c>
      <c r="O508" s="183">
        <f t="shared" si="984"/>
        <v>1.3468109949937416E-2</v>
      </c>
      <c r="P508" s="182" t="b">
        <f t="shared" ref="P508" si="1521">L508&gt;D508</f>
        <v>1</v>
      </c>
      <c r="Q508" s="184">
        <f>COUNTIF(P$2:P508, TRUE)/(COUNTIF(P$2:P508,FALSE) + COUNTIF(P$2:P508, TRUE))</f>
        <v>0.48126232741617359</v>
      </c>
      <c r="R508" s="173">
        <v>252151.26</v>
      </c>
      <c r="S508" s="173">
        <f t="shared" ref="S508" si="1522">I508-R508</f>
        <v>56687.359999999986</v>
      </c>
      <c r="T508" s="173">
        <v>-41721</v>
      </c>
      <c r="U508" s="173">
        <f t="shared" ref="U508" si="1523">M508-T508</f>
        <v>50559.619999999995</v>
      </c>
      <c r="V508" s="184">
        <f>STDEV(D$2:D508)*SQRT(252)</f>
        <v>0.13966607476231604</v>
      </c>
      <c r="W508" s="184">
        <f>STDEV(L$2:L508)*SQRT(252)</f>
        <v>0.30039821437301584</v>
      </c>
      <c r="X508" s="174">
        <f t="shared" si="1188"/>
        <v>4.4834187773212103E-2</v>
      </c>
    </row>
    <row r="509" spans="1:24" ht="20.100000000000001" customHeight="1" x14ac:dyDescent="0.25">
      <c r="A509" s="163">
        <f t="shared" si="915"/>
        <v>800</v>
      </c>
      <c r="B509" s="172">
        <v>43033</v>
      </c>
      <c r="C509" s="215">
        <v>2557.15</v>
      </c>
      <c r="D509" s="171">
        <f t="shared" ref="D509" si="1524">(C509-C508)/C508</f>
        <v>-4.6630571438580444E-3</v>
      </c>
      <c r="E509" s="209">
        <f t="shared" ref="E509" si="1525">(C509-$C$2)/$C$2</f>
        <v>0.21627727782956946</v>
      </c>
      <c r="F509" s="219">
        <v>6563.89</v>
      </c>
      <c r="G509" s="171">
        <f t="shared" ref="G509" si="1526">(F509-F508)/F508</f>
        <v>-5.2647291937871618E-3</v>
      </c>
      <c r="H509" s="203">
        <f t="shared" ref="H509" si="1527">(F509-F$2)/F$2</f>
        <v>0.28913525934363782</v>
      </c>
      <c r="I509" s="221">
        <v>306704.96000000002</v>
      </c>
      <c r="J509" s="173">
        <v>300000</v>
      </c>
      <c r="K509" s="173">
        <f t="shared" ref="K509" si="1528">I509-I508-J509+J508</f>
        <v>-2133.6599999999744</v>
      </c>
      <c r="L509" s="171">
        <f t="shared" ref="L509" si="1529">K509/I508</f>
        <v>-6.9086566958496782E-3</v>
      </c>
      <c r="M509" s="182">
        <f t="shared" ref="M509" si="1530">I509-J509</f>
        <v>6704.960000000021</v>
      </c>
      <c r="N509" s="184">
        <f t="shared" ref="N509" si="1531">M509/J509</f>
        <v>2.2349866666666735E-2</v>
      </c>
      <c r="O509" s="183">
        <f t="shared" si="984"/>
        <v>1.0204111000000031E-2</v>
      </c>
      <c r="P509" s="182" t="b">
        <f t="shared" ref="P509" si="1532">L509&gt;D509</f>
        <v>0</v>
      </c>
      <c r="Q509" s="184">
        <f>COUNTIF(P$2:P509, TRUE)/(COUNTIF(P$2:P509,FALSE) + COUNTIF(P$2:P509, TRUE))</f>
        <v>0.48031496062992124</v>
      </c>
      <c r="R509" s="173">
        <v>252152.26</v>
      </c>
      <c r="S509" s="173">
        <f t="shared" ref="S509" si="1533">I509-R509</f>
        <v>54552.700000000012</v>
      </c>
      <c r="T509" s="173">
        <v>-41720</v>
      </c>
      <c r="U509" s="173">
        <f t="shared" ref="U509" si="1534">M509-T509</f>
        <v>48424.960000000021</v>
      </c>
      <c r="V509" s="184">
        <f>STDEV(D$2:D509)*SQRT(252)</f>
        <v>0.13957427800139766</v>
      </c>
      <c r="W509" s="184">
        <f>STDEV(L$2:L509)*SQRT(252)</f>
        <v>0.30014545244323337</v>
      </c>
      <c r="X509" s="174">
        <f t="shared" si="1188"/>
        <v>3.399722007092524E-2</v>
      </c>
    </row>
    <row r="510" spans="1:24" ht="20.100000000000001" customHeight="1" x14ac:dyDescent="0.25">
      <c r="A510" s="163">
        <f t="shared" si="915"/>
        <v>801</v>
      </c>
      <c r="B510" s="172">
        <v>43034</v>
      </c>
      <c r="C510" s="215">
        <v>2560.4</v>
      </c>
      <c r="D510" s="171">
        <f t="shared" ref="D510" si="1535">(C510-C509)/C509</f>
        <v>1.270946170541423E-3</v>
      </c>
      <c r="E510" s="209">
        <f t="shared" ref="E510" si="1536">(C510-$C$2)/$C$2</f>
        <v>0.21782310077814351</v>
      </c>
      <c r="F510" s="219">
        <v>6556.77</v>
      </c>
      <c r="G510" s="171">
        <f t="shared" ref="G510" si="1537">(F510-F509)/F509</f>
        <v>-1.0847226263694075E-3</v>
      </c>
      <c r="H510" s="203">
        <f t="shared" ref="H510" si="1538">(F510-F$2)/F$2</f>
        <v>0.28773690515937717</v>
      </c>
      <c r="I510" s="221">
        <v>305919.12</v>
      </c>
      <c r="J510" s="173">
        <v>300000</v>
      </c>
      <c r="K510" s="173">
        <f t="shared" ref="K510" si="1539">I510-I509-J510+J509</f>
        <v>-785.84000000002561</v>
      </c>
      <c r="L510" s="171">
        <f t="shared" ref="L510" si="1540">K510/I509</f>
        <v>-2.5622017981059893E-3</v>
      </c>
      <c r="M510" s="182">
        <f t="shared" ref="M510" si="1541">I510-J510</f>
        <v>5919.1199999999953</v>
      </c>
      <c r="N510" s="184">
        <f t="shared" ref="N510" si="1542">M510/J510</f>
        <v>1.9730399999999985E-2</v>
      </c>
      <c r="O510" s="183">
        <f t="shared" si="984"/>
        <v>8.9969146067415667E-3</v>
      </c>
      <c r="P510" s="182" t="b">
        <f t="shared" ref="P510" si="1543">L510&gt;D510</f>
        <v>0</v>
      </c>
      <c r="Q510" s="184">
        <f>COUNTIF(P$2:P510, TRUE)/(COUNTIF(P$2:P510,FALSE) + COUNTIF(P$2:P510, TRUE))</f>
        <v>0.47937131630648327</v>
      </c>
      <c r="R510" s="173">
        <v>256825.7</v>
      </c>
      <c r="S510" s="173">
        <f t="shared" ref="S510" si="1544">I510-R510</f>
        <v>49093.419999999984</v>
      </c>
      <c r="T510" s="173">
        <v>-42976</v>
      </c>
      <c r="U510" s="173">
        <f t="shared" ref="U510" si="1545">M510-T510</f>
        <v>48895.119999999995</v>
      </c>
      <c r="V510" s="184">
        <f>STDEV(D$2:D510)*SQRT(252)</f>
        <v>0.13943783652554134</v>
      </c>
      <c r="W510" s="184">
        <f>STDEV(L$2:L510)*SQRT(252)</f>
        <v>0.29985648816309529</v>
      </c>
      <c r="X510" s="174">
        <f t="shared" si="1188"/>
        <v>3.0004068485748572E-2</v>
      </c>
    </row>
    <row r="511" spans="1:24" ht="20.100000000000001" customHeight="1" x14ac:dyDescent="0.25">
      <c r="A511" s="163">
        <f t="shared" si="915"/>
        <v>802</v>
      </c>
      <c r="B511" s="172">
        <v>43035</v>
      </c>
      <c r="C511" s="215">
        <v>2581.0700000000002</v>
      </c>
      <c r="D511" s="171">
        <f t="shared" ref="D511" si="1546">(C511-C510)/C510</f>
        <v>8.0729573504140263E-3</v>
      </c>
      <c r="E511" s="209">
        <f t="shared" ref="E511" si="1547">(C511-$C$2)/$C$2</f>
        <v>0.22765453473107441</v>
      </c>
      <c r="F511" s="219">
        <v>6701.26</v>
      </c>
      <c r="G511" s="171">
        <f t="shared" ref="G511" si="1548">(F511-F510)/F510</f>
        <v>2.2036765053524796E-2</v>
      </c>
      <c r="H511" s="203">
        <f t="shared" ref="H511" si="1549">(F511-F$2)/F$2</f>
        <v>0.31611446078912747</v>
      </c>
      <c r="I511" s="221">
        <v>305278.40999999997</v>
      </c>
      <c r="J511" s="173">
        <v>300000</v>
      </c>
      <c r="K511" s="173">
        <f t="shared" ref="K511" si="1550">I511-I510-J511+J510</f>
        <v>-640.71000000002095</v>
      </c>
      <c r="L511" s="171">
        <f t="shared" ref="L511" si="1551">K511/I510</f>
        <v>-2.0943771020262513E-3</v>
      </c>
      <c r="M511" s="182">
        <f t="shared" ref="M511" si="1552">I511-J511</f>
        <v>5278.4099999999744</v>
      </c>
      <c r="N511" s="184">
        <f t="shared" ref="N511" si="1553">M511/J511</f>
        <v>1.7594699999999915E-2</v>
      </c>
      <c r="O511" s="183">
        <f t="shared" si="984"/>
        <v>8.0130475997505848E-3</v>
      </c>
      <c r="P511" s="182" t="b">
        <f t="shared" ref="P511" si="1554">L511&gt;D511</f>
        <v>0</v>
      </c>
      <c r="Q511" s="184">
        <f>COUNTIF(P$2:P511, TRUE)/(COUNTIF(P$2:P511,FALSE) + COUNTIF(P$2:P511, TRUE))</f>
        <v>0.47843137254901963</v>
      </c>
      <c r="R511" s="173">
        <v>259252.8</v>
      </c>
      <c r="S511" s="173">
        <f t="shared" ref="S511" si="1555">I511-R511</f>
        <v>46025.609999999986</v>
      </c>
      <c r="T511" s="173">
        <v>-43407</v>
      </c>
      <c r="U511" s="173">
        <f t="shared" ref="U511" si="1556">M511-T511</f>
        <v>48685.409999999974</v>
      </c>
      <c r="V511" s="184">
        <f>STDEV(D$2:D511)*SQRT(252)</f>
        <v>0.13940439146779132</v>
      </c>
      <c r="W511" s="184">
        <f>STDEV(L$2:L511)*SQRT(252)</f>
        <v>0.2995662631727638</v>
      </c>
      <c r="X511" s="174">
        <f t="shared" si="1188"/>
        <v>2.6748831844022953E-2</v>
      </c>
    </row>
    <row r="512" spans="1:24" ht="20.100000000000001" customHeight="1" x14ac:dyDescent="0.25">
      <c r="A512" s="163">
        <f t="shared" si="915"/>
        <v>805</v>
      </c>
      <c r="B512" s="172">
        <v>43038</v>
      </c>
      <c r="C512" s="215">
        <v>2572.83</v>
      </c>
      <c r="D512" s="171">
        <f t="shared" ref="D512" si="1557">(C512-C511)/C511</f>
        <v>-3.1924744388955881E-3</v>
      </c>
      <c r="E512" s="209">
        <f t="shared" ref="E512" si="1558">(C512-$C$2)/$C$2</f>
        <v>0.22373527900915122</v>
      </c>
      <c r="F512" s="219">
        <v>6698.96</v>
      </c>
      <c r="G512" s="171">
        <f t="shared" ref="G512" si="1559">(F512-F511)/F511</f>
        <v>-3.4321903642004365E-4</v>
      </c>
      <c r="H512" s="203">
        <f t="shared" ref="H512" si="1560">(F512-F$2)/F$2</f>
        <v>0.31566274525207694</v>
      </c>
      <c r="I512" s="221">
        <v>307777.62</v>
      </c>
      <c r="J512" s="173">
        <v>300000</v>
      </c>
      <c r="K512" s="173">
        <f t="shared" ref="K512" si="1561">I512-I511-J512+J511</f>
        <v>2499.210000000021</v>
      </c>
      <c r="L512" s="171">
        <f t="shared" ref="L512" si="1562">K512/I511</f>
        <v>8.1866582048826225E-3</v>
      </c>
      <c r="M512" s="182">
        <f t="shared" ref="M512" si="1563">I512-J512</f>
        <v>7777.6199999999953</v>
      </c>
      <c r="N512" s="184">
        <f t="shared" ref="N512" si="1564">M512/J512</f>
        <v>2.5925399999999984E-2</v>
      </c>
      <c r="O512" s="183">
        <f t="shared" si="984"/>
        <v>1.176304639751552E-2</v>
      </c>
      <c r="P512" s="182" t="b">
        <f t="shared" ref="P512" si="1565">L512&gt;D512</f>
        <v>1</v>
      </c>
      <c r="Q512" s="184">
        <f>COUNTIF(P$2:P512, TRUE)/(COUNTIF(P$2:P512,FALSE) + COUNTIF(P$2:P512, TRUE))</f>
        <v>0.47945205479452052</v>
      </c>
      <c r="R512" s="173">
        <v>261741.38</v>
      </c>
      <c r="S512" s="173">
        <f t="shared" ref="S512" si="1566">I512-R512</f>
        <v>46036.239999999991</v>
      </c>
      <c r="T512" s="173">
        <v>-43230</v>
      </c>
      <c r="U512" s="173">
        <f t="shared" ref="U512" si="1567">M512-T512</f>
        <v>51007.619999999995</v>
      </c>
      <c r="V512" s="184">
        <f>STDEV(D$2:D512)*SQRT(252)</f>
        <v>0.13929080890854997</v>
      </c>
      <c r="W512" s="184">
        <f>STDEV(L$2:L512)*SQRT(252)</f>
        <v>0.29932223329084218</v>
      </c>
      <c r="X512" s="174">
        <f t="shared" si="1188"/>
        <v>3.9298939701835414E-2</v>
      </c>
    </row>
    <row r="513" spans="1:24" ht="20.100000000000001" customHeight="1" x14ac:dyDescent="0.25">
      <c r="A513" s="163">
        <f t="shared" ref="A513:A546" si="1568">B513-$B$2</f>
        <v>806</v>
      </c>
      <c r="B513" s="172">
        <v>43039</v>
      </c>
      <c r="C513" s="215">
        <v>2575.2600000000002</v>
      </c>
      <c r="D513" s="171">
        <f t="shared" ref="D513" si="1569">(C513-C512)/C512</f>
        <v>9.4448525553584618E-4</v>
      </c>
      <c r="E513" s="209">
        <f t="shared" ref="E513" si="1570">(C513-$C$2)/$C$2</f>
        <v>0.22489107893685439</v>
      </c>
      <c r="F513" s="219">
        <v>6727.66</v>
      </c>
      <c r="G513" s="171">
        <f t="shared" ref="G513" si="1571">(F513-F512)/F512</f>
        <v>4.2842471070135991E-3</v>
      </c>
      <c r="H513" s="203">
        <f t="shared" ref="H513" si="1572">(F513-F$2)/F$2</f>
        <v>0.32129936956222876</v>
      </c>
      <c r="I513" s="473">
        <v>309994</v>
      </c>
      <c r="J513" s="173">
        <v>300000</v>
      </c>
      <c r="K513" s="173">
        <f t="shared" ref="K513" si="1573">I513-I512-J513+J512</f>
        <v>2216.3800000000047</v>
      </c>
      <c r="L513" s="171">
        <f t="shared" ref="L513" si="1574">K513/I512</f>
        <v>7.2012383486492774E-3</v>
      </c>
      <c r="M513" s="473">
        <f t="shared" ref="M513" si="1575">I513-J513</f>
        <v>9994</v>
      </c>
      <c r="N513" s="184">
        <f t="shared" ref="N513" si="1576">M513/J513</f>
        <v>3.3313333333333334E-2</v>
      </c>
      <c r="O513" s="183">
        <f t="shared" si="984"/>
        <v>1.5096395781637717E-2</v>
      </c>
      <c r="P513" s="182" t="b">
        <f t="shared" ref="P513" si="1577">L513&gt;D513</f>
        <v>1</v>
      </c>
      <c r="Q513" s="184">
        <f>COUNTIF(P$2:P513, TRUE)/(COUNTIF(P$2:P513,FALSE) + COUNTIF(P$2:P513, TRUE))</f>
        <v>0.48046875</v>
      </c>
      <c r="R513" s="173">
        <v>263957.76000000001</v>
      </c>
      <c r="S513" s="173">
        <f t="shared" ref="S513" si="1578">I513-R513</f>
        <v>46036.239999999991</v>
      </c>
      <c r="T513" s="173">
        <v>-43049</v>
      </c>
      <c r="U513" s="173">
        <f t="shared" ref="U513:U515" si="1579">M513-T513</f>
        <v>53043</v>
      </c>
      <c r="V513" s="184">
        <f>STDEV(D$2:D513)*SQRT(252)</f>
        <v>0.13915464346541059</v>
      </c>
      <c r="W513" s="184">
        <f>STDEV(L$2:L513)*SQRT(252)</f>
        <v>0.29906689628726874</v>
      </c>
      <c r="X513" s="174">
        <f t="shared" si="1188"/>
        <v>5.0478324311550929E-2</v>
      </c>
    </row>
    <row r="514" spans="1:24" ht="20.100000000000001" customHeight="1" x14ac:dyDescent="0.25">
      <c r="A514" s="163">
        <f t="shared" si="1568"/>
        <v>807</v>
      </c>
      <c r="B514" s="172">
        <v>43040</v>
      </c>
      <c r="C514" s="215">
        <v>2579.36</v>
      </c>
      <c r="D514" s="171">
        <f t="shared" ref="D514" si="1580">(C514-C513)/C513</f>
        <v>1.5920722567818041E-3</v>
      </c>
      <c r="E514" s="209">
        <f t="shared" ref="E514" si="1581">(C514-$C$2)/$C$2</f>
        <v>0.22684119404120928</v>
      </c>
      <c r="F514" s="219">
        <v>6716.53</v>
      </c>
      <c r="G514" s="171">
        <f t="shared" ref="G514" si="1582">(F514-F513)/F513</f>
        <v>-1.6543642217353596E-3</v>
      </c>
      <c r="H514" s="203">
        <f t="shared" ref="H514" si="1583">(F514-F$2)/F$2</f>
        <v>0.3191134591590235</v>
      </c>
      <c r="I514" s="221">
        <v>314097.48</v>
      </c>
      <c r="J514" s="173">
        <v>300000</v>
      </c>
      <c r="K514" s="173">
        <f t="shared" ref="K514" si="1584">I514-I513-J514+J513</f>
        <v>4103.4799999999814</v>
      </c>
      <c r="L514" s="171">
        <f t="shared" ref="L514" si="1585">K514/I513</f>
        <v>1.3237288463647624E-2</v>
      </c>
      <c r="M514" s="182">
        <f t="shared" ref="M514" si="1586">I514-J514</f>
        <v>14097.479999999981</v>
      </c>
      <c r="N514" s="184">
        <f t="shared" ref="N514" si="1587">M514/J514</f>
        <v>4.6991599999999939E-2</v>
      </c>
      <c r="O514" s="183">
        <f t="shared" si="984"/>
        <v>2.1268502973977668E-2</v>
      </c>
      <c r="P514" s="182" t="b">
        <f t="shared" ref="P514" si="1588">L514&gt;D514</f>
        <v>1</v>
      </c>
      <c r="Q514" s="184">
        <f>COUNTIF(P$2:P514, TRUE)/(COUNTIF(P$2:P514,FALSE) + COUNTIF(P$2:P514, TRUE))</f>
        <v>0.48148148148148145</v>
      </c>
      <c r="R514" s="173">
        <v>254959.6</v>
      </c>
      <c r="S514" s="173">
        <f t="shared" ref="S514" si="1589">I514-R514</f>
        <v>59137.879999999976</v>
      </c>
      <c r="T514" s="173"/>
      <c r="U514" s="173"/>
      <c r="V514" s="184">
        <f>STDEV(D$2:D514)*SQRT(252)</f>
        <v>0.13902078631505016</v>
      </c>
      <c r="W514" s="184">
        <f>STDEV(L$2:L514)*SQRT(252)</f>
        <v>0.29890977574603156</v>
      </c>
      <c r="X514" s="174">
        <f t="shared" si="1188"/>
        <v>7.1153587803861038E-2</v>
      </c>
    </row>
    <row r="515" spans="1:24" ht="20.100000000000001" customHeight="1" x14ac:dyDescent="0.25">
      <c r="A515" s="163">
        <f t="shared" si="1568"/>
        <v>808</v>
      </c>
      <c r="B515" s="172">
        <v>43041</v>
      </c>
      <c r="C515" s="215">
        <v>2579.85</v>
      </c>
      <c r="D515" s="171">
        <f t="shared" ref="D515" si="1590">(C515-C514)/C514</f>
        <v>1.8996960486313726E-4</v>
      </c>
      <c r="E515" s="209">
        <f t="shared" ref="E515" si="1591">(C515-$C$2)/$C$2</f>
        <v>0.22707425657807112</v>
      </c>
      <c r="F515" s="219">
        <v>6714.94</v>
      </c>
      <c r="G515" s="171">
        <f t="shared" ref="G515" si="1592">(F515-F514)/F514</f>
        <v>-2.3672938258299233E-4</v>
      </c>
      <c r="H515" s="203">
        <f t="shared" ref="H515" si="1593">(F515-F$2)/F$2</f>
        <v>0.31880118624427989</v>
      </c>
      <c r="I515" s="221">
        <v>315145.06</v>
      </c>
      <c r="J515" s="173">
        <v>300000</v>
      </c>
      <c r="K515" s="173">
        <f t="shared" ref="K515" si="1594">I515-I514-J515+J514</f>
        <v>1047.5800000000163</v>
      </c>
      <c r="L515" s="171">
        <f t="shared" ref="L515" si="1595">K515/I514</f>
        <v>3.3352066371242976E-3</v>
      </c>
      <c r="M515" s="182">
        <f t="shared" ref="M515" si="1596">I515-J515</f>
        <v>15145.059999999998</v>
      </c>
      <c r="N515" s="184">
        <f t="shared" ref="N515" si="1597">M515/J515</f>
        <v>5.0483533333333323E-2</v>
      </c>
      <c r="O515" s="183">
        <f t="shared" si="984"/>
        <v>2.2820681373762371E-2</v>
      </c>
      <c r="P515" s="182" t="b">
        <f t="shared" ref="P515" si="1598">L515&gt;D515</f>
        <v>1</v>
      </c>
      <c r="Q515" s="184">
        <f>COUNTIF(P$2:P515, TRUE)/(COUNTIF(P$2:P515,FALSE) + COUNTIF(P$2:P515, TRUE))</f>
        <v>0.48249027237354086</v>
      </c>
      <c r="R515" s="173">
        <v>261523.18</v>
      </c>
      <c r="S515" s="173">
        <f t="shared" ref="S515" si="1599">I515-R515</f>
        <v>53621.880000000005</v>
      </c>
      <c r="T515" s="173">
        <v>-42858</v>
      </c>
      <c r="U515" s="173">
        <f t="shared" si="1579"/>
        <v>58003.06</v>
      </c>
      <c r="V515" s="184">
        <f>STDEV(D$2:D515)*SQRT(252)</f>
        <v>0.13888506589975202</v>
      </c>
      <c r="W515" s="184">
        <f>STDEV(L$2:L515)*SQRT(252)</f>
        <v>0.29862468189332236</v>
      </c>
      <c r="X515" s="174">
        <f t="shared" si="1188"/>
        <v>7.6419273949748734E-2</v>
      </c>
    </row>
    <row r="516" spans="1:24" ht="20.100000000000001" customHeight="1" x14ac:dyDescent="0.25">
      <c r="A516" s="163">
        <f t="shared" si="1568"/>
        <v>809</v>
      </c>
      <c r="B516" s="172">
        <v>43042</v>
      </c>
      <c r="C516" s="215">
        <v>2587.84</v>
      </c>
      <c r="D516" s="171">
        <f t="shared" ref="D516" si="1600">(C516-C515)/C515</f>
        <v>3.0970792875555696E-3</v>
      </c>
      <c r="E516" s="209">
        <f t="shared" ref="E516" si="1601">(C516-$C$2)/$C$2</f>
        <v>0.23087460284241171</v>
      </c>
      <c r="F516" s="219">
        <v>6764.43</v>
      </c>
      <c r="G516" s="171">
        <f t="shared" ref="G516" si="1602">(F516-F515)/F515</f>
        <v>7.3701328679036142E-3</v>
      </c>
      <c r="H516" s="203">
        <f t="shared" ref="H516" si="1603">(F516-F$2)/F$2</f>
        <v>0.32852092621324913</v>
      </c>
      <c r="I516" s="221">
        <v>316040.12</v>
      </c>
      <c r="J516" s="173">
        <v>300000</v>
      </c>
      <c r="K516" s="173">
        <f t="shared" ref="K516" si="1604">I516-I515-J516+J515</f>
        <v>895.05999999999767</v>
      </c>
      <c r="L516" s="171">
        <f t="shared" ref="L516" si="1605">K516/I515</f>
        <v>2.8401524047370367E-3</v>
      </c>
      <c r="M516" s="182">
        <f t="shared" ref="M516" si="1606">I516-J516</f>
        <v>16040.119999999995</v>
      </c>
      <c r="N516" s="184">
        <f t="shared" ref="N516" si="1607">M516/J516</f>
        <v>5.3467066666666653E-2</v>
      </c>
      <c r="O516" s="183">
        <f t="shared" si="984"/>
        <v>2.4139488380716927E-2</v>
      </c>
      <c r="P516" s="182" t="b">
        <f t="shared" ref="P516" si="1608">L516&gt;D516</f>
        <v>0</v>
      </c>
      <c r="Q516" s="184">
        <f>COUNTIF(P$2:P516, TRUE)/(COUNTIF(P$2:P516,FALSE) + COUNTIF(P$2:P516, TRUE))</f>
        <v>0.48155339805825242</v>
      </c>
      <c r="R516" s="173">
        <v>252880.46</v>
      </c>
      <c r="S516" s="173">
        <f t="shared" ref="S516" si="1609">I516-R516</f>
        <v>63159.66</v>
      </c>
      <c r="T516" s="173">
        <v>-42866</v>
      </c>
      <c r="U516" s="173">
        <f t="shared" ref="U516" si="1610">M516-T516</f>
        <v>58906.119999999995</v>
      </c>
      <c r="V516" s="184">
        <f>STDEV(D$2:D516)*SQRT(252)</f>
        <v>0.13876213440493015</v>
      </c>
      <c r="W516" s="184">
        <f>STDEV(L$2:L516)*SQRT(252)</f>
        <v>0.29833824227628286</v>
      </c>
      <c r="X516" s="174">
        <f t="shared" si="1188"/>
        <v>8.0913154802199336E-2</v>
      </c>
    </row>
    <row r="517" spans="1:24" ht="20.100000000000001" customHeight="1" x14ac:dyDescent="0.25">
      <c r="A517" s="163">
        <f t="shared" si="1568"/>
        <v>812</v>
      </c>
      <c r="B517" s="172">
        <v>43045</v>
      </c>
      <c r="C517" s="215">
        <v>2591.13</v>
      </c>
      <c r="D517" s="171">
        <f t="shared" ref="D517" si="1611">(C517-C516)/C516</f>
        <v>1.2713305304810048E-3</v>
      </c>
      <c r="E517" s="209">
        <f t="shared" ref="E517" si="1612">(C517-$C$2)/$C$2</f>
        <v>0.23243945130419896</v>
      </c>
      <c r="F517" s="219">
        <v>6786.43</v>
      </c>
      <c r="G517" s="171">
        <f t="shared" ref="G517" si="1613">(F517-F516)/F516</f>
        <v>3.2523065505888891E-3</v>
      </c>
      <c r="H517" s="203">
        <f t="shared" ref="H517" si="1614">(F517-F$2)/F$2</f>
        <v>0.33284168352416688</v>
      </c>
      <c r="I517" s="221">
        <v>319399.58</v>
      </c>
      <c r="J517" s="173">
        <v>300000</v>
      </c>
      <c r="K517" s="173">
        <f t="shared" ref="K517" si="1615">I517-I516-J517+J516</f>
        <v>3359.460000000021</v>
      </c>
      <c r="L517" s="171">
        <f t="shared" ref="L517" si="1616">K517/I516</f>
        <v>1.0629852943987052E-2</v>
      </c>
      <c r="M517" s="182">
        <f t="shared" ref="M517" si="1617">I517-J517</f>
        <v>19399.580000000016</v>
      </c>
      <c r="N517" s="184">
        <f t="shared" ref="N517" si="1618">M517/J517</f>
        <v>6.4665266666666721E-2</v>
      </c>
      <c r="O517" s="183">
        <f t="shared" si="984"/>
        <v>2.9087424445812832E-2</v>
      </c>
      <c r="P517" s="182" t="b">
        <f t="shared" ref="P517" si="1619">L517&gt;D517</f>
        <v>1</v>
      </c>
      <c r="Q517" s="184">
        <f>COUNTIF(P$2:P517, TRUE)/(COUNTIF(P$2:P517,FALSE) + COUNTIF(P$2:P517, TRUE))</f>
        <v>0.48255813953488375</v>
      </c>
      <c r="R517" s="173">
        <v>271370.62</v>
      </c>
      <c r="S517" s="173">
        <f t="shared" ref="S517" si="1620">I517-R517</f>
        <v>48028.960000000021</v>
      </c>
      <c r="T517" s="173">
        <v>-42964</v>
      </c>
      <c r="U517" s="173">
        <f t="shared" ref="U517" si="1621">M517-T517</f>
        <v>62363.580000000016</v>
      </c>
      <c r="V517" s="184">
        <f>STDEV(D$2:D517)*SQRT(252)</f>
        <v>0.1386282991301003</v>
      </c>
      <c r="W517" s="184">
        <f>STDEV(L$2:L517)*SQRT(252)</f>
        <v>0.29813314270213698</v>
      </c>
      <c r="X517" s="174">
        <f t="shared" si="1188"/>
        <v>9.7565215937343477E-2</v>
      </c>
    </row>
    <row r="518" spans="1:24" ht="20.100000000000001" customHeight="1" x14ac:dyDescent="0.25">
      <c r="A518" s="163">
        <f t="shared" si="1568"/>
        <v>813</v>
      </c>
      <c r="B518" s="172">
        <v>43046</v>
      </c>
      <c r="C518" s="215">
        <v>2590.64</v>
      </c>
      <c r="D518" s="171">
        <f t="shared" ref="D518" si="1622">(C518-C517)/C517</f>
        <v>-1.891066831846478E-4</v>
      </c>
      <c r="E518" s="209">
        <f t="shared" ref="E518" si="1623">(C518-$C$2)/$C$2</f>
        <v>0.2322063887673369</v>
      </c>
      <c r="F518" s="219">
        <v>6767.78</v>
      </c>
      <c r="G518" s="171">
        <f t="shared" ref="G518" si="1624">(F518-F517)/F517</f>
        <v>-2.7481311971096064E-3</v>
      </c>
      <c r="H518" s="203">
        <f t="shared" ref="H518" si="1625">(F518-F$2)/F$2</f>
        <v>0.32917885971286603</v>
      </c>
      <c r="I518" s="221">
        <v>318506.81</v>
      </c>
      <c r="J518" s="173">
        <v>300000</v>
      </c>
      <c r="K518" s="173">
        <f t="shared" ref="K518" si="1626">I518-I517-J518+J517</f>
        <v>-892.77000000001863</v>
      </c>
      <c r="L518" s="171">
        <f t="shared" ref="L518" si="1627">K518/I517</f>
        <v>-2.7951508264350837E-3</v>
      </c>
      <c r="M518" s="182">
        <f t="shared" ref="M518" si="1628">I518-J518</f>
        <v>18506.809999999998</v>
      </c>
      <c r="N518" s="184">
        <f t="shared" ref="N518" si="1629">M518/J518</f>
        <v>6.1689366666666662E-2</v>
      </c>
      <c r="O518" s="183">
        <f t="shared" si="984"/>
        <v>2.7714687792127921E-2</v>
      </c>
      <c r="P518" s="182" t="b">
        <f t="shared" ref="P518" si="1630">L518&gt;D518</f>
        <v>0</v>
      </c>
      <c r="Q518" s="184">
        <f>COUNTIF(P$2:P518, TRUE)/(COUNTIF(P$2:P518,FALSE) + COUNTIF(P$2:P518, TRUE))</f>
        <v>0.48162475822050288</v>
      </c>
      <c r="R518" s="173">
        <v>271371.62</v>
      </c>
      <c r="S518" s="173">
        <f t="shared" ref="S518" si="1631">I518-R518</f>
        <v>47135.19</v>
      </c>
      <c r="T518" s="173">
        <v>-42963</v>
      </c>
      <c r="U518" s="173">
        <f t="shared" ref="U518" si="1632">M518-T518</f>
        <v>61469.81</v>
      </c>
      <c r="V518" s="184">
        <f>STDEV(D$2:D518)*SQRT(252)</f>
        <v>0.1384943496004884</v>
      </c>
      <c r="W518" s="184">
        <f>STDEV(L$2:L518)*SQRT(252)</f>
        <v>0.29785222799898087</v>
      </c>
      <c r="X518" s="174">
        <f t="shared" si="1188"/>
        <v>9.3048448817454374E-2</v>
      </c>
    </row>
    <row r="519" spans="1:24" ht="20.100000000000001" customHeight="1" x14ac:dyDescent="0.25">
      <c r="A519" s="163">
        <f t="shared" si="1568"/>
        <v>814</v>
      </c>
      <c r="B519" s="172">
        <v>43047</v>
      </c>
      <c r="C519" s="215">
        <v>2594.38</v>
      </c>
      <c r="D519" s="171">
        <f t="shared" ref="D519" si="1633">(C519-C518)/C518</f>
        <v>1.4436587098169706E-3</v>
      </c>
      <c r="E519" s="209">
        <f t="shared" ref="E519" si="1634">(C519-$C$2)/$C$2</f>
        <v>0.23398527425277299</v>
      </c>
      <c r="F519" s="219">
        <v>6789.11</v>
      </c>
      <c r="G519" s="171">
        <f t="shared" ref="G519" si="1635">(F519-F518)/F518</f>
        <v>3.1516981934991872E-3</v>
      </c>
      <c r="H519" s="203">
        <f t="shared" ref="H519" si="1636">(F519-F$2)/F$2</f>
        <v>0.33336803032386036</v>
      </c>
      <c r="I519" s="221">
        <v>317938.40999999997</v>
      </c>
      <c r="J519" s="173">
        <v>300000</v>
      </c>
      <c r="K519" s="173">
        <f t="shared" ref="K519" si="1637">I519-I518-J519+J518</f>
        <v>-568.40000000002328</v>
      </c>
      <c r="L519" s="171">
        <f t="shared" ref="L519" si="1638">K519/I518</f>
        <v>-1.7845772277208869E-3</v>
      </c>
      <c r="M519" s="182">
        <f t="shared" ref="M519" si="1639">I519-J519</f>
        <v>17938.409999999974</v>
      </c>
      <c r="N519" s="184">
        <f t="shared" ref="N519" si="1640">M519/J519</f>
        <v>5.9794699999999916E-2</v>
      </c>
      <c r="O519" s="183">
        <f t="shared" ref="O519:O546" si="1641">N519/(A519/365.25)</f>
        <v>2.6830484244471708E-2</v>
      </c>
      <c r="P519" s="182" t="b">
        <f t="shared" ref="P519" si="1642">L519&gt;D519</f>
        <v>0</v>
      </c>
      <c r="Q519" s="184">
        <f>COUNTIF(P$2:P519, TRUE)/(COUNTIF(P$2:P519,FALSE) + COUNTIF(P$2:P519, TRUE))</f>
        <v>0.48069498069498068</v>
      </c>
      <c r="R519" s="173">
        <v>271372.62</v>
      </c>
      <c r="S519" s="173">
        <f t="shared" ref="S519" si="1643">I519-R519</f>
        <v>46565.789999999979</v>
      </c>
      <c r="T519" s="173">
        <v>-42962</v>
      </c>
      <c r="U519" s="173">
        <f t="shared" ref="U519" si="1644">M519-T519</f>
        <v>60900.409999999974</v>
      </c>
      <c r="V519" s="184">
        <f>STDEV(D$2:D519)*SQRT(252)</f>
        <v>0.13836184953741584</v>
      </c>
      <c r="W519" s="184">
        <f>STDEV(L$2:L519)*SQRT(252)</f>
        <v>0.29756756692220915</v>
      </c>
      <c r="X519" s="174">
        <f t="shared" si="1188"/>
        <v>9.0166023542094562E-2</v>
      </c>
    </row>
    <row r="520" spans="1:24" ht="20.100000000000001" customHeight="1" x14ac:dyDescent="0.25">
      <c r="A520" s="163">
        <f t="shared" si="1568"/>
        <v>815</v>
      </c>
      <c r="B520" s="172">
        <v>43048</v>
      </c>
      <c r="C520" s="215">
        <v>2584.62</v>
      </c>
      <c r="D520" s="171">
        <f t="shared" ref="D520" si="1645">(C520-C519)/C519</f>
        <v>-3.761977813581749E-3</v>
      </c>
      <c r="E520" s="209">
        <f t="shared" ref="E520" si="1646">(C520-$C$2)/$C$2</f>
        <v>0.22934304902874747</v>
      </c>
      <c r="F520" s="219">
        <v>6750.05</v>
      </c>
      <c r="G520" s="171">
        <f t="shared" ref="G520" si="1647">(F520-F519)/F519</f>
        <v>-5.7533314381413014E-3</v>
      </c>
      <c r="H520" s="203">
        <f t="shared" ref="H520" si="1648">(F520-F$2)/F$2</f>
        <v>0.32569672211638556</v>
      </c>
      <c r="I520" s="221">
        <v>318455.09000000003</v>
      </c>
      <c r="J520" s="173">
        <v>300000</v>
      </c>
      <c r="K520" s="173">
        <f t="shared" ref="K520" si="1649">I520-I519-J520+J519</f>
        <v>516.68000000005122</v>
      </c>
      <c r="L520" s="171">
        <f t="shared" ref="L520" si="1650">K520/I519</f>
        <v>1.6250946213137672E-3</v>
      </c>
      <c r="M520" s="182">
        <f t="shared" ref="M520" si="1651">I520-J520</f>
        <v>18455.090000000026</v>
      </c>
      <c r="N520" s="184">
        <f t="shared" ref="N520" si="1652">M520/J520</f>
        <v>6.1516966666666749E-2</v>
      </c>
      <c r="O520" s="183">
        <f t="shared" si="1641"/>
        <v>2.7569413588957092E-2</v>
      </c>
      <c r="P520" s="182" t="b">
        <f t="shared" ref="P520" si="1653">L520&gt;D520</f>
        <v>1</v>
      </c>
      <c r="Q520" s="184">
        <f>COUNTIF(P$2:P520, TRUE)/(COUNTIF(P$2:P520,FALSE) + COUNTIF(P$2:P520, TRUE))</f>
        <v>0.48169556840077071</v>
      </c>
      <c r="R520" s="173">
        <v>267251.76</v>
      </c>
      <c r="S520" s="173">
        <f t="shared" ref="S520" si="1654">I520-R520</f>
        <v>51203.330000000016</v>
      </c>
      <c r="T520" s="173">
        <v>-41764</v>
      </c>
      <c r="U520" s="173">
        <f t="shared" ref="U520" si="1655">M520-T520</f>
        <v>60219.090000000026</v>
      </c>
      <c r="V520" s="184">
        <f>STDEV(D$2:D520)*SQRT(252)</f>
        <v>0.13825910776296965</v>
      </c>
      <c r="W520" s="184">
        <f>STDEV(L$2:L520)*SQRT(252)</f>
        <v>0.29728077984751194</v>
      </c>
      <c r="X520" s="174">
        <f t="shared" si="1188"/>
        <v>9.2738634509431206E-2</v>
      </c>
    </row>
    <row r="521" spans="1:24" ht="20.100000000000001" customHeight="1" x14ac:dyDescent="0.25">
      <c r="A521" s="163">
        <f t="shared" si="1568"/>
        <v>816</v>
      </c>
      <c r="B521" s="172">
        <v>43049</v>
      </c>
      <c r="C521" s="215">
        <v>2582.3000000000002</v>
      </c>
      <c r="D521" s="171">
        <f t="shared" ref="D521" si="1656">(C521-C520)/C520</f>
        <v>-8.9761744473064085E-4</v>
      </c>
      <c r="E521" s="209">
        <f t="shared" ref="E521" si="1657">(C521-$C$2)/$C$2</f>
        <v>0.2282395692623809</v>
      </c>
      <c r="F521" s="219">
        <v>6750.93</v>
      </c>
      <c r="G521" s="171">
        <f t="shared" ref="G521" si="1658">(F521-F520)/F520</f>
        <v>1.3036940467109267E-4</v>
      </c>
      <c r="H521" s="203">
        <f t="shared" ref="H521" si="1659">(F521-F$2)/F$2</f>
        <v>0.32586955240882232</v>
      </c>
      <c r="I521" s="221">
        <v>318102.55</v>
      </c>
      <c r="J521" s="173">
        <v>300000</v>
      </c>
      <c r="K521" s="173">
        <f t="shared" ref="K521" si="1660">I521-I520-J521+J520</f>
        <v>-352.54000000003725</v>
      </c>
      <c r="L521" s="171">
        <f t="shared" ref="L521" si="1661">K521/I520</f>
        <v>-1.1070320778984479E-3</v>
      </c>
      <c r="M521" s="182">
        <f t="shared" ref="M521" si="1662">I521-J521</f>
        <v>18102.549999999988</v>
      </c>
      <c r="N521" s="184">
        <f t="shared" ref="N521" si="1663">M521/J521</f>
        <v>6.0341833333333296E-2</v>
      </c>
      <c r="O521" s="183">
        <f t="shared" si="1641"/>
        <v>2.7009625765931359E-2</v>
      </c>
      <c r="P521" s="182" t="b">
        <f t="shared" ref="P521" si="1664">L521&gt;D521</f>
        <v>0</v>
      </c>
      <c r="Q521" s="184">
        <f>COUNTIF(P$2:P521, TRUE)/(COUNTIF(P$2:P521,FALSE) + COUNTIF(P$2:P521, TRUE))</f>
        <v>0.48076923076923078</v>
      </c>
      <c r="R521" s="173">
        <v>266899.21999999997</v>
      </c>
      <c r="S521" s="173">
        <f t="shared" ref="S521" si="1665">I521-R521</f>
        <v>51203.330000000016</v>
      </c>
      <c r="T521" s="173">
        <v>-41821</v>
      </c>
      <c r="U521" s="173">
        <f t="shared" ref="U521" si="1666">M521-T521</f>
        <v>59923.549999999988</v>
      </c>
      <c r="V521" s="184">
        <f>STDEV(D$2:D521)*SQRT(252)</f>
        <v>0.13812871674554664</v>
      </c>
      <c r="W521" s="184">
        <f>STDEV(L$2:L521)*SQRT(252)</f>
        <v>0.29699567117525927</v>
      </c>
      <c r="X521" s="174">
        <f t="shared" si="1188"/>
        <v>9.0942826402317448E-2</v>
      </c>
    </row>
    <row r="522" spans="1:24" ht="20.100000000000001" customHeight="1" x14ac:dyDescent="0.25">
      <c r="A522" s="163">
        <f t="shared" si="1568"/>
        <v>819</v>
      </c>
      <c r="B522" s="172">
        <v>43052</v>
      </c>
      <c r="C522" s="215">
        <v>2584.84</v>
      </c>
      <c r="D522" s="171">
        <f t="shared" ref="D522" si="1667">(C522-C521)/C521</f>
        <v>9.836192541532601E-4</v>
      </c>
      <c r="E522" s="209">
        <f t="shared" ref="E522" si="1668">(C522-$C$2)/$C$2</f>
        <v>0.22944768935142029</v>
      </c>
      <c r="F522" s="219">
        <v>6757.59</v>
      </c>
      <c r="G522" s="171">
        <f t="shared" ref="G522" si="1669">(F522-F521)/F521</f>
        <v>9.865307446529374E-4</v>
      </c>
      <c r="H522" s="203">
        <f t="shared" ref="H522" si="1670">(F522-F$2)/F$2</f>
        <v>0.32717756348567284</v>
      </c>
      <c r="I522" s="221">
        <v>317452.71000000002</v>
      </c>
      <c r="J522" s="173">
        <v>300000</v>
      </c>
      <c r="K522" s="173">
        <f t="shared" ref="K522" si="1671">I522-I521-J522+J521</f>
        <v>-649.8399999999674</v>
      </c>
      <c r="L522" s="171">
        <f t="shared" ref="L522" si="1672">K522/I521</f>
        <v>-2.0428632213101323E-3</v>
      </c>
      <c r="M522" s="182">
        <f t="shared" ref="M522" si="1673">I522-J522</f>
        <v>17452.710000000021</v>
      </c>
      <c r="N522" s="184">
        <f t="shared" ref="N522" si="1674">M522/J522</f>
        <v>5.8175700000000073E-2</v>
      </c>
      <c r="O522" s="183">
        <f t="shared" si="1641"/>
        <v>2.5944657417582447E-2</v>
      </c>
      <c r="P522" s="182" t="b">
        <f t="shared" ref="P522" si="1675">L522&gt;D522</f>
        <v>0</v>
      </c>
      <c r="Q522" s="184">
        <f>COUNTIF(P$2:P522, TRUE)/(COUNTIF(P$2:P522,FALSE) + COUNTIF(P$2:P522, TRUE))</f>
        <v>0.47984644913627639</v>
      </c>
      <c r="R522" s="173">
        <v>265423.46000000002</v>
      </c>
      <c r="S522" s="173">
        <f t="shared" ref="S522" si="1676">I522-R522</f>
        <v>52029.25</v>
      </c>
      <c r="T522" s="173">
        <v>-41650</v>
      </c>
      <c r="U522" s="173">
        <f t="shared" ref="U522" si="1677">M522-T522</f>
        <v>59102.710000000021</v>
      </c>
      <c r="V522" s="184">
        <f>STDEV(D$2:D522)*SQRT(252)</f>
        <v>0.13799611122091809</v>
      </c>
      <c r="W522" s="184">
        <f>STDEV(L$2:L522)*SQRT(252)</f>
        <v>0.2967144709504862</v>
      </c>
      <c r="X522" s="174">
        <f t="shared" si="1188"/>
        <v>8.7439811528140551E-2</v>
      </c>
    </row>
    <row r="523" spans="1:24" ht="20.100000000000001" customHeight="1" x14ac:dyDescent="0.25">
      <c r="A523" s="163">
        <f t="shared" si="1568"/>
        <v>820</v>
      </c>
      <c r="B523" s="172">
        <v>43053</v>
      </c>
      <c r="C523" s="215">
        <v>2578.87</v>
      </c>
      <c r="D523" s="171">
        <f t="shared" ref="D523" si="1678">(C523-C522)/C522</f>
        <v>-2.309620711533501E-3</v>
      </c>
      <c r="E523" s="209">
        <f t="shared" ref="E523" si="1679">(C523-$C$2)/$C$2</f>
        <v>0.22660813150434725</v>
      </c>
      <c r="F523" s="219">
        <v>6737.87</v>
      </c>
      <c r="G523" s="171">
        <f t="shared" ref="G523" si="1680">(F523-F522)/F522</f>
        <v>-2.9182001275603071E-3</v>
      </c>
      <c r="H523" s="203">
        <f t="shared" ref="H523" si="1681">(F523-F$2)/F$2</f>
        <v>0.32330459375061377</v>
      </c>
      <c r="I523" s="221">
        <v>315348.65000000002</v>
      </c>
      <c r="J523" s="173">
        <v>300000</v>
      </c>
      <c r="K523" s="173">
        <f t="shared" ref="K523" si="1682">I523-I522-J523+J522</f>
        <v>-2104.0599999999977</v>
      </c>
      <c r="L523" s="171">
        <f t="shared" ref="L523" si="1683">K523/I522</f>
        <v>-6.627947828827788E-3</v>
      </c>
      <c r="M523" s="182">
        <f t="shared" ref="M523" si="1684">I523-J523</f>
        <v>15348.650000000023</v>
      </c>
      <c r="N523" s="184">
        <f t="shared" ref="N523" si="1685">M523/J523</f>
        <v>5.1162166666666745E-2</v>
      </c>
      <c r="O523" s="183">
        <f t="shared" si="1641"/>
        <v>2.2789001676829301E-2</v>
      </c>
      <c r="P523" s="182" t="b">
        <f t="shared" ref="P523" si="1686">L523&gt;D523</f>
        <v>0</v>
      </c>
      <c r="Q523" s="184">
        <f>COUNTIF(P$2:P523, TRUE)/(COUNTIF(P$2:P523,FALSE) + COUNTIF(P$2:P523, TRUE))</f>
        <v>0.47892720306513409</v>
      </c>
      <c r="R523" s="173">
        <v>264335.06</v>
      </c>
      <c r="S523" s="173">
        <f t="shared" ref="S523" si="1687">I523-R523</f>
        <v>51013.590000000026</v>
      </c>
      <c r="T523" s="173">
        <v>-42023</v>
      </c>
      <c r="U523" s="173">
        <f t="shared" ref="U523" si="1688">M523-T523</f>
        <v>57371.650000000023</v>
      </c>
      <c r="V523" s="184">
        <f>STDEV(D$2:D523)*SQRT(252)</f>
        <v>0.13787657219144886</v>
      </c>
      <c r="W523" s="184">
        <f>STDEV(L$2:L523)*SQRT(252)</f>
        <v>0.29646980505097381</v>
      </c>
      <c r="X523" s="174">
        <f t="shared" si="1188"/>
        <v>7.6867867447449001E-2</v>
      </c>
    </row>
    <row r="524" spans="1:24" ht="20.100000000000001" customHeight="1" x14ac:dyDescent="0.25">
      <c r="A524" s="163">
        <f t="shared" si="1568"/>
        <v>821</v>
      </c>
      <c r="B524" s="172">
        <v>43054</v>
      </c>
      <c r="C524" s="215">
        <v>2564.62</v>
      </c>
      <c r="D524" s="171">
        <f t="shared" ref="D524" si="1689">(C524-C523)/C523</f>
        <v>-5.5256759743608636E-3</v>
      </c>
      <c r="E524" s="209">
        <f t="shared" ref="E524" si="1690">(C524-$C$2)/$C$2</f>
        <v>0.219830292422138</v>
      </c>
      <c r="F524" s="219">
        <v>6706.2</v>
      </c>
      <c r="G524" s="171">
        <f t="shared" ref="G524" si="1691">(F524-F523)/F523</f>
        <v>-4.7002984622736971E-3</v>
      </c>
      <c r="H524" s="203">
        <f t="shared" ref="H524" si="1692">(F524-F$2)/F$2</f>
        <v>0.31708466720348805</v>
      </c>
      <c r="I524" s="221">
        <v>313226.95</v>
      </c>
      <c r="J524" s="173">
        <v>300000</v>
      </c>
      <c r="K524" s="173">
        <f t="shared" ref="K524" si="1693">I524-I523-J524+J523</f>
        <v>-2121.7000000000116</v>
      </c>
      <c r="L524" s="171">
        <f t="shared" ref="L524" si="1694">K524/I523</f>
        <v>-6.7281087139583803E-3</v>
      </c>
      <c r="M524" s="182">
        <f t="shared" ref="M524" si="1695">I524-J524</f>
        <v>13226.950000000012</v>
      </c>
      <c r="N524" s="184">
        <f t="shared" ref="N524" si="1696">M524/J524</f>
        <v>4.408983333333337E-2</v>
      </c>
      <c r="O524" s="183">
        <f t="shared" si="1641"/>
        <v>1.9614874086479918E-2</v>
      </c>
      <c r="P524" s="182" t="b">
        <f t="shared" ref="P524" si="1697">L524&gt;D524</f>
        <v>0</v>
      </c>
      <c r="Q524" s="184">
        <f>COUNTIF(P$2:P524, TRUE)/(COUNTIF(P$2:P524,FALSE) + COUNTIF(P$2:P524, TRUE))</f>
        <v>0.47801147227533458</v>
      </c>
      <c r="R524" s="173">
        <v>262213.36</v>
      </c>
      <c r="S524" s="173">
        <f t="shared" ref="S524" si="1698">I524-R524</f>
        <v>51013.590000000026</v>
      </c>
      <c r="T524" s="173">
        <v>-42790</v>
      </c>
      <c r="U524" s="173">
        <f t="shared" ref="U524" si="1699">M524-T524</f>
        <v>56016.950000000012</v>
      </c>
      <c r="V524" s="184">
        <f>STDEV(D$2:D524)*SQRT(252)</f>
        <v>0.13780632580778587</v>
      </c>
      <c r="W524" s="184">
        <f>STDEV(L$2:L524)*SQRT(252)</f>
        <v>0.29622688136541453</v>
      </c>
      <c r="X524" s="174">
        <f t="shared" si="1188"/>
        <v>6.6215712753913566E-2</v>
      </c>
    </row>
    <row r="525" spans="1:24" ht="20.100000000000001" customHeight="1" x14ac:dyDescent="0.25">
      <c r="A525" s="163">
        <f t="shared" si="1568"/>
        <v>822</v>
      </c>
      <c r="B525" s="172">
        <v>43055</v>
      </c>
      <c r="C525" s="215">
        <v>2585.64</v>
      </c>
      <c r="D525" s="171">
        <f t="shared" ref="D525" si="1700">(C525-C524)/C524</f>
        <v>8.1961460177336146E-3</v>
      </c>
      <c r="E525" s="209">
        <f t="shared" ref="E525" si="1701">(C525-$C$2)/$C$2</f>
        <v>0.22982819961568454</v>
      </c>
      <c r="F525" s="219">
        <v>6793.29</v>
      </c>
      <c r="G525" s="171">
        <f t="shared" ref="G525" si="1702">(F525-F524)/F524</f>
        <v>1.2986490113626219E-2</v>
      </c>
      <c r="H525" s="203">
        <f t="shared" ref="H525" si="1703">(F525-F$2)/F$2</f>
        <v>0.33418897421293481</v>
      </c>
      <c r="I525" s="221">
        <v>314306.15000000002</v>
      </c>
      <c r="J525" s="173">
        <v>300000</v>
      </c>
      <c r="K525" s="173">
        <f t="shared" ref="K525" si="1704">I525-I524-J525+J524</f>
        <v>1079.2000000000116</v>
      </c>
      <c r="L525" s="171">
        <f t="shared" ref="L525:L535" si="1705">K525/I524</f>
        <v>3.4454251142821894E-3</v>
      </c>
      <c r="M525" s="182">
        <f t="shared" ref="M525" si="1706">I525-J525</f>
        <v>14306.150000000023</v>
      </c>
      <c r="N525" s="184">
        <f t="shared" ref="N525" si="1707">M525/J525</f>
        <v>4.7687166666666746E-2</v>
      </c>
      <c r="O525" s="183">
        <f t="shared" si="1641"/>
        <v>2.1189461830900279E-2</v>
      </c>
      <c r="P525" s="182" t="b">
        <f t="shared" ref="P525" si="1708">L525&gt;D525</f>
        <v>0</v>
      </c>
      <c r="Q525" s="184">
        <f>COUNTIF(P$2:P525, TRUE)/(COUNTIF(P$2:P525,FALSE) + COUNTIF(P$2:P525, TRUE))</f>
        <v>0.47709923664122139</v>
      </c>
      <c r="R525" s="173">
        <v>263292.56</v>
      </c>
      <c r="S525" s="173">
        <f t="shared" ref="S525" si="1709">I525-R525</f>
        <v>51013.590000000026</v>
      </c>
      <c r="T525" s="173">
        <v>-41450</v>
      </c>
      <c r="U525" s="173">
        <f t="shared" ref="U525" si="1710">M525-T525</f>
        <v>55756.150000000023</v>
      </c>
      <c r="V525" s="184">
        <f>STDEV(D$2:D525)*SQRT(252)</f>
        <v>0.13778008469132433</v>
      </c>
      <c r="W525" s="184">
        <f>STDEV(L$2:L525)*SQRT(252)</f>
        <v>0.29595048173151545</v>
      </c>
      <c r="X525" s="174">
        <f t="shared" si="1188"/>
        <v>7.1597997431621804E-2</v>
      </c>
    </row>
    <row r="526" spans="1:24" ht="20.100000000000001" customHeight="1" x14ac:dyDescent="0.25">
      <c r="A526" s="163">
        <f t="shared" si="1568"/>
        <v>823</v>
      </c>
      <c r="B526" s="172">
        <v>43056</v>
      </c>
      <c r="C526" s="215">
        <v>2578.85</v>
      </c>
      <c r="D526" s="171">
        <f t="shared" ref="D526:D535" si="1711">(C526-C525)/C525</f>
        <v>-2.626042295137747E-3</v>
      </c>
      <c r="E526" s="209">
        <f t="shared" ref="E526" si="1712">(C526-$C$2)/$C$2</f>
        <v>0.22659861874774065</v>
      </c>
      <c r="F526" s="219">
        <v>6782.79</v>
      </c>
      <c r="G526" s="171">
        <f t="shared" ref="G526:G535" si="1713">(F526-F525)/F525</f>
        <v>-1.5456428328541841E-3</v>
      </c>
      <c r="H526" s="203">
        <f t="shared" ref="H526:H531" si="1714">(F526-F$2)/F$2</f>
        <v>0.33212679458726951</v>
      </c>
      <c r="I526" s="221">
        <v>321104.7</v>
      </c>
      <c r="J526" s="173">
        <v>300000</v>
      </c>
      <c r="K526" s="173">
        <f t="shared" ref="K526:K531" si="1715">I526-I525-J526+J525</f>
        <v>6798.5499999999884</v>
      </c>
      <c r="L526" s="171">
        <f t="shared" si="1705"/>
        <v>2.1630343536071399E-2</v>
      </c>
      <c r="M526" s="182">
        <f t="shared" ref="M526" si="1716">I526-J526</f>
        <v>21104.700000000012</v>
      </c>
      <c r="N526" s="184">
        <f t="shared" ref="N526" si="1717">M526/J526</f>
        <v>7.0349000000000037E-2</v>
      </c>
      <c r="O526" s="183">
        <f t="shared" si="1641"/>
        <v>3.1221108444714474E-2</v>
      </c>
      <c r="P526" s="182" t="b">
        <f t="shared" ref="P526" si="1718">L526&gt;D526</f>
        <v>1</v>
      </c>
      <c r="Q526" s="184">
        <f>COUNTIF(P$2:P526, TRUE)/(COUNTIF(P$2:P526,FALSE) + COUNTIF(P$2:P526, TRUE))</f>
        <v>0.47809523809523807</v>
      </c>
      <c r="R526" s="173">
        <v>265575.21000000002</v>
      </c>
      <c r="S526" s="173">
        <f t="shared" ref="S526" si="1719">I526-R526</f>
        <v>55529.489999999991</v>
      </c>
      <c r="T526" s="173">
        <v>-39110</v>
      </c>
      <c r="U526" s="173">
        <f t="shared" ref="U526" si="1720">M526-T526</f>
        <v>60214.700000000012</v>
      </c>
      <c r="V526" s="184">
        <f>STDEV(D$2:D526)*SQRT(252)</f>
        <v>0.13766464845192211</v>
      </c>
      <c r="W526" s="184">
        <f>STDEV(L$2:L526)*SQRT(252)</f>
        <v>0.2960330501805109</v>
      </c>
      <c r="X526" s="174">
        <f t="shared" si="1188"/>
        <v>0.10546494192346734</v>
      </c>
    </row>
    <row r="527" spans="1:24" ht="20.100000000000001" customHeight="1" x14ac:dyDescent="0.25">
      <c r="A527" s="163">
        <f t="shared" si="1568"/>
        <v>826</v>
      </c>
      <c r="B527" s="172">
        <v>43059</v>
      </c>
      <c r="C527" s="215">
        <v>2582.14</v>
      </c>
      <c r="D527" s="171">
        <f t="shared" si="1711"/>
        <v>1.2757624522558365E-3</v>
      </c>
      <c r="E527" s="209">
        <f t="shared" ref="E527" si="1721">(C527-$C$2)/$C$2</f>
        <v>0.22816346720952788</v>
      </c>
      <c r="F527" s="219">
        <v>6790.71</v>
      </c>
      <c r="G527" s="171">
        <f t="shared" si="1713"/>
        <v>1.1676610952130425E-3</v>
      </c>
      <c r="H527" s="203">
        <f t="shared" si="1714"/>
        <v>0.33368226721919991</v>
      </c>
      <c r="I527" s="221">
        <v>317244.77</v>
      </c>
      <c r="J527" s="173">
        <v>300000</v>
      </c>
      <c r="K527" s="173">
        <f t="shared" si="1715"/>
        <v>-3859.929999999993</v>
      </c>
      <c r="L527" s="171">
        <f t="shared" si="1705"/>
        <v>-1.2020783252316123E-2</v>
      </c>
      <c r="M527" s="182">
        <f t="shared" ref="M527" si="1722">I527-J527</f>
        <v>17244.770000000019</v>
      </c>
      <c r="N527" s="184">
        <f t="shared" ref="N527" si="1723">M527/J527</f>
        <v>5.7482566666666728E-2</v>
      </c>
      <c r="O527" s="183">
        <f t="shared" si="1641"/>
        <v>2.5418289921307534E-2</v>
      </c>
      <c r="P527" s="182" t="b">
        <f t="shared" ref="P527" si="1724">L527&gt;D527</f>
        <v>0</v>
      </c>
      <c r="Q527" s="184">
        <f>COUNTIF(P$2:P527, TRUE)/(COUNTIF(P$2:P527,FALSE) + COUNTIF(P$2:P527, TRUE))</f>
        <v>0.47718631178707227</v>
      </c>
      <c r="R527" s="173">
        <v>269452.65000000002</v>
      </c>
      <c r="S527" s="173">
        <f t="shared" ref="S527" si="1725">I527-R527</f>
        <v>47792.119999999995</v>
      </c>
      <c r="T527" s="173">
        <v>-39516</v>
      </c>
      <c r="U527" s="173">
        <f t="shared" ref="U527" si="1726">M527-T527</f>
        <v>56760.770000000019</v>
      </c>
      <c r="V527" s="184">
        <f>STDEV(D$2:D527)*SQRT(252)</f>
        <v>0.13753448250442588</v>
      </c>
      <c r="W527" s="184">
        <f>STDEV(L$2:L527)*SQRT(252)</f>
        <v>0.29587683509559043</v>
      </c>
      <c r="X527" s="174">
        <f t="shared" si="1188"/>
        <v>8.5908347346947647E-2</v>
      </c>
    </row>
    <row r="528" spans="1:24" ht="20.100000000000001" customHeight="1" x14ac:dyDescent="0.25">
      <c r="A528" s="163">
        <f t="shared" si="1568"/>
        <v>827</v>
      </c>
      <c r="B528" s="172">
        <v>43060</v>
      </c>
      <c r="C528" s="215">
        <v>2599.0300000000002</v>
      </c>
      <c r="D528" s="171">
        <f t="shared" si="1711"/>
        <v>6.5410860758906677E-3</v>
      </c>
      <c r="E528" s="209">
        <f t="shared" ref="E528" si="1727">(C528-$C$2)/$C$2</f>
        <v>0.23619699016380974</v>
      </c>
      <c r="F528" s="219">
        <v>6862.47</v>
      </c>
      <c r="G528" s="171">
        <f t="shared" si="1713"/>
        <v>1.0567378079758997E-2</v>
      </c>
      <c r="H528" s="203">
        <f t="shared" si="1714"/>
        <v>0.34777579197517539</v>
      </c>
      <c r="I528" s="221">
        <v>314456.46999999997</v>
      </c>
      <c r="J528" s="173">
        <v>300000</v>
      </c>
      <c r="K528" s="173">
        <f t="shared" si="1715"/>
        <v>-2788.3000000000466</v>
      </c>
      <c r="L528" s="171">
        <f t="shared" si="1705"/>
        <v>-8.7891125833218509E-3</v>
      </c>
      <c r="M528" s="182">
        <f t="shared" ref="M528" si="1728">I528-J528</f>
        <v>14456.469999999972</v>
      </c>
      <c r="N528" s="184">
        <f t="shared" ref="N528" si="1729">M528/J528</f>
        <v>4.818823333333324E-2</v>
      </c>
      <c r="O528" s="183">
        <f t="shared" si="1641"/>
        <v>2.1282650816203105E-2</v>
      </c>
      <c r="P528" s="182" t="b">
        <f t="shared" ref="P528" si="1730">L528&gt;D528</f>
        <v>0</v>
      </c>
      <c r="Q528" s="184">
        <f>COUNTIF(P$2:P528, TRUE)/(COUNTIF(P$2:P528,FALSE) + COUNTIF(P$2:P528, TRUE))</f>
        <v>0.47628083491461098</v>
      </c>
      <c r="R528" s="173">
        <v>265189.45</v>
      </c>
      <c r="S528" s="173">
        <f t="shared" ref="S528" si="1731">I528-R528</f>
        <v>49267.01999999996</v>
      </c>
      <c r="T528" s="173">
        <v>-40292</v>
      </c>
      <c r="U528" s="173">
        <f t="shared" ref="U528" si="1732">M528-T528</f>
        <v>54748.469999999972</v>
      </c>
      <c r="V528" s="184">
        <f>STDEV(D$2:D528)*SQRT(252)</f>
        <v>0.1374685486648749</v>
      </c>
      <c r="W528" s="184">
        <f>STDEV(L$2:L528)*SQRT(252)</f>
        <v>0.29566388479473038</v>
      </c>
      <c r="X528" s="174">
        <f t="shared" si="1188"/>
        <v>7.1982585329888854E-2</v>
      </c>
    </row>
    <row r="529" spans="1:24" ht="20.100000000000001" customHeight="1" x14ac:dyDescent="0.25">
      <c r="A529" s="163">
        <f t="shared" si="1568"/>
        <v>828</v>
      </c>
      <c r="B529" s="172">
        <v>43061</v>
      </c>
      <c r="C529" s="215">
        <v>2597.08</v>
      </c>
      <c r="D529" s="171">
        <f t="shared" si="1711"/>
        <v>-7.5027991212116545E-4</v>
      </c>
      <c r="E529" s="209">
        <f t="shared" ref="E529" si="1733">(C529-$C$2)/$C$2</f>
        <v>0.23526949639466518</v>
      </c>
      <c r="F529" s="219">
        <v>6867.36</v>
      </c>
      <c r="G529" s="171">
        <f t="shared" si="1713"/>
        <v>7.1257142107716582E-4</v>
      </c>
      <c r="H529" s="203">
        <f t="shared" si="1714"/>
        <v>0.34873617848655653</v>
      </c>
      <c r="I529" s="221">
        <v>318417.02</v>
      </c>
      <c r="J529" s="173">
        <v>300000</v>
      </c>
      <c r="K529" s="173">
        <f t="shared" si="1715"/>
        <v>3960.5500000000466</v>
      </c>
      <c r="L529" s="171">
        <f t="shared" si="1705"/>
        <v>1.259490701527002E-2</v>
      </c>
      <c r="M529" s="182">
        <f t="shared" ref="M529" si="1734">I529-J529</f>
        <v>18417.020000000019</v>
      </c>
      <c r="N529" s="184">
        <f t="shared" ref="N529" si="1735">M529/J529</f>
        <v>6.1390066666666729E-2</v>
      </c>
      <c r="O529" s="183">
        <f t="shared" si="1641"/>
        <v>2.7080581944444473E-2</v>
      </c>
      <c r="P529" s="182" t="b">
        <f t="shared" ref="P529" si="1736">L529&gt;D529</f>
        <v>1</v>
      </c>
      <c r="Q529" s="184">
        <f>COUNTIF(P$2:P529, TRUE)/(COUNTIF(P$2:P529,FALSE) + COUNTIF(P$2:P529, TRUE))</f>
        <v>0.47727272727272729</v>
      </c>
      <c r="R529" s="173">
        <v>269150</v>
      </c>
      <c r="S529" s="173">
        <f t="shared" ref="S529" si="1737">I529-R529</f>
        <v>49267.020000000019</v>
      </c>
      <c r="T529" s="173">
        <v>-40272</v>
      </c>
      <c r="U529" s="173">
        <f t="shared" ref="U529" si="1738">M529-T529</f>
        <v>58689.020000000019</v>
      </c>
      <c r="V529" s="184">
        <f>STDEV(D$2:D529)*SQRT(252)</f>
        <v>0.13734028165816675</v>
      </c>
      <c r="W529" s="184">
        <f>STDEV(L$2:L529)*SQRT(252)</f>
        <v>0.29550266839423467</v>
      </c>
      <c r="X529" s="174">
        <f t="shared" si="1188"/>
        <v>9.1642427770959586E-2</v>
      </c>
    </row>
    <row r="530" spans="1:24" ht="20.100000000000001" customHeight="1" x14ac:dyDescent="0.25">
      <c r="A530" s="163">
        <f t="shared" si="1568"/>
        <v>830</v>
      </c>
      <c r="B530" s="172">
        <v>43063</v>
      </c>
      <c r="C530" s="215">
        <v>2602.42</v>
      </c>
      <c r="D530" s="171">
        <f t="shared" si="1711"/>
        <v>2.0561553744975689E-3</v>
      </c>
      <c r="E530" s="209">
        <f t="shared" ref="E530" si="1739">(C530-$C$2)/$C$2</f>
        <v>0.23780940240862997</v>
      </c>
      <c r="F530" s="219">
        <v>6889.16</v>
      </c>
      <c r="G530" s="171">
        <f t="shared" si="1713"/>
        <v>3.1744367559004018E-3</v>
      </c>
      <c r="H530" s="203">
        <f t="shared" si="1714"/>
        <v>0.35301765618555692</v>
      </c>
      <c r="I530" s="221">
        <v>319044.73</v>
      </c>
      <c r="J530" s="173">
        <v>300000</v>
      </c>
      <c r="K530" s="173">
        <f t="shared" si="1715"/>
        <v>627.70999999996275</v>
      </c>
      <c r="L530" s="171">
        <f t="shared" si="1705"/>
        <v>1.9713456271902886E-3</v>
      </c>
      <c r="M530" s="182">
        <f t="shared" ref="M530" si="1740">I530-J530</f>
        <v>19044.729999999981</v>
      </c>
      <c r="N530" s="184">
        <f t="shared" ref="N530" si="1741">M530/J530</f>
        <v>6.3482433333333269E-2</v>
      </c>
      <c r="O530" s="183">
        <f t="shared" si="1641"/>
        <v>2.7936094909638529E-2</v>
      </c>
      <c r="P530" s="182" t="b">
        <f t="shared" ref="P530" si="1742">L530&gt;D530</f>
        <v>0</v>
      </c>
      <c r="Q530" s="184">
        <f>COUNTIF(P$2:P530, TRUE)/(COUNTIF(P$2:P530,FALSE) + COUNTIF(P$2:P530, TRUE))</f>
        <v>0.47637051039697542</v>
      </c>
      <c r="R530" s="173">
        <v>266201.84999999998</v>
      </c>
      <c r="S530" s="173">
        <f t="shared" ref="S530" si="1743">I530-R530</f>
        <v>52842.880000000005</v>
      </c>
      <c r="T530" s="173">
        <v>-39912</v>
      </c>
      <c r="U530" s="173">
        <f t="shared" ref="U530" si="1744">M530-T530</f>
        <v>58956.729999999981</v>
      </c>
      <c r="V530" s="184">
        <f>STDEV(D$2:D530)*SQRT(252)</f>
        <v>0.13721446818561206</v>
      </c>
      <c r="W530" s="184">
        <f>STDEV(L$2:L530)*SQRT(252)</f>
        <v>0.29522406153940112</v>
      </c>
      <c r="X530" s="174">
        <f t="shared" si="1188"/>
        <v>9.4626754892436604E-2</v>
      </c>
    </row>
    <row r="531" spans="1:24" ht="20.100000000000001" customHeight="1" x14ac:dyDescent="0.25">
      <c r="A531" s="163">
        <f t="shared" si="1568"/>
        <v>833</v>
      </c>
      <c r="B531" s="172">
        <v>43066</v>
      </c>
      <c r="C531" s="215">
        <v>2601.42</v>
      </c>
      <c r="D531" s="171">
        <f t="shared" si="1711"/>
        <v>-3.8425772934422574E-4</v>
      </c>
      <c r="E531" s="209">
        <f t="shared" ref="E531" si="1745">(C531-$C$2)/$C$2</f>
        <v>0.23733376457829949</v>
      </c>
      <c r="F531" s="219">
        <v>6878.52</v>
      </c>
      <c r="G531" s="171">
        <f t="shared" si="1713"/>
        <v>-1.5444553472410887E-3</v>
      </c>
      <c r="H531" s="203">
        <f t="shared" si="1714"/>
        <v>0.35092798083154952</v>
      </c>
      <c r="I531" s="221">
        <v>316554.36</v>
      </c>
      <c r="J531" s="173">
        <v>300000</v>
      </c>
      <c r="K531" s="173">
        <f t="shared" si="1715"/>
        <v>-2490.3699999999953</v>
      </c>
      <c r="L531" s="171">
        <f t="shared" si="1705"/>
        <v>-7.8057079958662708E-3</v>
      </c>
      <c r="M531" s="182">
        <f t="shared" ref="M531" si="1746">I531-J531</f>
        <v>16554.359999999986</v>
      </c>
      <c r="N531" s="184">
        <f t="shared" ref="N531" si="1747">M531/J531</f>
        <v>5.5181199999999951E-2</v>
      </c>
      <c r="O531" s="183">
        <f t="shared" si="1641"/>
        <v>2.4195598199279689E-2</v>
      </c>
      <c r="P531" s="182" t="b">
        <f t="shared" ref="P531" si="1748">L531&gt;D531</f>
        <v>0</v>
      </c>
      <c r="Q531" s="184">
        <f>COUNTIF(P$2:P531, TRUE)/(COUNTIF(P$2:P531,FALSE) + COUNTIF(P$2:P531, TRUE))</f>
        <v>0.47547169811320755</v>
      </c>
      <c r="R531" s="173">
        <v>260753.55</v>
      </c>
      <c r="S531" s="173">
        <f t="shared" ref="S531" si="1749">I531-R531</f>
        <v>55800.81</v>
      </c>
      <c r="T531" s="173">
        <v>-39552</v>
      </c>
      <c r="U531" s="173">
        <f t="shared" ref="U531" si="1750">M531-T531</f>
        <v>56106.359999999986</v>
      </c>
      <c r="V531" s="184">
        <f>STDEV(D$2:D531)*SQRT(252)</f>
        <v>0.13708565300302389</v>
      </c>
      <c r="W531" s="184">
        <f>STDEV(L$2:L531)*SQRT(252)</f>
        <v>0.29499933504599252</v>
      </c>
      <c r="X531" s="174">
        <f t="shared" si="1188"/>
        <v>8.2019161824576386E-2</v>
      </c>
    </row>
    <row r="532" spans="1:24" ht="20.100000000000001" customHeight="1" x14ac:dyDescent="0.25">
      <c r="A532" s="163">
        <f t="shared" si="1568"/>
        <v>834</v>
      </c>
      <c r="B532" s="172">
        <v>43067</v>
      </c>
      <c r="C532" s="215">
        <v>2627.04</v>
      </c>
      <c r="D532" s="171">
        <f t="shared" si="1711"/>
        <v>9.8484673755102562E-3</v>
      </c>
      <c r="E532" s="209">
        <f t="shared" ref="E532" si="1751">(C532-$C$2)/$C$2</f>
        <v>0.24951960579136617</v>
      </c>
      <c r="F532" s="219">
        <v>6912.35</v>
      </c>
      <c r="G532" s="171">
        <f t="shared" si="1713"/>
        <v>4.9182091496426444E-3</v>
      </c>
      <c r="H532" s="203">
        <f t="shared" ref="H532" si="1752">(F532-F$2)/F$2</f>
        <v>0.35757212718738351</v>
      </c>
      <c r="I532" s="221">
        <v>320874.51</v>
      </c>
      <c r="J532" s="173">
        <v>300000</v>
      </c>
      <c r="K532" s="173">
        <f t="shared" ref="K532" si="1753">I532-I531-J532+J531</f>
        <v>4320.1500000000233</v>
      </c>
      <c r="L532" s="171">
        <f t="shared" si="1705"/>
        <v>1.364741904044545E-2</v>
      </c>
      <c r="M532" s="182">
        <f t="shared" ref="M532" si="1754">I532-J532</f>
        <v>20874.510000000009</v>
      </c>
      <c r="N532" s="184">
        <f t="shared" ref="N532" si="1755">M532/J532</f>
        <v>6.9581700000000038E-2</v>
      </c>
      <c r="O532" s="183">
        <f t="shared" si="1641"/>
        <v>3.0473280485611525E-2</v>
      </c>
      <c r="P532" s="182" t="b">
        <f t="shared" ref="P532" si="1756">L532&gt;D532</f>
        <v>1</v>
      </c>
      <c r="Q532" s="184">
        <f>COUNTIF(P$2:P532, TRUE)/(COUNTIF(P$2:P532,FALSE) + COUNTIF(P$2:P532, TRUE))</f>
        <v>0.47645951035781542</v>
      </c>
      <c r="R532" s="173">
        <v>265073.7</v>
      </c>
      <c r="S532" s="173">
        <f t="shared" ref="S532" si="1757">I532-R532</f>
        <v>55800.81</v>
      </c>
      <c r="T532" s="173">
        <v>-38368</v>
      </c>
      <c r="U532" s="173">
        <f t="shared" ref="U532" si="1758">M532-T532</f>
        <v>59242.510000000009</v>
      </c>
      <c r="V532" s="184">
        <f>STDEV(D$2:D532)*SQRT(252)</f>
        <v>0.13710959839796619</v>
      </c>
      <c r="W532" s="184">
        <f>STDEV(L$2:L532)*SQRT(252)</f>
        <v>0.29486126793955258</v>
      </c>
      <c r="X532" s="174">
        <f t="shared" si="1188"/>
        <v>0.10334785812512559</v>
      </c>
    </row>
    <row r="533" spans="1:24" ht="20.100000000000001" customHeight="1" x14ac:dyDescent="0.25">
      <c r="A533" s="163">
        <f t="shared" si="1568"/>
        <v>835</v>
      </c>
      <c r="B533" s="172">
        <v>43068</v>
      </c>
      <c r="C533" s="215">
        <v>2626.07</v>
      </c>
      <c r="D533" s="171">
        <f t="shared" si="1711"/>
        <v>-3.6923685973559592E-4</v>
      </c>
      <c r="E533" s="209">
        <f t="shared" ref="E533" si="1759">(C533-$C$2)/$C$2</f>
        <v>0.24905823709594571</v>
      </c>
      <c r="F533" s="219">
        <v>6824.38</v>
      </c>
      <c r="G533" s="171">
        <f t="shared" si="1713"/>
        <v>-1.2726496777506962E-2</v>
      </c>
      <c r="H533" s="203">
        <f t="shared" ref="H533" si="1760">(F533-F$2)/F$2</f>
        <v>0.3402949898855</v>
      </c>
      <c r="I533" s="221">
        <v>325656.67</v>
      </c>
      <c r="J533" s="173">
        <v>300000</v>
      </c>
      <c r="K533" s="173">
        <f t="shared" ref="K533" si="1761">I533-I532-J533+J532</f>
        <v>4782.1599999999744</v>
      </c>
      <c r="L533" s="171">
        <f t="shared" si="1705"/>
        <v>1.4903521005766317E-2</v>
      </c>
      <c r="M533" s="182">
        <f t="shared" ref="M533" si="1762">I533-J533</f>
        <v>25656.669999999984</v>
      </c>
      <c r="N533" s="184">
        <f t="shared" ref="N533" si="1763">M533/J533</f>
        <v>8.5522233333333281E-2</v>
      </c>
      <c r="O533" s="183">
        <f t="shared" si="1641"/>
        <v>3.7409575718562849E-2</v>
      </c>
      <c r="P533" s="182" t="b">
        <f t="shared" ref="P533" si="1764">L533&gt;D533</f>
        <v>1</v>
      </c>
      <c r="Q533" s="184">
        <f>COUNTIF(P$2:P533, TRUE)/(COUNTIF(P$2:P533,FALSE) + COUNTIF(P$2:P533, TRUE))</f>
        <v>0.47744360902255639</v>
      </c>
      <c r="R533" s="173">
        <v>253485</v>
      </c>
      <c r="S533" s="173">
        <f t="shared" ref="S533" si="1765">I533-R533</f>
        <v>72171.669999999984</v>
      </c>
      <c r="T533" s="173">
        <v>-37392</v>
      </c>
      <c r="U533" s="173">
        <f t="shared" ref="U533" si="1766">M533-T533</f>
        <v>63048.669999999984</v>
      </c>
      <c r="V533" s="184">
        <f>STDEV(D$2:D533)*SQRT(252)</f>
        <v>0.13698137278007791</v>
      </c>
      <c r="W533" s="184">
        <f>STDEV(L$2:L533)*SQRT(252)</f>
        <v>0.29475108064348648</v>
      </c>
      <c r="X533" s="174">
        <f t="shared" si="1188"/>
        <v>0.12691921480624277</v>
      </c>
    </row>
    <row r="534" spans="1:24" ht="20.100000000000001" customHeight="1" x14ac:dyDescent="0.25">
      <c r="A534" s="163">
        <f t="shared" si="1568"/>
        <v>836</v>
      </c>
      <c r="B534" s="172">
        <v>43069</v>
      </c>
      <c r="C534" s="215">
        <v>2647.58</v>
      </c>
      <c r="D534" s="171">
        <f t="shared" si="1711"/>
        <v>8.1909469282996118E-3</v>
      </c>
      <c r="E534" s="209">
        <f t="shared" ref="E534:E535" si="1767">(C534-$C$2)/$C$2</f>
        <v>0.25928920682635409</v>
      </c>
      <c r="F534" s="219">
        <v>6873.97</v>
      </c>
      <c r="G534" s="171">
        <f t="shared" si="1713"/>
        <v>7.2665941814494713E-3</v>
      </c>
      <c r="H534" s="203">
        <f t="shared" ref="H534:H535" si="1768">(F534-F$2)/F$2</f>
        <v>0.35003436966042784</v>
      </c>
      <c r="I534" s="473">
        <v>329885.27</v>
      </c>
      <c r="J534" s="173">
        <v>300000</v>
      </c>
      <c r="K534" s="173">
        <f t="shared" ref="K534:K535" si="1769">I534-I533-J534+J533</f>
        <v>4228.6000000000349</v>
      </c>
      <c r="L534" s="171">
        <f t="shared" si="1705"/>
        <v>1.2984840752686059E-2</v>
      </c>
      <c r="M534" s="473">
        <f t="shared" ref="M534:M535" si="1770">I534-J534</f>
        <v>29885.270000000019</v>
      </c>
      <c r="N534" s="184">
        <f t="shared" ref="N534:N535" si="1771">M534/J534</f>
        <v>9.9617566666666726E-2</v>
      </c>
      <c r="O534" s="183">
        <f t="shared" si="1641"/>
        <v>4.3523105532296678E-2</v>
      </c>
      <c r="P534" s="182" t="b">
        <f t="shared" ref="P534:P535" si="1772">L534&gt;D534</f>
        <v>1</v>
      </c>
      <c r="Q534" s="184">
        <f>COUNTIF(P$2:P534, TRUE)/(COUNTIF(P$2:P534,FALSE) + COUNTIF(P$2:P534, TRUE))</f>
        <v>0.47842401500938087</v>
      </c>
      <c r="R534" s="173">
        <v>235596.4</v>
      </c>
      <c r="S534" s="173">
        <f t="shared" ref="S534:S535" si="1773">I534-R534</f>
        <v>94288.870000000024</v>
      </c>
      <c r="T534" s="173">
        <v>-34548</v>
      </c>
      <c r="U534" s="173">
        <f t="shared" ref="U534:U535" si="1774">M534-T534</f>
        <v>64433.270000000019</v>
      </c>
      <c r="V534" s="184">
        <f>STDEV(D$2:D534)*SQRT(252)</f>
        <v>0.13695583195186545</v>
      </c>
      <c r="W534" s="184">
        <f>STDEV(L$2:L534)*SQRT(252)</f>
        <v>0.29459910800633998</v>
      </c>
      <c r="X534" s="174">
        <f t="shared" si="1188"/>
        <v>0.14773671864396828</v>
      </c>
    </row>
    <row r="535" spans="1:24" ht="20.100000000000001" customHeight="1" x14ac:dyDescent="0.25">
      <c r="A535" s="163">
        <f t="shared" si="1568"/>
        <v>837</v>
      </c>
      <c r="B535" s="172">
        <v>43070</v>
      </c>
      <c r="C535" s="215">
        <v>2642.22</v>
      </c>
      <c r="D535" s="171">
        <f t="shared" si="1711"/>
        <v>-2.0244902892453212E-3</v>
      </c>
      <c r="E535" s="209">
        <f t="shared" si="1767"/>
        <v>0.25673978805578268</v>
      </c>
      <c r="F535" s="219">
        <v>6847.58</v>
      </c>
      <c r="G535" s="171">
        <f t="shared" si="1713"/>
        <v>-3.839120624617263E-3</v>
      </c>
      <c r="H535" s="203">
        <f t="shared" si="1768"/>
        <v>0.34485142486792236</v>
      </c>
      <c r="I535" s="221">
        <v>330901.76000000001</v>
      </c>
      <c r="J535" s="173">
        <v>300000</v>
      </c>
      <c r="K535" s="173">
        <f t="shared" si="1769"/>
        <v>1016.4899999999907</v>
      </c>
      <c r="L535" s="171">
        <f t="shared" si="1705"/>
        <v>3.0813440078727695E-3</v>
      </c>
      <c r="M535" s="182">
        <f t="shared" si="1770"/>
        <v>30901.760000000009</v>
      </c>
      <c r="N535" s="184">
        <f t="shared" si="1771"/>
        <v>0.1030058666666667</v>
      </c>
      <c r="O535" s="183">
        <f t="shared" si="1641"/>
        <v>4.4949692712066919E-2</v>
      </c>
      <c r="P535" s="182" t="b">
        <f t="shared" si="1772"/>
        <v>1</v>
      </c>
      <c r="Q535" s="184">
        <f>COUNTIF(P$2:P535, TRUE)/(COUNTIF(P$2:P535,FALSE) + COUNTIF(P$2:P535, TRUE))</f>
        <v>0.47940074906367042</v>
      </c>
      <c r="R535" s="173">
        <v>233517.4</v>
      </c>
      <c r="S535" s="173">
        <f t="shared" si="1773"/>
        <v>97384.360000000015</v>
      </c>
      <c r="T535" s="173">
        <v>-34852</v>
      </c>
      <c r="U535" s="173">
        <f t="shared" si="1774"/>
        <v>65753.760000000009</v>
      </c>
      <c r="V535" s="184">
        <f>STDEV(D$2:D535)*SQRT(252)</f>
        <v>0.13683780831243603</v>
      </c>
      <c r="W535" s="184">
        <f>STDEV(L$2:L535)*SQRT(252)</f>
        <v>0.29432742820874164</v>
      </c>
      <c r="X535" s="174">
        <f t="shared" si="1188"/>
        <v>0.15272002675940854</v>
      </c>
    </row>
    <row r="536" spans="1:24" ht="20.100000000000001" customHeight="1" x14ac:dyDescent="0.25">
      <c r="A536" s="163">
        <f t="shared" si="1568"/>
        <v>840</v>
      </c>
      <c r="B536" s="172">
        <v>43073</v>
      </c>
      <c r="C536" s="215">
        <v>2639.44</v>
      </c>
      <c r="D536" s="171">
        <f t="shared" ref="D536" si="1775">(C536-C535)/C535</f>
        <v>-1.0521455442770646E-3</v>
      </c>
      <c r="E536" s="209">
        <f t="shared" ref="E536" si="1776">(C536-$C$2)/$C$2</f>
        <v>0.25541751488746406</v>
      </c>
      <c r="F536" s="219">
        <v>6775.36</v>
      </c>
      <c r="G536" s="171">
        <f t="shared" ref="G536" si="1777">(F536-F535)/F535</f>
        <v>-1.0546791713276845E-2</v>
      </c>
      <c r="H536" s="203">
        <f t="shared" ref="H536" si="1778">(F536-F$2)/F$2</f>
        <v>0.33066755700453676</v>
      </c>
      <c r="I536" s="221">
        <v>332631.36</v>
      </c>
      <c r="J536" s="173">
        <v>300000</v>
      </c>
      <c r="K536" s="173">
        <f t="shared" ref="K536" si="1779">I536-I535-J536+J535</f>
        <v>1729.5999999999767</v>
      </c>
      <c r="L536" s="171">
        <f t="shared" ref="L536" si="1780">K536/I535</f>
        <v>5.2269289833936717E-3</v>
      </c>
      <c r="M536" s="182">
        <f t="shared" ref="M536" si="1781">I536-J536</f>
        <v>32631.359999999986</v>
      </c>
      <c r="N536" s="184">
        <f t="shared" ref="N536" si="1782">M536/J536</f>
        <v>0.10877119999999996</v>
      </c>
      <c r="O536" s="183">
        <f t="shared" si="1641"/>
        <v>4.7296048571428558E-2</v>
      </c>
      <c r="P536" s="182" t="b">
        <f t="shared" ref="P536" si="1783">L536&gt;D536</f>
        <v>1</v>
      </c>
      <c r="Q536" s="184">
        <f>COUNTIF(P$2:P536, TRUE)/(COUNTIF(P$2:P536,FALSE) + COUNTIF(P$2:P536, TRUE))</f>
        <v>0.48037383177570092</v>
      </c>
      <c r="R536" s="173">
        <v>235247</v>
      </c>
      <c r="S536" s="173">
        <f t="shared" ref="S536" si="1784">I536-R536</f>
        <v>97384.359999999986</v>
      </c>
      <c r="T536" s="173">
        <v>-32666</v>
      </c>
      <c r="U536" s="173">
        <f t="shared" ref="U536" si="1785">M536-T536</f>
        <v>65297.359999999986</v>
      </c>
      <c r="V536" s="184">
        <f>STDEV(D$2:D536)*SQRT(252)</f>
        <v>0.13671335945296428</v>
      </c>
      <c r="W536" s="184">
        <f>STDEV(L$2:L536)*SQRT(252)</f>
        <v>0.29406904488179125</v>
      </c>
      <c r="X536" s="174">
        <f t="shared" si="1188"/>
        <v>0.16083314240177998</v>
      </c>
    </row>
    <row r="537" spans="1:24" ht="20.100000000000001" customHeight="1" x14ac:dyDescent="0.25">
      <c r="A537" s="163">
        <f t="shared" si="1568"/>
        <v>841</v>
      </c>
      <c r="B537" s="172">
        <v>43074</v>
      </c>
      <c r="C537" s="215">
        <v>2629.57</v>
      </c>
      <c r="D537" s="171">
        <f t="shared" ref="D537:D543" si="1786">(C537-C536)/C536</f>
        <v>-3.7394295759706191E-3</v>
      </c>
      <c r="E537" s="209">
        <f t="shared" ref="E537" si="1787">(C537-$C$2)/$C$2</f>
        <v>0.25072296950210238</v>
      </c>
      <c r="F537" s="219">
        <v>6762.21</v>
      </c>
      <c r="G537" s="171">
        <f t="shared" ref="G537:G543" si="1788">(F537-F536)/F536</f>
        <v>-1.9408562792234858E-3</v>
      </c>
      <c r="H537" s="203">
        <f t="shared" ref="H537:H542" si="1789">(F537-F$2)/F$2</f>
        <v>0.32808492252096555</v>
      </c>
      <c r="I537" s="221">
        <v>331089.06</v>
      </c>
      <c r="J537" s="173">
        <v>300000</v>
      </c>
      <c r="K537" s="173">
        <f t="shared" ref="K537:K542" si="1790">I537-I536-J537+J536</f>
        <v>-1542.2999999999884</v>
      </c>
      <c r="L537" s="171">
        <f t="shared" ref="L537:L542" si="1791">K537/I536</f>
        <v>-4.6366644443866884E-3</v>
      </c>
      <c r="M537" s="182">
        <f t="shared" ref="M537" si="1792">I537-J537</f>
        <v>31089.059999999998</v>
      </c>
      <c r="N537" s="184">
        <f t="shared" ref="N537" si="1793">M537/J537</f>
        <v>0.10363019999999999</v>
      </c>
      <c r="O537" s="183">
        <f t="shared" si="1641"/>
        <v>4.5007051783590962E-2</v>
      </c>
      <c r="P537" s="182" t="b">
        <f t="shared" ref="P537" si="1794">L537&gt;D537</f>
        <v>0</v>
      </c>
      <c r="Q537" s="184">
        <f>COUNTIF(P$2:P537, TRUE)/(COUNTIF(P$2:P537,FALSE) + COUNTIF(P$2:P537, TRUE))</f>
        <v>0.47947761194029853</v>
      </c>
      <c r="R537" s="173">
        <v>233704.7</v>
      </c>
      <c r="S537" s="173">
        <f t="shared" ref="S537" si="1795">I537-R537</f>
        <v>97384.359999999986</v>
      </c>
      <c r="T537" s="173">
        <v>-33722</v>
      </c>
      <c r="U537" s="173">
        <f t="shared" ref="U537" si="1796">M537-T537</f>
        <v>64811.06</v>
      </c>
      <c r="V537" s="184">
        <f>STDEV(D$2:D537)*SQRT(252)</f>
        <v>0.13661573923542011</v>
      </c>
      <c r="W537" s="184">
        <f>STDEV(L$2:L537)*SQRT(252)</f>
        <v>0.29381487860209421</v>
      </c>
      <c r="X537" s="174">
        <f t="shared" si="1188"/>
        <v>0.15318166322183716</v>
      </c>
    </row>
    <row r="538" spans="1:24" ht="20.100000000000001" customHeight="1" x14ac:dyDescent="0.25">
      <c r="A538" s="163">
        <f t="shared" si="1568"/>
        <v>842</v>
      </c>
      <c r="B538" s="172">
        <v>43075</v>
      </c>
      <c r="C538" s="215">
        <v>2629.27</v>
      </c>
      <c r="D538" s="171">
        <f t="shared" si="1786"/>
        <v>-1.1408709408769566E-4</v>
      </c>
      <c r="E538" s="209">
        <f t="shared" ref="E538" si="1797">(C538-$C$2)/$C$2</f>
        <v>0.25058027815300316</v>
      </c>
      <c r="F538" s="219">
        <v>6776.37</v>
      </c>
      <c r="G538" s="171">
        <f t="shared" si="1788"/>
        <v>2.0939899825648499E-3</v>
      </c>
      <c r="H538" s="203">
        <f t="shared" si="1789"/>
        <v>0.33086591904471985</v>
      </c>
      <c r="I538" s="221">
        <v>327613.65999999997</v>
      </c>
      <c r="J538" s="173">
        <v>300000</v>
      </c>
      <c r="K538" s="173">
        <f t="shared" si="1790"/>
        <v>-3475.4000000000233</v>
      </c>
      <c r="L538" s="171">
        <f t="shared" si="1791"/>
        <v>-1.0496873560243952E-2</v>
      </c>
      <c r="M538" s="182">
        <f t="shared" ref="M538" si="1798">I538-J538</f>
        <v>27613.659999999974</v>
      </c>
      <c r="N538" s="184">
        <f t="shared" ref="N538" si="1799">M538/J538</f>
        <v>9.2045533333333249E-2</v>
      </c>
      <c r="O538" s="183">
        <f t="shared" si="1641"/>
        <v>3.9928302909738686E-2</v>
      </c>
      <c r="P538" s="182" t="b">
        <f t="shared" ref="P538" si="1800">L538&gt;D538</f>
        <v>0</v>
      </c>
      <c r="Q538" s="184">
        <f>COUNTIF(P$2:P538, TRUE)/(COUNTIF(P$2:P538,FALSE) + COUNTIF(P$2:P538, TRUE))</f>
        <v>0.47858472998137802</v>
      </c>
      <c r="R538" s="173"/>
      <c r="S538" s="173"/>
      <c r="T538" s="173">
        <v>-33418</v>
      </c>
      <c r="U538" s="173">
        <f t="shared" ref="U538:U540" si="1801">M538-T538</f>
        <v>61031.659999999974</v>
      </c>
      <c r="V538" s="184">
        <f>STDEV(D$2:D538)*SQRT(252)</f>
        <v>0.13648855933627946</v>
      </c>
      <c r="W538" s="184">
        <f>STDEV(L$2:L538)*SQRT(252)</f>
        <v>0.29363715283343611</v>
      </c>
      <c r="X538" s="174">
        <f t="shared" si="1188"/>
        <v>0.13597837509474753</v>
      </c>
    </row>
    <row r="539" spans="1:24" ht="20.100000000000001" customHeight="1" x14ac:dyDescent="0.25">
      <c r="A539" s="163">
        <f t="shared" si="1568"/>
        <v>843</v>
      </c>
      <c r="B539" s="172">
        <v>43076</v>
      </c>
      <c r="C539" s="215">
        <v>2636.98</v>
      </c>
      <c r="D539" s="171">
        <f t="shared" si="1786"/>
        <v>2.9323728639508444E-3</v>
      </c>
      <c r="E539" s="209">
        <f t="shared" ref="E539" si="1802">(C539-$C$2)/$C$2</f>
        <v>0.25424744582485109</v>
      </c>
      <c r="F539" s="219">
        <v>6812.84</v>
      </c>
      <c r="G539" s="171">
        <f t="shared" si="1788"/>
        <v>5.3819375270240935E-3</v>
      </c>
      <c r="H539" s="203">
        <f t="shared" si="1789"/>
        <v>0.33802855627786405</v>
      </c>
      <c r="I539" s="221">
        <v>319288.36</v>
      </c>
      <c r="J539" s="173">
        <v>290000</v>
      </c>
      <c r="K539" s="173">
        <f t="shared" si="1790"/>
        <v>1674.7000000000116</v>
      </c>
      <c r="L539" s="171">
        <f t="shared" si="1791"/>
        <v>5.111813713750555E-3</v>
      </c>
      <c r="M539" s="182">
        <f t="shared" ref="M539" si="1803">I539-J539</f>
        <v>29288.359999999986</v>
      </c>
      <c r="N539" s="184">
        <f t="shared" ref="N539" si="1804">M539/J539</f>
        <v>0.10099434482758615</v>
      </c>
      <c r="O539" s="183">
        <f t="shared" si="1641"/>
        <v>4.3758225917290443E-2</v>
      </c>
      <c r="P539" s="182" t="b">
        <f t="shared" ref="P539" si="1805">L539&gt;D539</f>
        <v>1</v>
      </c>
      <c r="Q539" s="184">
        <f>COUNTIF(P$2:P539, TRUE)/(COUNTIF(P$2:P539,FALSE) + COUNTIF(P$2:P539, TRUE))</f>
        <v>0.4795539033457249</v>
      </c>
      <c r="R539" s="173">
        <v>231904</v>
      </c>
      <c r="S539" s="173">
        <f t="shared" ref="S539" si="1806">I539-R539</f>
        <v>87384.359999999986</v>
      </c>
      <c r="T539" s="173"/>
      <c r="U539" s="173"/>
      <c r="V539" s="184">
        <f>STDEV(D$2:D539)*SQRT(252)</f>
        <v>0.13637174643805675</v>
      </c>
      <c r="W539" s="184">
        <f>STDEV(L$2:L539)*SQRT(252)</f>
        <v>0.29338020197975673</v>
      </c>
      <c r="X539" s="174">
        <f t="shared" ref="X539:X564" si="1807">O539/W539</f>
        <v>0.14915193875389643</v>
      </c>
    </row>
    <row r="540" spans="1:24" ht="20.100000000000001" customHeight="1" x14ac:dyDescent="0.25">
      <c r="A540" s="163">
        <f t="shared" si="1568"/>
        <v>844</v>
      </c>
      <c r="B540" s="172">
        <v>43077</v>
      </c>
      <c r="C540" s="215">
        <v>2651.5</v>
      </c>
      <c r="D540" s="171">
        <f t="shared" si="1786"/>
        <v>5.5062988721947008E-3</v>
      </c>
      <c r="E540" s="209">
        <f t="shared" ref="E540" si="1808">(C540-$C$2)/$C$2</f>
        <v>0.26115370712124958</v>
      </c>
      <c r="F540" s="219">
        <v>6840.8</v>
      </c>
      <c r="G540" s="171">
        <f t="shared" si="1788"/>
        <v>4.1040153592334528E-3</v>
      </c>
      <c r="H540" s="203">
        <f t="shared" si="1789"/>
        <v>0.34351984602392138</v>
      </c>
      <c r="I540" s="221">
        <v>322861.36</v>
      </c>
      <c r="J540" s="173">
        <v>290000</v>
      </c>
      <c r="K540" s="173">
        <f t="shared" si="1790"/>
        <v>3573</v>
      </c>
      <c r="L540" s="171">
        <f t="shared" si="1791"/>
        <v>1.1190511298313537E-2</v>
      </c>
      <c r="M540" s="182">
        <f t="shared" ref="M540" si="1809">I540-J540</f>
        <v>32861.359999999986</v>
      </c>
      <c r="N540" s="184">
        <f t="shared" ref="N540" si="1810">M540/J540</f>
        <v>0.11331503448275858</v>
      </c>
      <c r="O540" s="183">
        <f t="shared" si="1641"/>
        <v>4.9038289508089535E-2</v>
      </c>
      <c r="P540" s="182" t="b">
        <f t="shared" ref="P540" si="1811">L540&gt;D540</f>
        <v>1</v>
      </c>
      <c r="Q540" s="184">
        <f>COUNTIF(P$2:P540, TRUE)/(COUNTIF(P$2:P540,FALSE) + COUNTIF(P$2:P540, TRUE))</f>
        <v>0.48051948051948051</v>
      </c>
      <c r="R540" s="173">
        <v>235477</v>
      </c>
      <c r="S540" s="173">
        <f t="shared" ref="S540" si="1812">I540-R540</f>
        <v>87384.359999999986</v>
      </c>
      <c r="T540" s="173">
        <v>-32986</v>
      </c>
      <c r="U540" s="173">
        <f t="shared" si="1801"/>
        <v>65847.359999999986</v>
      </c>
      <c r="V540" s="184">
        <f>STDEV(D$2:D540)*SQRT(252)</f>
        <v>0.13628850101154497</v>
      </c>
      <c r="W540" s="184">
        <f>STDEV(L$2:L540)*SQRT(252)</f>
        <v>0.2931982547993664</v>
      </c>
      <c r="X540" s="174">
        <f t="shared" si="1807"/>
        <v>0.16725300613281655</v>
      </c>
    </row>
    <row r="541" spans="1:24" ht="20.100000000000001" customHeight="1" x14ac:dyDescent="0.25">
      <c r="A541" s="163">
        <f t="shared" si="1568"/>
        <v>847</v>
      </c>
      <c r="B541" s="172">
        <v>43080</v>
      </c>
      <c r="C541" s="215">
        <v>2659.99</v>
      </c>
      <c r="D541" s="171">
        <f t="shared" si="1786"/>
        <v>3.2019611540636552E-3</v>
      </c>
      <c r="E541" s="209">
        <f t="shared" ref="E541" si="1813">(C541-$C$2)/$C$2</f>
        <v>0.26519187230075519</v>
      </c>
      <c r="F541" s="219">
        <v>6875.07</v>
      </c>
      <c r="G541" s="171">
        <f t="shared" si="1788"/>
        <v>5.0096479943865522E-3</v>
      </c>
      <c r="H541" s="203">
        <f t="shared" si="1789"/>
        <v>0.35025040752597364</v>
      </c>
      <c r="I541" s="221">
        <v>322942.15999999997</v>
      </c>
      <c r="J541" s="173">
        <v>290000</v>
      </c>
      <c r="K541" s="173">
        <f t="shared" si="1790"/>
        <v>80.799999999988358</v>
      </c>
      <c r="L541" s="171">
        <f t="shared" si="1791"/>
        <v>2.5026221781382683E-4</v>
      </c>
      <c r="M541" s="182">
        <f t="shared" ref="M541" si="1814">I541-J541</f>
        <v>32942.159999999974</v>
      </c>
      <c r="N541" s="184">
        <f t="shared" ref="N541" si="1815">M541/J541</f>
        <v>0.11359365517241371</v>
      </c>
      <c r="O541" s="183">
        <f t="shared" si="1641"/>
        <v>4.8984749175589266E-2</v>
      </c>
      <c r="P541" s="182" t="b">
        <f t="shared" ref="P541" si="1816">L541&gt;D541</f>
        <v>0</v>
      </c>
      <c r="Q541" s="184">
        <f>COUNTIF(P$2:P541, TRUE)/(COUNTIF(P$2:P541,FALSE) + COUNTIF(P$2:P541, TRUE))</f>
        <v>0.47962962962962963</v>
      </c>
      <c r="R541" s="173">
        <v>235557.8</v>
      </c>
      <c r="S541" s="173">
        <f t="shared" ref="S541" si="1817">I541-R541</f>
        <v>87384.359999999986</v>
      </c>
      <c r="T541" s="173">
        <v>-32985</v>
      </c>
      <c r="U541" s="173">
        <f t="shared" ref="U541" si="1818">M541-T541</f>
        <v>65927.159999999974</v>
      </c>
      <c r="V541" s="184">
        <f>STDEV(D$2:D541)*SQRT(252)</f>
        <v>0.13617461101801917</v>
      </c>
      <c r="W541" s="184">
        <f>STDEV(L$2:L541)*SQRT(252)</f>
        <v>0.29292569594123619</v>
      </c>
      <c r="X541" s="174">
        <f t="shared" si="1807"/>
        <v>0.16722585233838994</v>
      </c>
    </row>
    <row r="542" spans="1:24" ht="20.100000000000001" customHeight="1" x14ac:dyDescent="0.25">
      <c r="A542" s="163">
        <f t="shared" si="1568"/>
        <v>848</v>
      </c>
      <c r="B542" s="172">
        <v>43081</v>
      </c>
      <c r="C542" s="215">
        <v>2664.11</v>
      </c>
      <c r="D542" s="171">
        <f t="shared" si="1786"/>
        <v>1.5488780033008943E-3</v>
      </c>
      <c r="E542" s="209">
        <f t="shared" ref="E542" si="1819">(C542-$C$2)/$C$2</f>
        <v>0.2671515001617169</v>
      </c>
      <c r="F542" s="219">
        <v>6862.31</v>
      </c>
      <c r="G542" s="171">
        <f t="shared" si="1788"/>
        <v>-1.8559811027377626E-3</v>
      </c>
      <c r="H542" s="203">
        <f t="shared" si="1789"/>
        <v>0.34774436828564148</v>
      </c>
      <c r="I542" s="221">
        <v>323980.06</v>
      </c>
      <c r="J542" s="173">
        <v>290000</v>
      </c>
      <c r="K542" s="173">
        <f t="shared" si="1790"/>
        <v>1037.9000000000233</v>
      </c>
      <c r="L542" s="171">
        <f t="shared" si="1791"/>
        <v>3.2138882083405382E-3</v>
      </c>
      <c r="M542" s="182">
        <f t="shared" ref="M542" si="1820">I542-J542</f>
        <v>33980.06</v>
      </c>
      <c r="N542" s="184">
        <f t="shared" ref="N542" si="1821">M542/J542</f>
        <v>0.11717262068965516</v>
      </c>
      <c r="O542" s="183">
        <f t="shared" si="1641"/>
        <v>5.0468513805302533E-2</v>
      </c>
      <c r="P542" s="182" t="b">
        <f t="shared" ref="P542" si="1822">L542&gt;D542</f>
        <v>1</v>
      </c>
      <c r="Q542" s="184">
        <f>COUNTIF(P$2:P542, TRUE)/(COUNTIF(P$2:P542,FALSE) + COUNTIF(P$2:P542, TRUE))</f>
        <v>0.48059149722735672</v>
      </c>
      <c r="R542" s="173">
        <v>236279.7</v>
      </c>
      <c r="S542" s="173">
        <f t="shared" ref="S542" si="1823">I542-R542</f>
        <v>87700.359999999986</v>
      </c>
      <c r="T542" s="173">
        <v>-33546</v>
      </c>
      <c r="U542" s="173">
        <f t="shared" ref="U542" si="1824">M542-T542</f>
        <v>67526.06</v>
      </c>
      <c r="V542" s="184">
        <f>STDEV(D$2:D542)*SQRT(252)</f>
        <v>0.13605021547233165</v>
      </c>
      <c r="W542" s="184">
        <f>STDEV(L$2:L542)*SQRT(252)</f>
        <v>0.29265963822651819</v>
      </c>
      <c r="X542" s="174">
        <f t="shared" si="1807"/>
        <v>0.17244781040233489</v>
      </c>
    </row>
    <row r="543" spans="1:24" ht="20.100000000000001" customHeight="1" x14ac:dyDescent="0.25">
      <c r="A543" s="163">
        <f t="shared" si="1568"/>
        <v>849</v>
      </c>
      <c r="B543" s="172">
        <v>43082</v>
      </c>
      <c r="C543" s="215">
        <v>2662.85</v>
      </c>
      <c r="D543" s="171">
        <f t="shared" si="1786"/>
        <v>-4.7295344411462672E-4</v>
      </c>
      <c r="E543" s="209">
        <f t="shared" ref="E543" si="1825">(C543-$C$2)/$C$2</f>
        <v>0.26655219649550038</v>
      </c>
      <c r="F543" s="219">
        <v>6875.79</v>
      </c>
      <c r="G543" s="171">
        <f t="shared" si="1788"/>
        <v>1.9643531114157714E-3</v>
      </c>
      <c r="H543" s="203">
        <f t="shared" ref="H543" si="1826">(F543-F$2)/F$2</f>
        <v>0.35039181412887643</v>
      </c>
      <c r="I543" s="221">
        <v>324790.59000000003</v>
      </c>
      <c r="J543" s="173">
        <v>290000</v>
      </c>
      <c r="K543" s="173">
        <f t="shared" ref="K543" si="1827">I543-I542-J543+J542</f>
        <v>810.53000000002794</v>
      </c>
      <c r="L543" s="171">
        <f t="shared" ref="L543" si="1828">K543/I542</f>
        <v>2.5017897706421438E-3</v>
      </c>
      <c r="M543" s="182">
        <f t="shared" ref="M543" si="1829">I543-J543</f>
        <v>34790.590000000026</v>
      </c>
      <c r="N543" s="184">
        <f t="shared" ref="N543" si="1830">M543/J543</f>
        <v>0.11996755172413802</v>
      </c>
      <c r="O543" s="183">
        <f t="shared" si="1641"/>
        <v>5.1611482057999307E-2</v>
      </c>
      <c r="P543" s="182" t="b">
        <f t="shared" ref="P543" si="1831">L543&gt;D543</f>
        <v>1</v>
      </c>
      <c r="Q543" s="184">
        <f>COUNTIF(P$2:P543, TRUE)/(COUNTIF(P$2:P543,FALSE) + COUNTIF(P$2:P543, TRUE))</f>
        <v>0.48154981549815495</v>
      </c>
      <c r="R543" s="173">
        <v>236990</v>
      </c>
      <c r="S543" s="173">
        <f t="shared" ref="S543" si="1832">I543-R543</f>
        <v>87800.590000000026</v>
      </c>
      <c r="T543" s="173">
        <v>-32970</v>
      </c>
      <c r="U543" s="173">
        <f t="shared" ref="U543" si="1833">M543-T543</f>
        <v>67760.590000000026</v>
      </c>
      <c r="V543" s="184">
        <f>STDEV(D$2:D543)*SQRT(252)</f>
        <v>0.13592572490380506</v>
      </c>
      <c r="W543" s="184">
        <f>STDEV(L$2:L543)*SQRT(252)</f>
        <v>0.29239165383062016</v>
      </c>
      <c r="X543" s="174">
        <f t="shared" si="1807"/>
        <v>0.17651489494258057</v>
      </c>
    </row>
    <row r="544" spans="1:24" ht="20.100000000000001" customHeight="1" x14ac:dyDescent="0.25">
      <c r="A544" s="163">
        <f t="shared" si="1568"/>
        <v>850</v>
      </c>
      <c r="B544" s="172">
        <v>43083</v>
      </c>
      <c r="C544" s="215">
        <v>2652.01</v>
      </c>
      <c r="D544" s="171">
        <f t="shared" ref="D544" si="1834">(C544-C543)/C543</f>
        <v>-4.070826370242293E-3</v>
      </c>
      <c r="E544" s="209">
        <f t="shared" ref="E544" si="1835">(C544-$C$2)/$C$2</f>
        <v>0.26139628241471818</v>
      </c>
      <c r="F544" s="219">
        <v>6856.52</v>
      </c>
      <c r="G544" s="171">
        <f t="shared" ref="G544" si="1836">(F544-F543)/F543</f>
        <v>-2.8025870481791222E-3</v>
      </c>
      <c r="H544" s="203">
        <f t="shared" ref="H544" si="1837">(F544-F$2)/F$2</f>
        <v>0.34660722352063172</v>
      </c>
      <c r="I544" s="221">
        <v>322223.39</v>
      </c>
      <c r="J544" s="173">
        <v>290000</v>
      </c>
      <c r="K544" s="173">
        <f t="shared" ref="K544" si="1838">I544-I543-J544+J543</f>
        <v>-2567.2000000000116</v>
      </c>
      <c r="L544" s="171">
        <f t="shared" ref="L544" si="1839">K544/I543</f>
        <v>-7.9041698837395858E-3</v>
      </c>
      <c r="M544" s="182">
        <f t="shared" ref="M544" si="1840">I544-J544</f>
        <v>32223.390000000014</v>
      </c>
      <c r="N544" s="184">
        <f t="shared" ref="N544" si="1841">M544/J544</f>
        <v>0.11111513793103453</v>
      </c>
      <c r="O544" s="183">
        <f t="shared" si="1641"/>
        <v>4.7746828387423952E-2</v>
      </c>
      <c r="P544" s="182" t="b">
        <f t="shared" ref="P544" si="1842">L544&gt;D544</f>
        <v>0</v>
      </c>
      <c r="Q544" s="184">
        <f>COUNTIF(P$2:P544, TRUE)/(COUNTIF(P$2:P544,FALSE) + COUNTIF(P$2:P544, TRUE))</f>
        <v>0.48066298342541436</v>
      </c>
      <c r="R544" s="173">
        <v>234422.8</v>
      </c>
      <c r="S544" s="173">
        <f t="shared" ref="S544" si="1843">I544-R544</f>
        <v>87800.590000000026</v>
      </c>
      <c r="T544" s="173">
        <v>-34234</v>
      </c>
      <c r="U544" s="173">
        <f t="shared" ref="U544" si="1844">M544-T544</f>
        <v>66457.390000000014</v>
      </c>
      <c r="V544" s="184">
        <f>STDEV(D$2:D544)*SQRT(252)</f>
        <v>0.1358353877857523</v>
      </c>
      <c r="W544" s="184">
        <f>STDEV(L$2:L544)*SQRT(252)</f>
        <v>0.29217784159777338</v>
      </c>
      <c r="X544" s="174">
        <f t="shared" si="1807"/>
        <v>0.163417007006146</v>
      </c>
    </row>
    <row r="545" spans="1:24" ht="20.100000000000001" customHeight="1" x14ac:dyDescent="0.25">
      <c r="A545" s="163">
        <f t="shared" si="1568"/>
        <v>851</v>
      </c>
      <c r="B545" s="172">
        <v>43084</v>
      </c>
      <c r="C545" s="215">
        <v>2675.81</v>
      </c>
      <c r="D545" s="171">
        <f t="shared" ref="D545" si="1845">(C545-C544)/C544</f>
        <v>8.9743251345205059E-3</v>
      </c>
      <c r="E545" s="209">
        <f t="shared" ref="E545" si="1846">(C545-$C$2)/$C$2</f>
        <v>0.27271646277658335</v>
      </c>
      <c r="F545" s="219">
        <v>6936.58</v>
      </c>
      <c r="G545" s="171">
        <f t="shared" ref="G545" si="1847">(F545-F544)/F544</f>
        <v>1.1676477280019526E-2</v>
      </c>
      <c r="H545" s="203">
        <f t="shared" ref="H545" si="1848">(F545-F$2)/F$2</f>
        <v>0.36233085217118061</v>
      </c>
      <c r="I545" s="221">
        <v>323833.19</v>
      </c>
      <c r="J545" s="173">
        <v>290000</v>
      </c>
      <c r="K545" s="173">
        <f t="shared" ref="K545" si="1849">I545-I544-J545+J544</f>
        <v>1609.7999999999884</v>
      </c>
      <c r="L545" s="171">
        <f t="shared" ref="L545" si="1850">K545/I544</f>
        <v>4.9959129286051779E-3</v>
      </c>
      <c r="M545" s="182">
        <f t="shared" ref="M545" si="1851">I545-J545</f>
        <v>33833.19</v>
      </c>
      <c r="N545" s="184">
        <f t="shared" ref="N545" si="1852">M545/J545</f>
        <v>0.11666617241379311</v>
      </c>
      <c r="O545" s="183">
        <f t="shared" si="1641"/>
        <v>5.0073230874427652E-2</v>
      </c>
      <c r="P545" s="182" t="b">
        <f t="shared" ref="P545" si="1853">L545&gt;D545</f>
        <v>0</v>
      </c>
      <c r="Q545" s="184">
        <f>COUNTIF(P$2:P545, TRUE)/(COUNTIF(P$2:P545,FALSE) + COUNTIF(P$2:P545, TRUE))</f>
        <v>0.4797794117647059</v>
      </c>
      <c r="R545" s="173">
        <v>236032.6</v>
      </c>
      <c r="S545" s="173">
        <f t="shared" ref="S545" si="1854">I545-R545</f>
        <v>87800.59</v>
      </c>
      <c r="T545" s="173">
        <v>-33354</v>
      </c>
      <c r="U545" s="173">
        <f t="shared" ref="U545" si="1855">M545-T545</f>
        <v>67187.19</v>
      </c>
      <c r="V545" s="184">
        <f>STDEV(D$2:D545)*SQRT(252)</f>
        <v>0.13583377183481007</v>
      </c>
      <c r="W545" s="184">
        <f>STDEV(L$2:L545)*SQRT(252)</f>
        <v>0.29192417621615652</v>
      </c>
      <c r="X545" s="174">
        <f t="shared" si="1807"/>
        <v>0.17152820819249553</v>
      </c>
    </row>
    <row r="546" spans="1:24" ht="20.100000000000001" customHeight="1" x14ac:dyDescent="0.25">
      <c r="A546" s="163">
        <f t="shared" si="1568"/>
        <v>854</v>
      </c>
      <c r="B546" s="172">
        <v>43087</v>
      </c>
      <c r="C546" s="215">
        <v>2690.16</v>
      </c>
      <c r="D546" s="171">
        <f t="shared" ref="D546" si="1856">(C546-C545)/C545</f>
        <v>5.3628620866204664E-3</v>
      </c>
      <c r="E546" s="209">
        <f t="shared" ref="E546" si="1857">(C546-$C$2)/$C$2</f>
        <v>0.27954186564182559</v>
      </c>
      <c r="F546" s="219">
        <v>6994.75</v>
      </c>
      <c r="G546" s="171">
        <f t="shared" ref="G546" si="1858">(F546-F545)/F545</f>
        <v>8.3859769511776799E-3</v>
      </c>
      <c r="H546" s="203">
        <f t="shared" ref="H546" si="1859">(F546-F$2)/F$2</f>
        <v>0.37375532729736632</v>
      </c>
      <c r="I546" s="221">
        <v>328097.89</v>
      </c>
      <c r="J546" s="173">
        <v>290000</v>
      </c>
      <c r="K546" s="173">
        <f t="shared" ref="K546" si="1860">I546-I545-J546+J545</f>
        <v>4264.7000000000116</v>
      </c>
      <c r="L546" s="171">
        <f t="shared" ref="L546" si="1861">K546/I545</f>
        <v>1.3169434547459486E-2</v>
      </c>
      <c r="M546" s="182">
        <f t="shared" ref="M546" si="1862">I546-J546</f>
        <v>38097.890000000014</v>
      </c>
      <c r="N546" s="184">
        <f t="shared" ref="N546" si="1863">M546/J546</f>
        <v>0.13137203448275867</v>
      </c>
      <c r="O546" s="183">
        <f t="shared" si="1641"/>
        <v>5.6186926926027642E-2</v>
      </c>
      <c r="P546" s="182" t="b">
        <f t="shared" ref="P546" si="1864">L546&gt;D546</f>
        <v>1</v>
      </c>
      <c r="Q546" s="184">
        <f>COUNTIF(P$2:P546, TRUE)/(COUNTIF(P$2:P546,FALSE) + COUNTIF(P$2:P546, TRUE))</f>
        <v>0.48073394495412847</v>
      </c>
      <c r="R546" s="173">
        <v>231417.5</v>
      </c>
      <c r="S546" s="173">
        <f t="shared" ref="S546" si="1865">I546-R546</f>
        <v>96680.390000000014</v>
      </c>
      <c r="T546" s="173">
        <v>-32394</v>
      </c>
      <c r="U546" s="173">
        <f t="shared" ref="U546" si="1866">M546-T546</f>
        <v>70491.890000000014</v>
      </c>
      <c r="V546" s="184">
        <f>STDEV(D$2:D546)*SQRT(252)</f>
        <v>0.13574931194663536</v>
      </c>
      <c r="W546" s="184">
        <f>STDEV(L$2:L546)*SQRT(252)</f>
        <v>0.29178232228521001</v>
      </c>
      <c r="X546" s="174">
        <f t="shared" si="1807"/>
        <v>0.19256453401966658</v>
      </c>
    </row>
    <row r="547" spans="1:24" ht="20.100000000000001" customHeight="1" x14ac:dyDescent="0.25">
      <c r="A547" s="163">
        <f t="shared" ref="A547" si="1867">B547-$B$2</f>
        <v>855</v>
      </c>
      <c r="B547" s="172">
        <v>43088</v>
      </c>
      <c r="C547" s="215">
        <v>2681.47</v>
      </c>
      <c r="D547" s="171">
        <f t="shared" ref="D547" si="1868">(C547-C546)/C546</f>
        <v>-3.2302911350997913E-3</v>
      </c>
      <c r="E547" s="209">
        <f t="shared" ref="E547" si="1869">(C547-$C$2)/$C$2</f>
        <v>0.27540857289625376</v>
      </c>
      <c r="F547" s="219">
        <v>6963.85</v>
      </c>
      <c r="G547" s="171">
        <f t="shared" ref="G547" si="1870">(F547-F546)/F546</f>
        <v>-4.4175989134707652E-3</v>
      </c>
      <c r="H547" s="203">
        <f t="shared" ref="H547" si="1871">(F547-F$2)/F$2</f>
        <v>0.36768662725612283</v>
      </c>
      <c r="I547" s="221">
        <v>330798.90000000002</v>
      </c>
      <c r="J547" s="173">
        <v>290000</v>
      </c>
      <c r="K547" s="173">
        <f t="shared" ref="K547" si="1872">I547-I546-J547+J546</f>
        <v>2701.0100000000093</v>
      </c>
      <c r="L547" s="171">
        <f t="shared" ref="L547" si="1873">K547/I546</f>
        <v>8.2323296867285838E-3</v>
      </c>
      <c r="M547" s="182">
        <f t="shared" ref="M547" si="1874">I547-J547</f>
        <v>40798.900000000023</v>
      </c>
      <c r="N547" s="184">
        <f t="shared" ref="N547" si="1875">M547/J547</f>
        <v>0.14068586206896561</v>
      </c>
      <c r="O547" s="183">
        <f t="shared" ref="O547" si="1876">N547/(A547/365.25)</f>
        <v>6.0100013006654608E-2</v>
      </c>
      <c r="P547" s="182" t="b">
        <f t="shared" ref="P547" si="1877">L547&gt;D547</f>
        <v>1</v>
      </c>
      <c r="Q547" s="184">
        <f>COUNTIF(P$2:P547, TRUE)/(COUNTIF(P$2:P547,FALSE) + COUNTIF(P$2:P547, TRUE))</f>
        <v>0.48168498168498169</v>
      </c>
      <c r="R547" s="173">
        <v>232520.55</v>
      </c>
      <c r="S547" s="173">
        <f t="shared" ref="S547" si="1878">I547-R547</f>
        <v>98278.350000000035</v>
      </c>
      <c r="T547" s="173">
        <v>-32544</v>
      </c>
      <c r="U547" s="173">
        <f t="shared" ref="U547" si="1879">M547-T547</f>
        <v>73342.900000000023</v>
      </c>
      <c r="V547" s="184">
        <f>STDEV(D$2:D547)*SQRT(252)</f>
        <v>0.13564807194101525</v>
      </c>
      <c r="W547" s="184">
        <f>STDEV(L$2:L547)*SQRT(252)</f>
        <v>0.29156092168419684</v>
      </c>
      <c r="X547" s="174">
        <f t="shared" si="1807"/>
        <v>0.2061319214505424</v>
      </c>
    </row>
    <row r="548" spans="1:24" ht="20.100000000000001" customHeight="1" x14ac:dyDescent="0.25">
      <c r="A548" s="163">
        <f t="shared" ref="A548" si="1880">B548-$B$2</f>
        <v>856</v>
      </c>
      <c r="B548" s="172">
        <v>43089</v>
      </c>
      <c r="C548" s="215">
        <v>2679.25</v>
      </c>
      <c r="D548" s="171">
        <f t="shared" ref="D548" si="1881">(C548-C547)/C547</f>
        <v>-8.2790409737934793E-4</v>
      </c>
      <c r="E548" s="209">
        <f t="shared" ref="E548" si="1882">(C548-$C$2)/$C$2</f>
        <v>0.27435265691292021</v>
      </c>
      <c r="F548" s="219">
        <v>6960.95</v>
      </c>
      <c r="G548" s="171">
        <f t="shared" ref="G548" si="1883">(F548-F547)/F547</f>
        <v>-4.1643631037436841E-4</v>
      </c>
      <c r="H548" s="203">
        <f t="shared" ref="H548" si="1884">(F548-F$2)/F$2</f>
        <v>0.36711707288331991</v>
      </c>
      <c r="I548" s="221">
        <v>332590.03999999998</v>
      </c>
      <c r="J548" s="173">
        <v>290000</v>
      </c>
      <c r="K548" s="173">
        <f t="shared" ref="K548" si="1885">I548-I547-J548+J547</f>
        <v>1791.1399999999558</v>
      </c>
      <c r="L548" s="171">
        <f t="shared" ref="L548" si="1886">K548/I547</f>
        <v>5.414588742586374E-3</v>
      </c>
      <c r="M548" s="182">
        <f t="shared" ref="M548" si="1887">I548-J548</f>
        <v>42590.039999999979</v>
      </c>
      <c r="N548" s="184">
        <f t="shared" ref="N548" si="1888">M548/J548</f>
        <v>0.14686220689655166</v>
      </c>
      <c r="O548" s="183">
        <f t="shared" ref="O548" si="1889">N548/(A548/365.25)</f>
        <v>6.2665211529165307E-2</v>
      </c>
      <c r="P548" s="182" t="b">
        <f t="shared" ref="P548" si="1890">L548&gt;D548</f>
        <v>1</v>
      </c>
      <c r="Q548" s="184">
        <f>COUNTIF(P$2:P548, TRUE)/(COUNTIF(P$2:P548,FALSE) + COUNTIF(P$2:P548, TRUE))</f>
        <v>0.48263254113345522</v>
      </c>
      <c r="R548" s="173">
        <v>233843</v>
      </c>
      <c r="S548" s="173">
        <f t="shared" ref="S548" si="1891">I548-R548</f>
        <v>98747.039999999979</v>
      </c>
      <c r="T548" s="173">
        <v>-31989</v>
      </c>
      <c r="U548" s="173">
        <f t="shared" ref="U548" si="1892">M548-T548</f>
        <v>74579.039999999979</v>
      </c>
      <c r="V548" s="184">
        <f>STDEV(D$2:D548)*SQRT(252)</f>
        <v>0.13552649245745849</v>
      </c>
      <c r="W548" s="184">
        <f>STDEV(L$2:L548)*SQRT(252)</f>
        <v>0.29131201485323877</v>
      </c>
      <c r="X548" s="174">
        <f t="shared" si="1807"/>
        <v>0.21511372114444255</v>
      </c>
    </row>
    <row r="549" spans="1:24" ht="20.100000000000001" customHeight="1" x14ac:dyDescent="0.25">
      <c r="A549" s="163">
        <f t="shared" ref="A549" si="1893">B549-$B$2</f>
        <v>857</v>
      </c>
      <c r="B549" s="172">
        <v>43090</v>
      </c>
      <c r="C549" s="215">
        <v>2684.59</v>
      </c>
      <c r="D549" s="171">
        <f t="shared" ref="D549" si="1894">(C549-C548)/C548</f>
        <v>1.9930950825791344E-3</v>
      </c>
      <c r="E549" s="209">
        <f t="shared" ref="E549" si="1895">(C549-$C$2)/$C$2</f>
        <v>0.27689256292688497</v>
      </c>
      <c r="F549" s="219">
        <v>6965.36</v>
      </c>
      <c r="G549" s="171">
        <f t="shared" ref="G549" si="1896">(F549-F548)/F548</f>
        <v>6.3353421587568576E-4</v>
      </c>
      <c r="H549" s="203">
        <f t="shared" ref="H549" si="1897">(F549-F$2)/F$2</f>
        <v>0.36798318832609933</v>
      </c>
      <c r="I549" s="221">
        <v>338086.81</v>
      </c>
      <c r="J549" s="173">
        <v>290000</v>
      </c>
      <c r="K549" s="173">
        <f t="shared" ref="K549" si="1898">I549-I548-J549+J548</f>
        <v>5496.7700000000186</v>
      </c>
      <c r="L549" s="171">
        <f t="shared" ref="L549" si="1899">K549/I548</f>
        <v>1.6527163591549581E-2</v>
      </c>
      <c r="M549" s="182">
        <f t="shared" ref="M549" si="1900">I549-J549</f>
        <v>48086.81</v>
      </c>
      <c r="N549" s="184">
        <f t="shared" ref="N549" si="1901">M549/J549</f>
        <v>0.16581658620689654</v>
      </c>
      <c r="O549" s="183">
        <f t="shared" ref="O549" si="1902">N549/(A549/365.25)</f>
        <v>7.0670371192612547E-2</v>
      </c>
      <c r="P549" s="182" t="b">
        <f t="shared" ref="P549" si="1903">L549&gt;D549</f>
        <v>1</v>
      </c>
      <c r="Q549" s="184">
        <f>COUNTIF(P$2:P549, TRUE)/(COUNTIF(P$2:P549,FALSE) + COUNTIF(P$2:P549, TRUE))</f>
        <v>0.48357664233576642</v>
      </c>
      <c r="R549" s="173">
        <v>218299.15</v>
      </c>
      <c r="S549" s="173">
        <f t="shared" ref="S549" si="1904">I549-R549</f>
        <v>119787.66</v>
      </c>
      <c r="T549" s="173">
        <v>-31667</v>
      </c>
      <c r="U549" s="173">
        <f t="shared" ref="U549" si="1905">M549-T549</f>
        <v>79753.81</v>
      </c>
      <c r="V549" s="184">
        <f>STDEV(D$2:D549)*SQRT(252)</f>
        <v>0.13540621962900054</v>
      </c>
      <c r="W549" s="184">
        <f>STDEV(L$2:L549)*SQRT(252)</f>
        <v>0.291246718230385</v>
      </c>
      <c r="X549" s="174">
        <f t="shared" si="1807"/>
        <v>0.24264778543087354</v>
      </c>
    </row>
    <row r="550" spans="1:24" ht="20.100000000000001" customHeight="1" x14ac:dyDescent="0.25">
      <c r="A550" s="163">
        <f t="shared" ref="A550" si="1906">B550-$B$2</f>
        <v>858</v>
      </c>
      <c r="B550" s="172">
        <v>43091</v>
      </c>
      <c r="C550" s="215">
        <f>C551+0.84</f>
        <v>2681.34</v>
      </c>
      <c r="D550" s="171">
        <f t="shared" ref="D550" si="1907">(C550-C549)/C549</f>
        <v>-1.2106131662562999E-3</v>
      </c>
      <c r="E550" s="209">
        <f t="shared" ref="E550" si="1908">(C550-$C$2)/$C$2</f>
        <v>0.27534673997831094</v>
      </c>
      <c r="F550" s="219">
        <f>F551+23.71</f>
        <v>6960.95</v>
      </c>
      <c r="G550" s="171">
        <f t="shared" ref="G550" si="1909">(F550-F549)/F549</f>
        <v>-6.3313310439085059E-4</v>
      </c>
      <c r="H550" s="203">
        <f t="shared" ref="H550" si="1910">(F550-F$2)/F$2</f>
        <v>0.36711707288331991</v>
      </c>
      <c r="I550" s="221">
        <f>I551-1562</f>
        <v>338627.13</v>
      </c>
      <c r="J550" s="173">
        <v>290000</v>
      </c>
      <c r="K550" s="173">
        <f t="shared" ref="K550" si="1911">I550-I549-J550+J549</f>
        <v>540.32000000000698</v>
      </c>
      <c r="L550" s="171">
        <f t="shared" ref="L550" si="1912">K550/I549</f>
        <v>1.5981694169021471E-3</v>
      </c>
      <c r="M550" s="182">
        <f t="shared" ref="M550" si="1913">I550-J550</f>
        <v>48627.130000000005</v>
      </c>
      <c r="N550" s="184">
        <f t="shared" ref="N550" si="1914">M550/J550</f>
        <v>0.16767975862068968</v>
      </c>
      <c r="O550" s="183">
        <f t="shared" ref="O550" si="1915">N550/(A550/365.25)</f>
        <v>7.1381155986255135E-2</v>
      </c>
      <c r="P550" s="182" t="b">
        <f t="shared" ref="P550" si="1916">L550&gt;D550</f>
        <v>1</v>
      </c>
      <c r="Q550" s="184">
        <f>COUNTIF(P$2:P550, TRUE)/(COUNTIF(P$2:P550,FALSE) + COUNTIF(P$2:P550, TRUE))</f>
        <v>0.48451730418943534</v>
      </c>
      <c r="R550" s="173"/>
      <c r="S550" s="173"/>
      <c r="T550" s="173"/>
      <c r="U550" s="173"/>
      <c r="V550" s="184">
        <f>STDEV(D$2:D550)*SQRT(252)</f>
        <v>0.13528726740433272</v>
      </c>
      <c r="W550" s="184">
        <f>STDEV(L$2:L550)*SQRT(252)</f>
        <v>0.29098117176035337</v>
      </c>
      <c r="X550" s="174">
        <f t="shared" si="1807"/>
        <v>0.24531194081878024</v>
      </c>
    </row>
    <row r="551" spans="1:24" ht="20.100000000000001" customHeight="1" x14ac:dyDescent="0.25">
      <c r="A551" s="163">
        <f t="shared" ref="A551" si="1917">B551-$B$2</f>
        <v>862</v>
      </c>
      <c r="B551" s="172">
        <v>43095</v>
      </c>
      <c r="C551" s="215">
        <v>2680.5</v>
      </c>
      <c r="D551" s="171">
        <f t="shared" ref="D551" si="1918">(C551-C550)/C550</f>
        <v>-3.1327619772208878E-4</v>
      </c>
      <c r="E551" s="209">
        <f t="shared" ref="E551" si="1919">(C551-$C$2)/$C$2</f>
        <v>0.2749472042008333</v>
      </c>
      <c r="F551" s="219">
        <v>6937.24</v>
      </c>
      <c r="G551" s="171">
        <f t="shared" ref="G551" si="1920">(F551-F550)/F550</f>
        <v>-3.406144276284133E-3</v>
      </c>
      <c r="H551" s="203">
        <f t="shared" ref="H551" si="1921">(F551-F$2)/F$2</f>
        <v>0.36246047489050809</v>
      </c>
      <c r="I551" s="221">
        <v>340189.13</v>
      </c>
      <c r="J551" s="173">
        <v>290000</v>
      </c>
      <c r="K551" s="173">
        <f t="shared" ref="K551" si="1922">I551-I550-J551+J550</f>
        <v>1562</v>
      </c>
      <c r="L551" s="171">
        <f t="shared" ref="L551" si="1923">K551/I550</f>
        <v>4.6127432258602549E-3</v>
      </c>
      <c r="M551" s="182">
        <f t="shared" ref="M551" si="1924">I551-J551</f>
        <v>50189.130000000005</v>
      </c>
      <c r="N551" s="184">
        <f t="shared" ref="N551" si="1925">M551/J551</f>
        <v>0.1730659655172414</v>
      </c>
      <c r="O551" s="183">
        <f t="shared" ref="O551" si="1926">N551/(A551/365.25)</f>
        <v>7.33321855048404E-2</v>
      </c>
      <c r="P551" s="182" t="b">
        <f t="shared" ref="P551" si="1927">L551&gt;D551</f>
        <v>1</v>
      </c>
      <c r="Q551" s="184">
        <f>COUNTIF(P$2:P551, TRUE)/(COUNTIF(P$2:P551,FALSE) + COUNTIF(P$2:P551, TRUE))</f>
        <v>0.48545454545454547</v>
      </c>
      <c r="R551" s="173">
        <v>222797.6</v>
      </c>
      <c r="S551" s="173">
        <f t="shared" ref="S551" si="1928">I551-R551</f>
        <v>117391.53</v>
      </c>
      <c r="T551" s="173">
        <v>-31257</v>
      </c>
      <c r="U551" s="173">
        <f t="shared" ref="U551" si="1929">M551-T551</f>
        <v>81446.13</v>
      </c>
      <c r="V551" s="184">
        <f>STDEV(D$2:D551)*SQRT(252)</f>
        <v>0.1351648425652329</v>
      </c>
      <c r="W551" s="184">
        <f>STDEV(L$2:L551)*SQRT(252)</f>
        <v>0.29072829644289788</v>
      </c>
      <c r="X551" s="174">
        <f t="shared" si="1807"/>
        <v>0.25223614764049507</v>
      </c>
    </row>
    <row r="552" spans="1:24" ht="20.100000000000001" customHeight="1" x14ac:dyDescent="0.25">
      <c r="A552" s="163">
        <f t="shared" ref="A552" si="1930">B552-$B$2</f>
        <v>863</v>
      </c>
      <c r="B552" s="172">
        <v>43096</v>
      </c>
      <c r="C552" s="215">
        <v>2682.62</v>
      </c>
      <c r="D552" s="171">
        <f t="shared" ref="D552" si="1931">(C552-C551)/C551</f>
        <v>7.9089722066774519E-4</v>
      </c>
      <c r="E552" s="209">
        <f t="shared" ref="E552" si="1932">(C552-$C$2)/$C$2</f>
        <v>0.27595555640113384</v>
      </c>
      <c r="F552" s="219">
        <v>6939.33</v>
      </c>
      <c r="G552" s="171">
        <f t="shared" ref="G552" si="1933">(F552-F551)/F551</f>
        <v>3.0127255219657178E-4</v>
      </c>
      <c r="H552" s="203">
        <f t="shared" ref="H552" si="1934">(F552-F$2)/F$2</f>
        <v>0.36287094683504528</v>
      </c>
      <c r="I552" s="221">
        <v>338273.53</v>
      </c>
      <c r="J552" s="173">
        <v>290000</v>
      </c>
      <c r="K552" s="173">
        <f t="shared" ref="K552" si="1935">I552-I551-J552+J551</f>
        <v>-1915.5999999999767</v>
      </c>
      <c r="L552" s="171">
        <f t="shared" ref="L552:L557" si="1936">K552/I551</f>
        <v>-5.6309853286610791E-3</v>
      </c>
      <c r="M552" s="182">
        <f t="shared" ref="M552" si="1937">I552-J552</f>
        <v>48273.530000000028</v>
      </c>
      <c r="N552" s="184">
        <f t="shared" ref="N552" si="1938">M552/J552</f>
        <v>0.16646044827586218</v>
      </c>
      <c r="O552" s="183">
        <f t="shared" ref="O552" si="1939">N552/(A552/365.25)</f>
        <v>7.0451539667159516E-2</v>
      </c>
      <c r="P552" s="182" t="b">
        <f t="shared" ref="P552" si="1940">L552&gt;D552</f>
        <v>0</v>
      </c>
      <c r="Q552" s="184">
        <f>COUNTIF(P$2:P552, TRUE)/(COUNTIF(P$2:P552,FALSE) + COUNTIF(P$2:P552, TRUE))</f>
        <v>0.48457350272232302</v>
      </c>
      <c r="R552" s="173">
        <v>220882</v>
      </c>
      <c r="S552" s="173">
        <f t="shared" ref="S552" si="1941">I552-R552</f>
        <v>117391.53000000003</v>
      </c>
      <c r="T552" s="173">
        <v>-31384</v>
      </c>
      <c r="U552" s="173">
        <f t="shared" ref="U552" si="1942">M552-T552</f>
        <v>79657.530000000028</v>
      </c>
      <c r="V552" s="184">
        <f>STDEV(D$2:D552)*SQRT(252)</f>
        <v>0.13504185089620829</v>
      </c>
      <c r="W552" s="184">
        <f>STDEV(L$2:L552)*SQRT(252)</f>
        <v>0.29049404453363842</v>
      </c>
      <c r="X552" s="174">
        <f t="shared" si="1807"/>
        <v>0.24252318074287207</v>
      </c>
    </row>
    <row r="553" spans="1:24" ht="20.100000000000001" customHeight="1" x14ac:dyDescent="0.25">
      <c r="A553" s="163">
        <f t="shared" ref="A553" si="1943">B553-$B$2</f>
        <v>864</v>
      </c>
      <c r="B553" s="172">
        <v>43097</v>
      </c>
      <c r="C553" s="215">
        <v>2687.54</v>
      </c>
      <c r="D553" s="171">
        <f t="shared" ref="D553" si="1944">(C553-C552)/C552</f>
        <v>1.8340279279212386E-3</v>
      </c>
      <c r="E553" s="209">
        <f t="shared" ref="E553" si="1945">(C553-$C$2)/$C$2</f>
        <v>0.27829569452635977</v>
      </c>
      <c r="F553" s="219">
        <v>6950.16</v>
      </c>
      <c r="G553" s="171">
        <f t="shared" ref="G553" si="1946">(F553-F552)/F552</f>
        <v>1.560669401801028E-3</v>
      </c>
      <c r="H553" s="203">
        <f t="shared" ref="H553" si="1947">(F553-F$2)/F$2</f>
        <v>0.36499793782037437</v>
      </c>
      <c r="I553" s="221">
        <v>338405.59</v>
      </c>
      <c r="J553" s="173">
        <v>290000</v>
      </c>
      <c r="K553" s="173">
        <f t="shared" ref="K553" si="1948">I553-I552-J553+J552</f>
        <v>132.05999999999767</v>
      </c>
      <c r="L553" s="171">
        <f t="shared" si="1936"/>
        <v>3.9039412868041335E-4</v>
      </c>
      <c r="M553" s="182">
        <f t="shared" ref="M553" si="1949">I553-J553</f>
        <v>48405.590000000026</v>
      </c>
      <c r="N553" s="184">
        <f t="shared" ref="N553" si="1950">M553/J553</f>
        <v>0.16691582758620699</v>
      </c>
      <c r="O553" s="183">
        <f t="shared" ref="O553" si="1951">N553/(A553/365.25)</f>
        <v>7.0562506974377437E-2</v>
      </c>
      <c r="P553" s="182" t="b">
        <f t="shared" ref="P553" si="1952">L553&gt;D553</f>
        <v>0</v>
      </c>
      <c r="Q553" s="184">
        <f>COUNTIF(P$2:P553, TRUE)/(COUNTIF(P$2:P553,FALSE) + COUNTIF(P$2:P553, TRUE))</f>
        <v>0.48369565217391303</v>
      </c>
      <c r="R553" s="173">
        <v>219160.1</v>
      </c>
      <c r="S553" s="173">
        <f t="shared" ref="S553" si="1953">I553-R553</f>
        <v>119245.49000000002</v>
      </c>
      <c r="T553" s="173">
        <v>-31468</v>
      </c>
      <c r="U553" s="173">
        <f t="shared" ref="U553" si="1954">M553-T553</f>
        <v>79873.590000000026</v>
      </c>
      <c r="V553" s="184">
        <f>STDEV(D$2:D553)*SQRT(252)</f>
        <v>0.13492214065501756</v>
      </c>
      <c r="W553" s="184">
        <f>STDEV(L$2:L553)*SQRT(252)</f>
        <v>0.29022987077746648</v>
      </c>
      <c r="X553" s="174">
        <f t="shared" si="1807"/>
        <v>0.24312627361668496</v>
      </c>
    </row>
    <row r="554" spans="1:24" ht="20.100000000000001" customHeight="1" x14ac:dyDescent="0.25">
      <c r="A554" s="163">
        <f t="shared" ref="A554" si="1955">B554-$B$2</f>
        <v>865</v>
      </c>
      <c r="B554" s="172">
        <v>43098</v>
      </c>
      <c r="C554" s="215">
        <v>2673.61</v>
      </c>
      <c r="D554" s="171">
        <f t="shared" ref="D554" si="1956">(C554-C553)/C553</f>
        <v>-5.1831786689685872E-3</v>
      </c>
      <c r="E554" s="209">
        <f t="shared" ref="E554" si="1957">(C554-$C$2)/$C$2</f>
        <v>0.2716700595498564</v>
      </c>
      <c r="F554" s="219">
        <v>6903.38</v>
      </c>
      <c r="G554" s="171">
        <f t="shared" ref="G554" si="1958">(F554-F553)/F553</f>
        <v>-6.7307802985830181E-3</v>
      </c>
      <c r="H554" s="203">
        <f t="shared" ref="H554" si="1959">(F554-F$2)/F$2</f>
        <v>0.35581043659288653</v>
      </c>
      <c r="I554" s="473">
        <v>337203.38</v>
      </c>
      <c r="J554" s="173">
        <v>290000</v>
      </c>
      <c r="K554" s="173">
        <f t="shared" ref="K554" si="1960">I554-I553-J554+J553</f>
        <v>-1202.210000000021</v>
      </c>
      <c r="L554" s="171">
        <f t="shared" si="1936"/>
        <v>-3.5525713390255191E-3</v>
      </c>
      <c r="M554" s="473">
        <f t="shared" ref="M554" si="1961">I554-J554</f>
        <v>47203.380000000005</v>
      </c>
      <c r="N554" s="184">
        <f t="shared" ref="N554" si="1962">M554/J554</f>
        <v>0.16277027586206899</v>
      </c>
      <c r="O554" s="183">
        <f t="shared" ref="O554" si="1963">N554/(A554/365.25)</f>
        <v>6.8730454634243585E-2</v>
      </c>
      <c r="P554" s="182" t="b">
        <f t="shared" ref="P554" si="1964">L554&gt;D554</f>
        <v>1</v>
      </c>
      <c r="Q554" s="184">
        <f>COUNTIF(P$2:P554, TRUE)/(COUNTIF(P$2:P554,FALSE) + COUNTIF(P$2:P554, TRUE))</f>
        <v>0.48462929475587702</v>
      </c>
      <c r="R554" s="173">
        <v>227993.4</v>
      </c>
      <c r="S554" s="173">
        <f t="shared" ref="S554" si="1965">I554-R554</f>
        <v>109209.98000000001</v>
      </c>
      <c r="T554" s="173">
        <v>-31748</v>
      </c>
      <c r="U554" s="173">
        <f t="shared" ref="U554" si="1966">M554-T554</f>
        <v>78951.38</v>
      </c>
      <c r="V554" s="184">
        <f>STDEV(D$2:D554)*SQRT(252)</f>
        <v>0.13485398052483238</v>
      </c>
      <c r="W554" s="184">
        <f>STDEV(L$2:L554)*SQRT(252)</f>
        <v>0.28997990122526646</v>
      </c>
      <c r="X554" s="174">
        <f t="shared" si="1807"/>
        <v>0.237017994501803</v>
      </c>
    </row>
    <row r="555" spans="1:24" ht="20.100000000000001" customHeight="1" x14ac:dyDescent="0.25">
      <c r="A555" s="163">
        <f t="shared" ref="A555" si="1967">B555-$B$2</f>
        <v>869</v>
      </c>
      <c r="B555" s="172">
        <v>43102</v>
      </c>
      <c r="C555" s="215">
        <v>2695.81</v>
      </c>
      <c r="D555" s="171">
        <f t="shared" ref="D555" si="1968">(C555-C554)/C554</f>
        <v>8.3033800741319098E-3</v>
      </c>
      <c r="E555" s="209">
        <f t="shared" ref="E555" si="1969">(C555-$C$2)/$C$2</f>
        <v>0.28222921938319279</v>
      </c>
      <c r="F555" s="219">
        <v>7006.89</v>
      </c>
      <c r="G555" s="171">
        <f t="shared" ref="G555" si="1970">(F555-F554)/F554</f>
        <v>1.4994104337295675E-2</v>
      </c>
      <c r="H555" s="203">
        <f t="shared" ref="H555" si="1971">(F555-F$2)/F$2</f>
        <v>0.37613959974075467</v>
      </c>
      <c r="I555" s="221">
        <v>343412.47999999998</v>
      </c>
      <c r="J555" s="173">
        <v>290000</v>
      </c>
      <c r="K555" s="173">
        <f t="shared" ref="K555" si="1972">I555-I554-J555+J554</f>
        <v>6209.0999999999767</v>
      </c>
      <c r="L555" s="171">
        <f t="shared" si="1936"/>
        <v>1.8413516495593776E-2</v>
      </c>
      <c r="M555" s="182">
        <f t="shared" ref="M555" si="1973">I555-J555</f>
        <v>53412.479999999981</v>
      </c>
      <c r="N555" s="184">
        <f t="shared" ref="N555" si="1974">M555/J555</f>
        <v>0.18418096551724131</v>
      </c>
      <c r="O555" s="183">
        <f t="shared" ref="O555" si="1975">N555/(A555/365.25)</f>
        <v>7.7413230903535551E-2</v>
      </c>
      <c r="P555" s="182" t="b">
        <f t="shared" ref="P555" si="1976">L555&gt;D555</f>
        <v>1</v>
      </c>
      <c r="Q555" s="184">
        <f>COUNTIF(P$2:P555, TRUE)/(COUNTIF(P$2:P555,FALSE) + COUNTIF(P$2:P555, TRUE))</f>
        <v>0.48555956678700363</v>
      </c>
      <c r="R555" s="173">
        <v>227205.1</v>
      </c>
      <c r="S555" s="173">
        <f t="shared" ref="S555" si="1977">I555-R555</f>
        <v>116207.37999999998</v>
      </c>
      <c r="T555" s="173">
        <v>-30580</v>
      </c>
      <c r="U555" s="173">
        <f t="shared" ref="U555" si="1978">M555-T555</f>
        <v>83992.479999999981</v>
      </c>
      <c r="V555" s="184">
        <f>STDEV(D$2:D555)*SQRT(252)</f>
        <v>0.13483546761309076</v>
      </c>
      <c r="W555" s="184">
        <f>STDEV(L$2:L555)*SQRT(252)</f>
        <v>0.28996702596265966</v>
      </c>
      <c r="X555" s="174">
        <f t="shared" si="1807"/>
        <v>0.26697253126120757</v>
      </c>
    </row>
    <row r="556" spans="1:24" ht="20.100000000000001" customHeight="1" x14ac:dyDescent="0.25">
      <c r="A556" s="163">
        <f t="shared" ref="A556" si="1979">B556-$B$2</f>
        <v>870</v>
      </c>
      <c r="B556" s="172">
        <v>43103</v>
      </c>
      <c r="C556" s="215">
        <v>2713.06</v>
      </c>
      <c r="D556" s="171">
        <f t="shared" ref="D556" si="1980">(C556-C555)/C555</f>
        <v>6.3988189078607177E-3</v>
      </c>
      <c r="E556" s="209">
        <f t="shared" ref="E556" si="1981">(C556-$C$2)/$C$2</f>
        <v>0.29043397195639348</v>
      </c>
      <c r="F556" s="219">
        <v>7065.53</v>
      </c>
      <c r="G556" s="171">
        <f t="shared" ref="G556" si="1982">(F556-F555)/F555</f>
        <v>8.3689054630512842E-3</v>
      </c>
      <c r="H556" s="203">
        <f t="shared" ref="H556" si="1983">(F556-F$2)/F$2</f>
        <v>0.38765638195494628</v>
      </c>
      <c r="I556" s="221">
        <v>344644.23</v>
      </c>
      <c r="J556" s="173">
        <v>290000</v>
      </c>
      <c r="K556" s="173">
        <f t="shared" ref="K556" si="1984">I556-I555-J556+J555</f>
        <v>1231.75</v>
      </c>
      <c r="L556" s="171">
        <f t="shared" si="1936"/>
        <v>3.5867945160292371E-3</v>
      </c>
      <c r="M556" s="182">
        <f t="shared" ref="M556" si="1985">I556-J556</f>
        <v>54644.229999999981</v>
      </c>
      <c r="N556" s="184">
        <f t="shared" ref="N556" si="1986">M556/J556</f>
        <v>0.18842837931034476</v>
      </c>
      <c r="O556" s="183">
        <f t="shared" ref="O556" si="1987">N556/(A556/365.25)</f>
        <v>7.9107431658739555E-2</v>
      </c>
      <c r="P556" s="182" t="b">
        <f t="shared" ref="P556" si="1988">L556&gt;D556</f>
        <v>0</v>
      </c>
      <c r="Q556" s="184">
        <f>COUNTIF(P$2:P556, TRUE)/(COUNTIF(P$2:P556,FALSE) + COUNTIF(P$2:P556, TRUE))</f>
        <v>0.48468468468468467</v>
      </c>
      <c r="R556" s="173">
        <v>229704.9</v>
      </c>
      <c r="S556" s="173">
        <f t="shared" ref="S556" si="1989">I556-R556</f>
        <v>114939.32999999999</v>
      </c>
      <c r="T556" s="173">
        <v>-31165</v>
      </c>
      <c r="U556" s="173">
        <f t="shared" ref="U556" si="1990">M556-T556</f>
        <v>85809.229999999981</v>
      </c>
      <c r="V556" s="184">
        <f>STDEV(D$2:D556)*SQRT(252)</f>
        <v>0.13477252040825866</v>
      </c>
      <c r="W556" s="184">
        <f>STDEV(L$2:L556)*SQRT(252)</f>
        <v>0.2897116598883494</v>
      </c>
      <c r="X556" s="174">
        <f t="shared" si="1807"/>
        <v>0.27305573993544613</v>
      </c>
    </row>
    <row r="557" spans="1:24" ht="20.100000000000001" customHeight="1" x14ac:dyDescent="0.25">
      <c r="A557" s="163">
        <f t="shared" ref="A557" si="1991">B557-$B$2</f>
        <v>871</v>
      </c>
      <c r="B557" s="172">
        <v>43104</v>
      </c>
      <c r="C557" s="215">
        <v>2723.99</v>
      </c>
      <c r="D557" s="171">
        <f t="shared" ref="D557" si="1992">(C557-C556)/C556</f>
        <v>4.0286613639211209E-3</v>
      </c>
      <c r="E557" s="209">
        <f t="shared" ref="E557" si="1993">(C557-$C$2)/$C$2</f>
        <v>0.29563269344190546</v>
      </c>
      <c r="F557" s="219">
        <v>7077.91</v>
      </c>
      <c r="G557" s="171">
        <f t="shared" ref="G557" si="1994">(F557-F556)/F556</f>
        <v>1.7521686271235292E-3</v>
      </c>
      <c r="H557" s="203">
        <f t="shared" ref="H557" si="1995">(F557-F$2)/F$2</f>
        <v>0.39008778993263549</v>
      </c>
      <c r="I557" s="221">
        <v>346398.26</v>
      </c>
      <c r="J557" s="173">
        <v>290000</v>
      </c>
      <c r="K557" s="173">
        <f t="shared" ref="K557" si="1996">I557-I556-J557+J556</f>
        <v>1754.0300000000279</v>
      </c>
      <c r="L557" s="171">
        <f t="shared" si="1936"/>
        <v>5.0893931983136001E-3</v>
      </c>
      <c r="M557" s="182">
        <f t="shared" ref="M557" si="1997">I557-J557</f>
        <v>56398.260000000009</v>
      </c>
      <c r="N557" s="184">
        <f t="shared" ref="N557" si="1998">M557/J557</f>
        <v>0.19447675862068969</v>
      </c>
      <c r="O557" s="183">
        <f t="shared" ref="O557" si="1999">N557/(A557/365.25)</f>
        <v>8.1552969100122732E-2</v>
      </c>
      <c r="P557" s="182" t="b">
        <f t="shared" ref="P557" si="2000">L557&gt;D557</f>
        <v>1</v>
      </c>
      <c r="Q557" s="184">
        <f>COUNTIF(P$2:P557, TRUE)/(COUNTIF(P$2:P557,FALSE) + COUNTIF(P$2:P557, TRUE))</f>
        <v>0.48561151079136688</v>
      </c>
      <c r="R557" s="173">
        <v>242885.7</v>
      </c>
      <c r="S557" s="173">
        <f t="shared" ref="S557" si="2001">I557-R557</f>
        <v>103512.56</v>
      </c>
      <c r="T557" s="173">
        <v>-32271</v>
      </c>
      <c r="U557" s="173">
        <f t="shared" ref="U557" si="2002">M557-T557</f>
        <v>88669.260000000009</v>
      </c>
      <c r="V557" s="184">
        <f>STDEV(D$2:D557)*SQRT(252)</f>
        <v>0.13467186615728099</v>
      </c>
      <c r="W557" s="184">
        <f>STDEV(L$2:L557)*SQRT(252)</f>
        <v>0.28946572718948649</v>
      </c>
      <c r="X557" s="174">
        <f t="shared" si="1807"/>
        <v>0.28173618304296705</v>
      </c>
    </row>
    <row r="558" spans="1:24" ht="20.100000000000001" customHeight="1" x14ac:dyDescent="0.25">
      <c r="A558" s="163">
        <f t="shared" ref="A558" si="2003">B558-$B$2</f>
        <v>872</v>
      </c>
      <c r="B558" s="172">
        <v>43105</v>
      </c>
      <c r="C558" s="215">
        <v>2743.15</v>
      </c>
      <c r="D558" s="171">
        <f t="shared" ref="D558" si="2004">(C558-C557)/C557</f>
        <v>7.0337996835525499E-3</v>
      </c>
      <c r="E558" s="209">
        <f t="shared" ref="E558" si="2005">(C558-$C$2)/$C$2</f>
        <v>0.30474591427103748</v>
      </c>
      <c r="F558" s="219">
        <v>7136.55</v>
      </c>
      <c r="G558" s="171">
        <f t="shared" ref="G558" si="2006">(F558-F557)/F557</f>
        <v>8.2849315687823569E-3</v>
      </c>
      <c r="H558" s="203">
        <f t="shared" ref="H558" si="2007">(F558-F$2)/F$2</f>
        <v>0.40160457214682727</v>
      </c>
      <c r="I558" s="221">
        <v>346659.69</v>
      </c>
      <c r="J558" s="173">
        <v>290000</v>
      </c>
      <c r="K558" s="173">
        <f t="shared" ref="K558" si="2008">I558-I557-J558+J557</f>
        <v>261.42999999999302</v>
      </c>
      <c r="L558" s="171">
        <f t="shared" ref="L558" si="2009">K558/I557</f>
        <v>7.5470933370159826E-4</v>
      </c>
      <c r="M558" s="182">
        <f t="shared" ref="M558" si="2010">I558-J558</f>
        <v>56659.69</v>
      </c>
      <c r="N558" s="184">
        <f t="shared" ref="N558" si="2011">M558/J558</f>
        <v>0.19537824137931034</v>
      </c>
      <c r="O558" s="183">
        <f t="shared" ref="O558" si="2012">N558/(A558/365.25)</f>
        <v>8.1837044339212267E-2</v>
      </c>
      <c r="P558" s="182" t="b">
        <f t="shared" ref="P558" si="2013">L558&gt;D558</f>
        <v>0</v>
      </c>
      <c r="Q558" s="184">
        <f>COUNTIF(P$2:P558, TRUE)/(COUNTIF(P$2:P558,FALSE) + COUNTIF(P$2:P558, TRUE))</f>
        <v>0.48473967684021546</v>
      </c>
      <c r="R558" s="173">
        <v>221685.2</v>
      </c>
      <c r="S558" s="173">
        <f t="shared" ref="S558" si="2014">I558-R558</f>
        <v>124974.48999999999</v>
      </c>
      <c r="T558" s="173">
        <v>-31364</v>
      </c>
      <c r="U558" s="173">
        <f t="shared" ref="U558" si="2015">M558-T558</f>
        <v>88023.69</v>
      </c>
      <c r="V558" s="184">
        <f>STDEV(D$2:D558)*SQRT(252)</f>
        <v>0.13462231067466959</v>
      </c>
      <c r="W558" s="184">
        <f>STDEV(L$2:L558)*SQRT(252)</f>
        <v>0.2892048419948855</v>
      </c>
      <c r="X558" s="174">
        <f t="shared" si="1807"/>
        <v>0.28297259400884972</v>
      </c>
    </row>
    <row r="559" spans="1:24" ht="20.100000000000001" customHeight="1" x14ac:dyDescent="0.25">
      <c r="A559" s="163">
        <f t="shared" ref="A559" si="2016">B559-$B$2</f>
        <v>875</v>
      </c>
      <c r="B559" s="172">
        <v>43108</v>
      </c>
      <c r="C559" s="215">
        <v>2747.71</v>
      </c>
      <c r="D559" s="171">
        <f t="shared" ref="D559" si="2017">(C559-C558)/C558</f>
        <v>1.662322512440058E-3</v>
      </c>
      <c r="E559" s="209">
        <f t="shared" ref="E559" si="2018">(C559-$C$2)/$C$2</f>
        <v>0.30691482277734439</v>
      </c>
      <c r="F559" s="219">
        <v>7157.38</v>
      </c>
      <c r="G559" s="171">
        <f t="shared" ref="G559" si="2019">(F559-F558)/F558</f>
        <v>2.9187772803385289E-3</v>
      </c>
      <c r="H559" s="203">
        <f t="shared" ref="H559" si="2020">(F559-F$2)/F$2</f>
        <v>0.40569554372802802</v>
      </c>
      <c r="I559" s="221">
        <v>347500.29</v>
      </c>
      <c r="J559" s="173">
        <v>290000</v>
      </c>
      <c r="K559" s="173">
        <f t="shared" ref="K559" si="2021">I559-I558-J559+J558</f>
        <v>840.59999999997672</v>
      </c>
      <c r="L559" s="171">
        <f t="shared" ref="L559" si="2022">K559/I558</f>
        <v>2.4248564925445377E-3</v>
      </c>
      <c r="M559" s="182">
        <f t="shared" ref="M559" si="2023">I559-J559</f>
        <v>57500.289999999979</v>
      </c>
      <c r="N559" s="184">
        <f t="shared" ref="N559" si="2024">M559/J559</f>
        <v>0.19827686206896544</v>
      </c>
      <c r="O559" s="183">
        <f t="shared" ref="O559" si="2025">N559/(A559/365.25)</f>
        <v>8.2766427280788146E-2</v>
      </c>
      <c r="P559" s="182" t="b">
        <f t="shared" ref="P559" si="2026">L559&gt;D559</f>
        <v>1</v>
      </c>
      <c r="Q559" s="184">
        <f>COUNTIF(P$2:P559, TRUE)/(COUNTIF(P$2:P559,FALSE) + COUNTIF(P$2:P559, TRUE))</f>
        <v>0.48566308243727596</v>
      </c>
      <c r="R559" s="173">
        <v>226002.5</v>
      </c>
      <c r="S559" s="173">
        <f t="shared" ref="S559" si="2027">I559-R559</f>
        <v>121497.78999999998</v>
      </c>
      <c r="T559" s="173">
        <v>-30809</v>
      </c>
      <c r="U559" s="173">
        <f t="shared" ref="U559" si="2028">M559-T559</f>
        <v>88309.289999999979</v>
      </c>
      <c r="V559" s="184">
        <f>STDEV(D$2:D559)*SQRT(252)</f>
        <v>0.13450340927460769</v>
      </c>
      <c r="W559" s="184">
        <f>STDEV(L$2:L559)*SQRT(252)</f>
        <v>0.28894717192273284</v>
      </c>
      <c r="X559" s="174">
        <f t="shared" si="1807"/>
        <v>0.28644138210468678</v>
      </c>
    </row>
    <row r="560" spans="1:24" ht="20.100000000000001" customHeight="1" x14ac:dyDescent="0.25">
      <c r="A560" s="163">
        <f t="shared" ref="A560" si="2029">B560-$B$2</f>
        <v>876</v>
      </c>
      <c r="B560" s="172">
        <v>43109</v>
      </c>
      <c r="C560" s="215">
        <v>2751.29</v>
      </c>
      <c r="D560" s="171">
        <f t="shared" ref="D560" si="2030">(C560-C559)/C559</f>
        <v>1.3029031448005528E-3</v>
      </c>
      <c r="E560" s="209">
        <f t="shared" ref="E560" si="2031">(C560-$C$2)/$C$2</f>
        <v>0.30861760620992745</v>
      </c>
      <c r="F560" s="219">
        <v>7163.57</v>
      </c>
      <c r="G560" s="171">
        <f t="shared" ref="G560" si="2032">(F560-F559)/F559</f>
        <v>8.6484160405058829E-4</v>
      </c>
      <c r="H560" s="203">
        <f t="shared" ref="H560" si="2033">(F560-F$2)/F$2</f>
        <v>0.40691124771687254</v>
      </c>
      <c r="I560" s="221">
        <v>347598.39</v>
      </c>
      <c r="J560" s="173">
        <v>290000</v>
      </c>
      <c r="K560" s="173">
        <f t="shared" ref="K560" si="2034">I560-I559-J560+J559</f>
        <v>98.100000000034925</v>
      </c>
      <c r="L560" s="171">
        <f t="shared" ref="L560" si="2035">K560/I559</f>
        <v>2.8230192268338807E-4</v>
      </c>
      <c r="M560" s="182">
        <f t="shared" ref="M560" si="2036">I560-J560</f>
        <v>57598.390000000014</v>
      </c>
      <c r="N560" s="184">
        <f t="shared" ref="N560" si="2037">M560/J560</f>
        <v>0.19861513793103452</v>
      </c>
      <c r="O560" s="183">
        <f t="shared" ref="O560" si="2038">N560/(A560/365.25)</f>
        <v>8.2812989873641968E-2</v>
      </c>
      <c r="P560" s="182" t="b">
        <f t="shared" ref="P560" si="2039">L560&gt;D560</f>
        <v>0</v>
      </c>
      <c r="Q560" s="184">
        <f>COUNTIF(P$2:P560, TRUE)/(COUNTIF(P$2:P560,FALSE) + COUNTIF(P$2:P560, TRUE))</f>
        <v>0.48479427549194992</v>
      </c>
      <c r="R560" s="173">
        <v>226100.6</v>
      </c>
      <c r="S560" s="173">
        <f t="shared" ref="S560" si="2040">I560-R560</f>
        <v>121497.79000000001</v>
      </c>
      <c r="T560" s="173">
        <v>-31069</v>
      </c>
      <c r="U560" s="173">
        <f t="shared" ref="U560" si="2041">M560-T560</f>
        <v>88667.390000000014</v>
      </c>
      <c r="V560" s="184">
        <f>STDEV(D$2:D560)*SQRT(252)</f>
        <v>0.13438365522082504</v>
      </c>
      <c r="W560" s="184">
        <f>STDEV(L$2:L560)*SQRT(252)</f>
        <v>0.28868777341821511</v>
      </c>
      <c r="X560" s="174">
        <f t="shared" si="1807"/>
        <v>0.28686005262049236</v>
      </c>
    </row>
    <row r="561" spans="1:24" ht="20.100000000000001" customHeight="1" x14ac:dyDescent="0.25">
      <c r="A561" s="163">
        <f t="shared" ref="A561" si="2042">B561-$B$2</f>
        <v>877</v>
      </c>
      <c r="B561" s="172">
        <v>43110</v>
      </c>
      <c r="C561" s="215">
        <v>2748.23</v>
      </c>
      <c r="D561" s="171">
        <f t="shared" ref="D561" si="2043">(C561-C560)/C560</f>
        <v>-1.1122055472160134E-3</v>
      </c>
      <c r="E561" s="209">
        <f t="shared" ref="E561" si="2044">(C561-$C$2)/$C$2</f>
        <v>0.30716215444911626</v>
      </c>
      <c r="F561" s="219">
        <v>7153.57</v>
      </c>
      <c r="G561" s="171">
        <f t="shared" ref="G561" si="2045">(F561-F560)/F560</f>
        <v>-1.3959520183372258E-3</v>
      </c>
      <c r="H561" s="203">
        <f t="shared" ref="H561" si="2046">(F561-F$2)/F$2</f>
        <v>0.40494726712100082</v>
      </c>
      <c r="I561" s="221">
        <v>346712.84</v>
      </c>
      <c r="J561" s="173">
        <v>290000</v>
      </c>
      <c r="K561" s="173">
        <f t="shared" ref="K561" si="2047">I561-I560-J561+J560</f>
        <v>-885.54999999998836</v>
      </c>
      <c r="L561" s="171">
        <f t="shared" ref="L561" si="2048">K561/I560</f>
        <v>-2.5476239979131902E-3</v>
      </c>
      <c r="M561" s="182">
        <f t="shared" ref="M561" si="2049">I561-J561</f>
        <v>56712.840000000026</v>
      </c>
      <c r="N561" s="184">
        <f t="shared" ref="N561" si="2050">M561/J561</f>
        <v>0.19556151724137941</v>
      </c>
      <c r="O561" s="183">
        <f t="shared" ref="O561" si="2051">N561/(A561/365.25)</f>
        <v>8.1446800652695356E-2</v>
      </c>
      <c r="P561" s="182" t="b">
        <f t="shared" ref="P561" si="2052">L561&gt;D561</f>
        <v>0</v>
      </c>
      <c r="Q561" s="184">
        <f>COUNTIF(P$2:P561, TRUE)/(COUNTIF(P$2:P561,FALSE) + COUNTIF(P$2:P561, TRUE))</f>
        <v>0.48392857142857143</v>
      </c>
      <c r="R561" s="173">
        <v>225215.05</v>
      </c>
      <c r="S561" s="173">
        <f t="shared" ref="S561" si="2053">I561-R561</f>
        <v>121497.79000000004</v>
      </c>
      <c r="T561" s="173">
        <v>-30783</v>
      </c>
      <c r="U561" s="173">
        <f t="shared" ref="U561" si="2054">M561-T561</f>
        <v>87495.840000000026</v>
      </c>
      <c r="V561" s="184">
        <f>STDEV(D$2:D561)*SQRT(252)</f>
        <v>0.13426764638873573</v>
      </c>
      <c r="W561" s="184">
        <f>STDEV(L$2:L561)*SQRT(252)</f>
        <v>0.28843687816025637</v>
      </c>
      <c r="X561" s="174">
        <f t="shared" si="1807"/>
        <v>0.28237304873145685</v>
      </c>
    </row>
    <row r="562" spans="1:24" ht="20.100000000000001" customHeight="1" x14ac:dyDescent="0.25">
      <c r="A562" s="163">
        <f t="shared" ref="A562" si="2055">B562-$B$2</f>
        <v>878</v>
      </c>
      <c r="B562" s="172">
        <v>43111</v>
      </c>
      <c r="C562" s="215">
        <v>2767.56</v>
      </c>
      <c r="D562" s="171">
        <f t="shared" ref="D562" si="2056">(C562-C561)/C561</f>
        <v>7.0336180014045138E-3</v>
      </c>
      <c r="E562" s="209">
        <f t="shared" ref="E562" si="2057">(C562-$C$2)/$C$2</f>
        <v>0.31635623370940424</v>
      </c>
      <c r="F562" s="219">
        <v>7211.77</v>
      </c>
      <c r="G562" s="171">
        <f t="shared" ref="G562" si="2058">(F562-F561)/F561</f>
        <v>8.1357979302642911E-3</v>
      </c>
      <c r="H562" s="203">
        <f t="shared" ref="H562" si="2059">(F562-F$2)/F$2</f>
        <v>0.41637763418897433</v>
      </c>
      <c r="I562" s="221">
        <v>352178.1</v>
      </c>
      <c r="J562" s="173">
        <v>290000</v>
      </c>
      <c r="K562" s="173">
        <f t="shared" ref="K562" si="2060">I562-I561-J562+J561</f>
        <v>5465.2599999999511</v>
      </c>
      <c r="L562" s="171">
        <f t="shared" ref="L562" si="2061">K562/I561</f>
        <v>1.5763073556779583E-2</v>
      </c>
      <c r="M562" s="182">
        <f t="shared" ref="M562" si="2062">I562-J562</f>
        <v>62178.099999999977</v>
      </c>
      <c r="N562" s="184">
        <f t="shared" ref="N562" si="2063">M562/J562</f>
        <v>0.21440724137931028</v>
      </c>
      <c r="O562" s="183">
        <f t="shared" ref="O562" si="2064">N562/(A562/365.25)</f>
        <v>8.9193900812976179E-2</v>
      </c>
      <c r="P562" s="182" t="b">
        <f t="shared" ref="P562" si="2065">L562&gt;D562</f>
        <v>1</v>
      </c>
      <c r="Q562" s="184">
        <f>COUNTIF(P$2:P562, TRUE)/(COUNTIF(P$2:P562,FALSE) + COUNTIF(P$2:P562, TRUE))</f>
        <v>0.48484848484848486</v>
      </c>
      <c r="R562" s="173">
        <v>218099.25</v>
      </c>
      <c r="S562" s="173">
        <f t="shared" ref="S562" si="2066">I562-R562</f>
        <v>134078.84999999998</v>
      </c>
      <c r="T562" s="173">
        <v>-30666</v>
      </c>
      <c r="U562" s="173">
        <f t="shared" ref="U562" si="2067">M562-T562</f>
        <v>92844.099999999977</v>
      </c>
      <c r="V562" s="184">
        <f>STDEV(D$2:D562)*SQRT(252)</f>
        <v>0.13421874970356712</v>
      </c>
      <c r="W562" s="184">
        <f>STDEV(L$2:L562)*SQRT(252)</f>
        <v>0.28835759971493757</v>
      </c>
      <c r="X562" s="174">
        <f t="shared" si="1807"/>
        <v>0.30931697621686</v>
      </c>
    </row>
    <row r="563" spans="1:24" ht="20.100000000000001" customHeight="1" x14ac:dyDescent="0.25">
      <c r="A563" s="163">
        <f t="shared" ref="A563" si="2068">B563-$B$2</f>
        <v>879</v>
      </c>
      <c r="B563" s="172">
        <v>43112</v>
      </c>
      <c r="C563" s="215">
        <v>2786.24</v>
      </c>
      <c r="D563" s="171">
        <f t="shared" ref="D563" si="2069">(C563-C562)/C562</f>
        <v>6.7496278310135412E-3</v>
      </c>
      <c r="E563" s="209">
        <f t="shared" ref="E563" si="2070">(C563-$C$2)/$C$2</f>
        <v>0.32524114837997742</v>
      </c>
      <c r="F563" s="219">
        <v>7261.06</v>
      </c>
      <c r="G563" s="171">
        <f t="shared" ref="G563" si="2071">(F563-F562)/F562</f>
        <v>6.8346605618315563E-3</v>
      </c>
      <c r="H563" s="203">
        <f t="shared" ref="H563" si="2072">(F563-F$2)/F$2</f>
        <v>0.426058094546026</v>
      </c>
      <c r="I563" s="221">
        <v>354257.05</v>
      </c>
      <c r="J563" s="173">
        <v>290000</v>
      </c>
      <c r="K563" s="173">
        <f t="shared" ref="K563" si="2073">I563-I562-J563+J562</f>
        <v>2078.9500000000116</v>
      </c>
      <c r="L563" s="171">
        <f t="shared" ref="L563" si="2074">K563/I562</f>
        <v>5.9031211764729603E-3</v>
      </c>
      <c r="M563" s="182">
        <f t="shared" ref="M563" si="2075">I563-J563</f>
        <v>64257.049999999988</v>
      </c>
      <c r="N563" s="184">
        <f t="shared" ref="N563" si="2076">M563/J563</f>
        <v>0.22157603448275859</v>
      </c>
      <c r="O563" s="183">
        <f t="shared" ref="O563" si="2077">N563/(A563/365.25)</f>
        <v>9.2071270301282801E-2</v>
      </c>
      <c r="P563" s="182" t="b">
        <f t="shared" ref="P563" si="2078">L563&gt;D563</f>
        <v>0</v>
      </c>
      <c r="Q563" s="184">
        <f>COUNTIF(P$2:P563, TRUE)/(COUNTIF(P$2:P563,FALSE) + COUNTIF(P$2:P563, TRUE))</f>
        <v>0.48398576512455516</v>
      </c>
      <c r="R563" s="173">
        <v>210112.6</v>
      </c>
      <c r="S563" s="173">
        <f t="shared" ref="S563" si="2079">I563-R563</f>
        <v>144144.44999999998</v>
      </c>
      <c r="T563" s="173">
        <v>-30546</v>
      </c>
      <c r="U563" s="173">
        <f t="shared" ref="U563" si="2080">M563-T563</f>
        <v>94803.049999999988</v>
      </c>
      <c r="V563" s="184">
        <f>STDEV(D$2:D563)*SQRT(252)</f>
        <v>0.13416370433949046</v>
      </c>
      <c r="W563" s="184">
        <f>STDEV(L$2:L563)*SQRT(252)</f>
        <v>0.28812150589296726</v>
      </c>
      <c r="X563" s="174">
        <f t="shared" si="1807"/>
        <v>0.31955709108186414</v>
      </c>
    </row>
    <row r="564" spans="1:24" ht="20.100000000000001" customHeight="1" x14ac:dyDescent="0.25">
      <c r="A564" s="163">
        <f t="shared" ref="A564" si="2081">B564-$B$2</f>
        <v>883</v>
      </c>
      <c r="B564" s="172">
        <v>43116</v>
      </c>
      <c r="C564" s="215">
        <v>2776.42</v>
      </c>
      <c r="D564" s="171">
        <f t="shared" ref="D564" si="2082">(C564-C563)/C563</f>
        <v>-3.5244630756861252E-3</v>
      </c>
      <c r="E564" s="209">
        <f t="shared" ref="E564" si="2083">(C564-$C$2)/$C$2</f>
        <v>0.32057038488613232</v>
      </c>
      <c r="F564" s="219">
        <v>7223.68</v>
      </c>
      <c r="G564" s="171">
        <f t="shared" ref="G564" si="2084">(F564-F563)/F563</f>
        <v>-5.148008692945673E-3</v>
      </c>
      <c r="H564" s="203">
        <f t="shared" ref="H564" si="2085">(F564-F$2)/F$2</f>
        <v>0.41871673507865753</v>
      </c>
      <c r="I564" s="221">
        <v>351080.55</v>
      </c>
      <c r="J564" s="173">
        <v>290000</v>
      </c>
      <c r="K564" s="173">
        <f t="shared" ref="K564" si="2086">I564-I563-J564+J563</f>
        <v>-3176.5</v>
      </c>
      <c r="L564" s="171">
        <f t="shared" ref="L564" si="2087">K564/I563</f>
        <v>-8.9666528866539138E-3</v>
      </c>
      <c r="M564" s="182">
        <f t="shared" ref="M564" si="2088">I564-J564</f>
        <v>61080.549999999988</v>
      </c>
      <c r="N564" s="184">
        <f t="shared" ref="N564" si="2089">M564/J564</f>
        <v>0.2106225862068965</v>
      </c>
      <c r="O564" s="183">
        <f t="shared" ref="O564" si="2090">N564/(A564/365.25)</f>
        <v>8.7123329118990886E-2</v>
      </c>
      <c r="P564" s="182" t="b">
        <f t="shared" ref="P564" si="2091">L564&gt;D564</f>
        <v>0</v>
      </c>
      <c r="Q564" s="184">
        <f>COUNTIF(P$2:P564, TRUE)/(COUNTIF(P$2:P564,FALSE) + COUNTIF(P$2:P564, TRUE))</f>
        <v>0.48312611012433393</v>
      </c>
      <c r="R564" s="173">
        <v>216645.1</v>
      </c>
      <c r="S564" s="173">
        <f t="shared" ref="S564" si="2092">I564-R564</f>
        <v>134435.44999999998</v>
      </c>
      <c r="T564" s="173">
        <v>-30403</v>
      </c>
      <c r="U564" s="173">
        <f t="shared" ref="U564" si="2093">M564-T564</f>
        <v>91483.549999999988</v>
      </c>
      <c r="V564" s="184">
        <f>STDEV(D$2:D564)*SQRT(252)</f>
        <v>0.13407167164533457</v>
      </c>
      <c r="W564" s="184">
        <f>STDEV(L$2:L564)*SQRT(252)</f>
        <v>0.28793680916923503</v>
      </c>
      <c r="X564" s="174">
        <f t="shared" si="1807"/>
        <v>0.30257794885746647</v>
      </c>
    </row>
    <row r="565" spans="1:24" ht="20.100000000000001" customHeight="1" x14ac:dyDescent="0.25">
      <c r="A565" s="163">
        <f t="shared" ref="A565" si="2094">B565-$B$2</f>
        <v>884</v>
      </c>
      <c r="B565" s="172">
        <v>43117</v>
      </c>
      <c r="C565" s="215">
        <v>2802.56</v>
      </c>
      <c r="D565" s="171">
        <f t="shared" ref="D565" si="2095">(C565-C564)/C564</f>
        <v>9.4150020530034614E-3</v>
      </c>
      <c r="E565" s="209">
        <f t="shared" ref="E565" si="2096">(C565-$C$2)/$C$2</f>
        <v>0.33300355777097079</v>
      </c>
      <c r="F565" s="219">
        <v>7298.27</v>
      </c>
      <c r="G565" s="171">
        <f t="shared" ref="G565" si="2097">(F565-F564)/F564</f>
        <v>1.0325761938513353E-2</v>
      </c>
      <c r="H565" s="203">
        <f t="shared" ref="H565" si="2098">(F565-F$2)/F$2</f>
        <v>0.43336606634326469</v>
      </c>
      <c r="I565" s="221">
        <v>354388.75</v>
      </c>
      <c r="J565" s="173">
        <v>290000</v>
      </c>
      <c r="K565" s="173">
        <f t="shared" ref="K565" si="2099">I565-I564-J565+J564</f>
        <v>3308.2000000000116</v>
      </c>
      <c r="L565" s="171">
        <f t="shared" ref="L565" si="2100">K565/I564</f>
        <v>9.4229087883108634E-3</v>
      </c>
      <c r="M565" s="182">
        <f t="shared" ref="M565" si="2101">I565-J565</f>
        <v>64388.75</v>
      </c>
      <c r="N565" s="184">
        <f t="shared" ref="N565" si="2102">M565/J565</f>
        <v>0.22203017241379311</v>
      </c>
      <c r="O565" s="183">
        <f t="shared" ref="O565" si="2103">N565/(A565/365.25)</f>
        <v>9.1738145332735208E-2</v>
      </c>
      <c r="P565" s="182" t="b">
        <f t="shared" ref="P565" si="2104">L565&gt;D565</f>
        <v>1</v>
      </c>
      <c r="Q565" s="184">
        <f>COUNTIF(P$2:P565, TRUE)/(COUNTIF(P$2:P565,FALSE) + COUNTIF(P$2:P565, TRUE))</f>
        <v>0.48404255319148937</v>
      </c>
      <c r="R565" s="173">
        <v>210366.65</v>
      </c>
      <c r="S565" s="173">
        <f t="shared" ref="S565" si="2105">I565-R565</f>
        <v>144022.1</v>
      </c>
      <c r="T565" s="173">
        <v>-29857</v>
      </c>
      <c r="U565" s="173">
        <f t="shared" ref="U565" si="2106">M565-T565</f>
        <v>94245.75</v>
      </c>
      <c r="V565" s="184">
        <f>STDEV(D$2:D565)*SQRT(252)</f>
        <v>0.13408415455090031</v>
      </c>
      <c r="W565" s="184">
        <f>STDEV(L$2:L565)*SQRT(252)</f>
        <v>0.28774044965708556</v>
      </c>
      <c r="X565" s="174">
        <f t="shared" ref="X565" si="2107">O565/W565</f>
        <v>0.31882255498684342</v>
      </c>
    </row>
    <row r="566" spans="1:24" ht="20.100000000000001" customHeight="1" x14ac:dyDescent="0.25">
      <c r="A566" s="163">
        <f t="shared" ref="A566" si="2108">B566-$B$2</f>
        <v>885</v>
      </c>
      <c r="B566" s="172">
        <v>43118</v>
      </c>
      <c r="C566" s="215">
        <v>2798.03</v>
      </c>
      <c r="D566" s="171">
        <f t="shared" ref="D566" si="2109">(C566-C565)/C565</f>
        <v>-1.6163793103447367E-3</v>
      </c>
      <c r="E566" s="209">
        <f t="shared" ref="E566" si="2110">(C566-$C$2)/$C$2</f>
        <v>0.33084891839957387</v>
      </c>
      <c r="F566" s="219">
        <v>7296.04</v>
      </c>
      <c r="G566" s="171">
        <f t="shared" ref="G566" si="2111">(F566-F565)/F565</f>
        <v>-3.0555186366090493E-4</v>
      </c>
      <c r="H566" s="203">
        <f t="shared" ref="H566" si="2112">(F566-F$2)/F$2</f>
        <v>0.43292809867038518</v>
      </c>
      <c r="I566" s="221">
        <v>353987.72</v>
      </c>
      <c r="J566" s="173">
        <v>290000</v>
      </c>
      <c r="K566" s="173">
        <f t="shared" ref="K566" si="2113">I566-I565-J566+J565</f>
        <v>-401.03000000002794</v>
      </c>
      <c r="L566" s="171">
        <f t="shared" ref="L566" si="2114">K566/I565</f>
        <v>-1.1316104137053672E-3</v>
      </c>
      <c r="M566" s="182">
        <f t="shared" ref="M566" si="2115">I566-J566</f>
        <v>63987.719999999972</v>
      </c>
      <c r="N566" s="184">
        <f t="shared" ref="N566" si="2116">M566/J566</f>
        <v>0.22064731034482749</v>
      </c>
      <c r="O566" s="183">
        <f t="shared" ref="O566" si="2117">N566/(A566/365.25)</f>
        <v>9.1063762828755071E-2</v>
      </c>
      <c r="P566" s="182" t="b">
        <f t="shared" ref="P566" si="2118">L566&gt;D566</f>
        <v>1</v>
      </c>
      <c r="Q566" s="184">
        <f>COUNTIF(P$2:P566, TRUE)/(COUNTIF(P$2:P566,FALSE) + COUNTIF(P$2:P566, TRUE))</f>
        <v>0.4849557522123894</v>
      </c>
      <c r="R566" s="173">
        <v>212405.65</v>
      </c>
      <c r="S566" s="173">
        <f t="shared" ref="S566" si="2119">I566-R566</f>
        <v>141582.06999999998</v>
      </c>
      <c r="T566" s="173">
        <v>-30624</v>
      </c>
      <c r="U566" s="173">
        <f t="shared" ref="U566" si="2120">M566-T566</f>
        <v>94611.719999999972</v>
      </c>
      <c r="V566" s="184">
        <f>STDEV(D$2:D566)*SQRT(252)</f>
        <v>0.13397282052500681</v>
      </c>
      <c r="W566" s="184">
        <f>STDEV(L$2:L566)*SQRT(252)</f>
        <v>0.28748729200804252</v>
      </c>
      <c r="X566" s="174">
        <f t="shared" ref="X566" si="2121">O566/W566</f>
        <v>0.31675752410721358</v>
      </c>
    </row>
    <row r="567" spans="1:24" ht="20.100000000000001" customHeight="1" x14ac:dyDescent="0.25">
      <c r="A567" s="163">
        <f t="shared" ref="A567" si="2122">B567-$B$2</f>
        <v>886</v>
      </c>
      <c r="B567" s="172">
        <v>43119</v>
      </c>
      <c r="C567" s="215">
        <v>2810.3</v>
      </c>
      <c r="D567" s="171">
        <f t="shared" ref="D567" si="2123">(C567-C566)/C566</f>
        <v>4.3852281783969367E-3</v>
      </c>
      <c r="E567" s="209">
        <f t="shared" ref="E567" si="2124">(C567-$C$2)/$C$2</f>
        <v>0.33668499457772877</v>
      </c>
      <c r="F567" s="219">
        <v>7336.38</v>
      </c>
      <c r="G567" s="171">
        <f t="shared" ref="G567" si="2125">(F567-F566)/F566</f>
        <v>5.5290267048974714E-3</v>
      </c>
      <c r="H567" s="203">
        <f t="shared" ref="H567" si="2126">(F567-F$2)/F$2</f>
        <v>0.44085079639413172</v>
      </c>
      <c r="I567" s="221">
        <v>365192.76</v>
      </c>
      <c r="J567" s="173">
        <v>300000</v>
      </c>
      <c r="K567" s="173">
        <f t="shared" ref="K567" si="2127">I567-I566-J567+J566</f>
        <v>1205.0400000000373</v>
      </c>
      <c r="L567" s="171">
        <f t="shared" ref="L567" si="2128">K567/I566</f>
        <v>3.4041858853183873E-3</v>
      </c>
      <c r="M567" s="182">
        <f t="shared" ref="M567" si="2129">I567-J567</f>
        <v>65192.760000000009</v>
      </c>
      <c r="N567" s="184">
        <f t="shared" ref="N567" si="2130">M567/J567</f>
        <v>0.21730920000000004</v>
      </c>
      <c r="O567" s="183">
        <f t="shared" ref="O567" si="2131">N567/(A567/365.25)</f>
        <v>8.9584859255079016E-2</v>
      </c>
      <c r="P567" s="182" t="b">
        <f t="shared" ref="P567" si="2132">L567&gt;D567</f>
        <v>0</v>
      </c>
      <c r="Q567" s="184">
        <f>COUNTIF(P$2:P567, TRUE)/(COUNTIF(P$2:P567,FALSE) + COUNTIF(P$2:P567, TRUE))</f>
        <v>0.48409893992932862</v>
      </c>
      <c r="R567" s="173">
        <v>204670.9</v>
      </c>
      <c r="S567" s="173">
        <f t="shared" ref="S567" si="2133">I567-R567</f>
        <v>160521.86000000002</v>
      </c>
      <c r="T567" s="173">
        <v>-30347</v>
      </c>
      <c r="U567" s="173">
        <f t="shared" ref="U567" si="2134">M567-T567</f>
        <v>95539.760000000009</v>
      </c>
      <c r="V567" s="184">
        <f>STDEV(D$2:D567)*SQRT(252)</f>
        <v>0.13387859886701176</v>
      </c>
      <c r="W567" s="184">
        <f>STDEV(L$2:L567)*SQRT(252)</f>
        <v>0.28723816892790788</v>
      </c>
      <c r="X567" s="174">
        <f t="shared" ref="X567" si="2135">O567/W567</f>
        <v>0.31188354803070534</v>
      </c>
    </row>
    <row r="568" spans="1:24" ht="20.100000000000001" customHeight="1" x14ac:dyDescent="0.25">
      <c r="A568" s="163">
        <f t="shared" ref="A568" si="2136">B568-$B$2</f>
        <v>889</v>
      </c>
      <c r="B568" s="172">
        <v>43122</v>
      </c>
      <c r="C568" s="215">
        <v>2832.97</v>
      </c>
      <c r="D568" s="171">
        <f t="shared" ref="D568" si="2137">(C568-C567)/C567</f>
        <v>8.0667544390277245E-3</v>
      </c>
      <c r="E568" s="209">
        <f t="shared" ref="E568" si="2138">(C568-$C$2)/$C$2</f>
        <v>0.34746770419132045</v>
      </c>
      <c r="F568" s="219">
        <v>7408.03</v>
      </c>
      <c r="G568" s="171">
        <f t="shared" ref="G568" si="2139">(F568-F567)/F567</f>
        <v>9.7663970514067742E-3</v>
      </c>
      <c r="H568" s="203">
        <f t="shared" ref="H568" si="2140">(F568-F$2)/F$2</f>
        <v>0.45492271736355244</v>
      </c>
      <c r="I568" s="221">
        <v>368309.46</v>
      </c>
      <c r="J568" s="173">
        <v>300000</v>
      </c>
      <c r="K568" s="173">
        <f t="shared" ref="K568" si="2141">I568-I567-J568+J567</f>
        <v>3116.7000000000116</v>
      </c>
      <c r="L568" s="171">
        <f t="shared" ref="L568" si="2142">K568/I567</f>
        <v>8.5343970126899871E-3</v>
      </c>
      <c r="M568" s="182">
        <f t="shared" ref="M568" si="2143">I568-J568</f>
        <v>68309.460000000021</v>
      </c>
      <c r="N568" s="184">
        <f t="shared" ref="N568" si="2144">M568/J568</f>
        <v>0.22769820000000007</v>
      </c>
      <c r="O568" s="183">
        <f t="shared" ref="O568" si="2145">N568/(A568/365.25)</f>
        <v>9.3550919628796428E-2</v>
      </c>
      <c r="P568" s="182" t="b">
        <f t="shared" ref="P568" si="2146">L568&gt;D568</f>
        <v>1</v>
      </c>
      <c r="Q568" s="184">
        <f>COUNTIF(P$2:P568, TRUE)/(COUNTIF(P$2:P568,FALSE) + COUNTIF(P$2:P568, TRUE))</f>
        <v>0.48500881834215165</v>
      </c>
      <c r="R568" s="173">
        <v>220079.8</v>
      </c>
      <c r="S568" s="173">
        <f t="shared" ref="S568" si="2147">I568-R568</f>
        <v>148229.66000000003</v>
      </c>
      <c r="T568" s="173">
        <v>-30244</v>
      </c>
      <c r="U568" s="173">
        <f t="shared" ref="U568" si="2148">M568-T568</f>
        <v>98553.460000000021</v>
      </c>
      <c r="V568" s="184">
        <f>STDEV(D$2:D568)*SQRT(252)</f>
        <v>0.13385409195936193</v>
      </c>
      <c r="W568" s="184">
        <f>STDEV(L$2:L568)*SQRT(252)</f>
        <v>0.28703192101417985</v>
      </c>
      <c r="X568" s="174">
        <f t="shared" ref="X568" si="2149">O568/W568</f>
        <v>0.32592514204778938</v>
      </c>
    </row>
    <row r="569" spans="1:24" ht="20.100000000000001" customHeight="1" x14ac:dyDescent="0.25">
      <c r="A569" s="163">
        <f t="shared" ref="A569" si="2150">B569-$B$2</f>
        <v>890</v>
      </c>
      <c r="B569" s="172">
        <v>43123</v>
      </c>
      <c r="C569" s="215">
        <v>2839.12</v>
      </c>
      <c r="D569" s="171">
        <f t="shared" ref="D569" si="2151">(C569-C568)/C568</f>
        <v>2.170866617013273E-3</v>
      </c>
      <c r="E569" s="209">
        <f t="shared" ref="E569" si="2152">(C569-$C$2)/$C$2</f>
        <v>0.35039287684785286</v>
      </c>
      <c r="F569" s="219">
        <v>7460.28</v>
      </c>
      <c r="G569" s="171">
        <f t="shared" ref="G569" si="2153">(F569-F568)/F568</f>
        <v>7.0531571821388413E-3</v>
      </c>
      <c r="H569" s="203">
        <f t="shared" ref="H569" si="2154">(F569-F$2)/F$2</f>
        <v>0.46518451597698213</v>
      </c>
      <c r="I569" s="221">
        <v>368315.52</v>
      </c>
      <c r="J569" s="173">
        <v>300000</v>
      </c>
      <c r="K569" s="173">
        <f t="shared" ref="K569" si="2155">I569-I568-J569+J568</f>
        <v>6.0599999999976717</v>
      </c>
      <c r="L569" s="171">
        <f t="shared" ref="L569" si="2156">K569/I568</f>
        <v>1.6453555116389548E-5</v>
      </c>
      <c r="M569" s="182">
        <f t="shared" ref="M569" si="2157">I569-J569</f>
        <v>68315.520000000019</v>
      </c>
      <c r="N569" s="184">
        <f t="shared" ref="N569" si="2158">M569/J569</f>
        <v>0.22771840000000007</v>
      </c>
      <c r="O569" s="183">
        <f t="shared" ref="O569" si="2159">N569/(A569/365.25)</f>
        <v>9.3454096179775306E-2</v>
      </c>
      <c r="P569" s="182" t="b">
        <f t="shared" ref="P569" si="2160">L569&gt;D569</f>
        <v>0</v>
      </c>
      <c r="Q569" s="184">
        <f>COUNTIF(P$2:P569, TRUE)/(COUNTIF(P$2:P569,FALSE) + COUNTIF(P$2:P569, TRUE))</f>
        <v>0.48415492957746481</v>
      </c>
      <c r="R569" s="173">
        <v>218456.75</v>
      </c>
      <c r="S569" s="173">
        <f t="shared" ref="S569" si="2161">I569-R569</f>
        <v>149858.77000000002</v>
      </c>
      <c r="T569" s="173">
        <v>-30209</v>
      </c>
      <c r="U569" s="173">
        <f t="shared" ref="U569" si="2162">M569-T569</f>
        <v>98524.520000000019</v>
      </c>
      <c r="V569" s="184">
        <f>STDEV(D$2:D569)*SQRT(252)</f>
        <v>0.1337400925810926</v>
      </c>
      <c r="W569" s="184">
        <f>STDEV(L$2:L569)*SQRT(252)</f>
        <v>0.28677858516310845</v>
      </c>
      <c r="X569" s="174">
        <f t="shared" ref="X569" si="2163">O569/W569</f>
        <v>0.32587543496883586</v>
      </c>
    </row>
    <row r="570" spans="1:24" ht="20.100000000000001" customHeight="1" x14ac:dyDescent="0.25">
      <c r="A570" s="163">
        <f t="shared" ref="A570" si="2164">B570-$B$2</f>
        <v>891</v>
      </c>
      <c r="B570" s="172">
        <v>43124</v>
      </c>
      <c r="C570" s="215">
        <v>2837.54</v>
      </c>
      <c r="D570" s="171">
        <f t="shared" ref="D570" si="2165">(C570-C569)/C569</f>
        <v>-5.5651046803232239E-4</v>
      </c>
      <c r="E570" s="209">
        <f t="shared" ref="E570" si="2166">(C570-$C$2)/$C$2</f>
        <v>0.3496413690759308</v>
      </c>
      <c r="F570" s="219">
        <v>7415.05</v>
      </c>
      <c r="G570" s="171">
        <f t="shared" ref="G570" si="2167">(F570-F569)/F569</f>
        <v>-6.0627751237218395E-3</v>
      </c>
      <c r="H570" s="203">
        <f t="shared" ref="H570" si="2168">(F570-F$2)/F$2</f>
        <v>0.4563014317418545</v>
      </c>
      <c r="I570" s="221">
        <v>368621.05</v>
      </c>
      <c r="J570" s="173">
        <v>300000</v>
      </c>
      <c r="K570" s="173">
        <f t="shared" ref="K570" si="2169">I570-I569-J570+J569</f>
        <v>305.52999999996973</v>
      </c>
      <c r="L570" s="171">
        <f t="shared" ref="L570" si="2170">K570/I569</f>
        <v>8.2953333055302617E-4</v>
      </c>
      <c r="M570" s="182">
        <f t="shared" ref="M570" si="2171">I570-J570</f>
        <v>68621.049999999988</v>
      </c>
      <c r="N570" s="184">
        <f t="shared" ref="N570" si="2172">M570/J570</f>
        <v>0.22873683333333331</v>
      </c>
      <c r="O570" s="183">
        <f t="shared" ref="O570" si="2173">N570/(A570/365.25)</f>
        <v>9.3766698512906838E-2</v>
      </c>
      <c r="P570" s="182" t="b">
        <f t="shared" ref="P570" si="2174">L570&gt;D570</f>
        <v>1</v>
      </c>
      <c r="Q570" s="184">
        <f>COUNTIF(P$2:P570, TRUE)/(COUNTIF(P$2:P570,FALSE) + COUNTIF(P$2:P570, TRUE))</f>
        <v>0.48506151142355008</v>
      </c>
      <c r="R570" s="173">
        <v>219596.85</v>
      </c>
      <c r="S570" s="173">
        <f t="shared" ref="S570" si="2175">I570-R570</f>
        <v>149024.19999999998</v>
      </c>
      <c r="T570" s="173">
        <v>-30343</v>
      </c>
      <c r="U570" s="173">
        <f t="shared" ref="U570" si="2176">M570-T570</f>
        <v>98964.049999999988</v>
      </c>
      <c r="V570" s="184">
        <f>STDEV(D$2:D570)*SQRT(252)</f>
        <v>0.13362419314060342</v>
      </c>
      <c r="W570" s="184">
        <f>STDEV(L$2:L570)*SQRT(252)</f>
        <v>0.28652560070203631</v>
      </c>
      <c r="X570" s="174">
        <f t="shared" ref="X570" si="2177">O570/W570</f>
        <v>0.32725417304130078</v>
      </c>
    </row>
    <row r="571" spans="1:24" ht="20.100000000000001" customHeight="1" x14ac:dyDescent="0.25">
      <c r="A571" s="163">
        <f t="shared" ref="A571" si="2178">B571-$B$2</f>
        <v>892</v>
      </c>
      <c r="B571" s="172">
        <v>43125</v>
      </c>
      <c r="C571" s="215">
        <v>2839.25</v>
      </c>
      <c r="D571" s="171">
        <f t="shared" ref="D571" si="2179">(C571-C570)/C570</f>
        <v>6.0263467651558618E-4</v>
      </c>
      <c r="E571" s="209">
        <f t="shared" ref="E571" si="2180">(C571-$C$2)/$C$2</f>
        <v>0.3504547097657959</v>
      </c>
      <c r="F571" s="219">
        <v>7411.16</v>
      </c>
      <c r="G571" s="171">
        <f t="shared" ref="G571" si="2181">(F571-F570)/F570</f>
        <v>-5.2460873493777218E-4</v>
      </c>
      <c r="H571" s="203">
        <f t="shared" ref="H571" si="2182">(F571-F$2)/F$2</f>
        <v>0.4555374432900603</v>
      </c>
      <c r="I571" s="221">
        <v>365192.24</v>
      </c>
      <c r="J571" s="173">
        <v>300000</v>
      </c>
      <c r="K571" s="173">
        <f t="shared" ref="K571" si="2183">I571-I570-J571+J570</f>
        <v>-3428.8099999999977</v>
      </c>
      <c r="L571" s="171">
        <f t="shared" ref="L571" si="2184">K571/I570</f>
        <v>-9.3017205609934595E-3</v>
      </c>
      <c r="M571" s="182">
        <f t="shared" ref="M571" si="2185">I571-J571</f>
        <v>65192.239999999991</v>
      </c>
      <c r="N571" s="184">
        <f t="shared" ref="N571" si="2186">M571/J571</f>
        <v>0.21730746666666664</v>
      </c>
      <c r="O571" s="183">
        <f t="shared" ref="O571" si="2187">N571/(A571/365.25)</f>
        <v>8.8981560762331838E-2</v>
      </c>
      <c r="P571" s="182" t="b">
        <f t="shared" ref="P571" si="2188">L571&gt;D571</f>
        <v>0</v>
      </c>
      <c r="Q571" s="184">
        <f>COUNTIF(P$2:P571, TRUE)/(COUNTIF(P$2:P571,FALSE) + COUNTIF(P$2:P571, TRUE))</f>
        <v>0.48421052631578948</v>
      </c>
      <c r="R571" s="173">
        <v>213406.25</v>
      </c>
      <c r="S571" s="173">
        <f t="shared" ref="S571" si="2189">I571-R571</f>
        <v>151785.99</v>
      </c>
      <c r="T571" s="173">
        <v>-32432</v>
      </c>
      <c r="U571" s="173">
        <f t="shared" ref="U571" si="2190">M571-T571</f>
        <v>97624.239999999991</v>
      </c>
      <c r="V571" s="184">
        <f>STDEV(D$2:D571)*SQRT(252)</f>
        <v>0.13350651695509588</v>
      </c>
      <c r="W571" s="184">
        <f>STDEV(L$2:L571)*SQRT(252)</f>
        <v>0.28635026505168731</v>
      </c>
      <c r="X571" s="174">
        <f t="shared" ref="X571" si="2191">O571/W571</f>
        <v>0.31074376950994032</v>
      </c>
    </row>
    <row r="572" spans="1:24" ht="20.100000000000001" customHeight="1" x14ac:dyDescent="0.25">
      <c r="A572" s="163">
        <f t="shared" ref="A572" si="2192">B572-$B$2</f>
        <v>893</v>
      </c>
      <c r="B572" s="172">
        <v>43126</v>
      </c>
      <c r="C572" s="215">
        <v>2872.87</v>
      </c>
      <c r="D572" s="171">
        <f t="shared" ref="D572" si="2193">(C572-C571)/C571</f>
        <v>1.1841155234657001E-2</v>
      </c>
      <c r="E572" s="209">
        <f t="shared" ref="E572" si="2194">(C572-$C$2)/$C$2</f>
        <v>0.36644565362150633</v>
      </c>
      <c r="F572" s="219">
        <v>7505.77</v>
      </c>
      <c r="G572" s="171">
        <f t="shared" ref="G572" si="2195">(F572-F571)/F571</f>
        <v>1.2765882803771687E-2</v>
      </c>
      <c r="H572" s="203">
        <f t="shared" ref="H572" si="2196">(F572-F$2)/F$2</f>
        <v>0.47411866370760269</v>
      </c>
      <c r="I572" s="221">
        <v>367940.03</v>
      </c>
      <c r="J572" s="173">
        <v>300000</v>
      </c>
      <c r="K572" s="173">
        <f t="shared" ref="K572" si="2197">I572-I571-J572+J571</f>
        <v>2747.7900000000373</v>
      </c>
      <c r="L572" s="171">
        <f t="shared" ref="L572" si="2198">K572/I571</f>
        <v>7.5242288828482155E-3</v>
      </c>
      <c r="M572" s="182">
        <f t="shared" ref="M572" si="2199">I572-J572</f>
        <v>67940.030000000028</v>
      </c>
      <c r="N572" s="184">
        <f t="shared" ref="N572" si="2200">M572/J572</f>
        <v>0.22646676666666676</v>
      </c>
      <c r="O572" s="183">
        <f t="shared" ref="O572" si="2201">N572/(A572/365.25)</f>
        <v>9.2628204395296801E-2</v>
      </c>
      <c r="P572" s="182" t="b">
        <f t="shared" ref="P572" si="2202">L572&gt;D572</f>
        <v>0</v>
      </c>
      <c r="Q572" s="184">
        <f>COUNTIF(P$2:P572, TRUE)/(COUNTIF(P$2:P572,FALSE) + COUNTIF(P$2:P572, TRUE))</f>
        <v>0.48336252189141854</v>
      </c>
      <c r="R572" s="173">
        <v>189727.75</v>
      </c>
      <c r="S572" s="173">
        <f t="shared" ref="S572" si="2203">I572-R572</f>
        <v>178212.28000000003</v>
      </c>
      <c r="T572" s="173">
        <v>-32122</v>
      </c>
      <c r="U572" s="173">
        <f t="shared" ref="U572" si="2204">M572-T572</f>
        <v>100062.03000000003</v>
      </c>
      <c r="V572" s="184">
        <f>STDEV(D$2:D572)*SQRT(252)</f>
        <v>0.13359975823184689</v>
      </c>
      <c r="W572" s="184">
        <f>STDEV(L$2:L572)*SQRT(252)</f>
        <v>0.28613494749113977</v>
      </c>
      <c r="X572" s="174">
        <f t="shared" ref="X572" si="2205">O572/W572</f>
        <v>0.32372209409395913</v>
      </c>
    </row>
    <row r="573" spans="1:24" ht="20.100000000000001" customHeight="1" x14ac:dyDescent="0.25">
      <c r="A573" s="163">
        <f t="shared" ref="A573" si="2206">B573-$B$2</f>
        <v>896</v>
      </c>
      <c r="B573" s="172">
        <v>43129</v>
      </c>
      <c r="C573" s="215">
        <v>2853.53</v>
      </c>
      <c r="D573" s="171">
        <f t="shared" ref="D573" si="2207">(C573-C572)/C572</f>
        <v>-6.7319440141738723E-3</v>
      </c>
      <c r="E573" s="209">
        <f t="shared" ref="E573" si="2208">(C573-$C$2)/$C$2</f>
        <v>0.35724681798291513</v>
      </c>
      <c r="F573" s="219">
        <v>7466.5</v>
      </c>
      <c r="G573" s="171">
        <f t="shared" ref="G573" si="2209">(F573-F572)/F572</f>
        <v>-5.2319748673354547E-3</v>
      </c>
      <c r="H573" s="203">
        <f t="shared" ref="H573" si="2210">(F573-F$2)/F$2</f>
        <v>0.46640611190761438</v>
      </c>
      <c r="I573" s="221">
        <v>367642.25</v>
      </c>
      <c r="J573" s="173">
        <v>300000</v>
      </c>
      <c r="K573" s="173">
        <f t="shared" ref="K573" si="2211">I573-I572-J573+J572</f>
        <v>-297.78000000002794</v>
      </c>
      <c r="L573" s="171">
        <f t="shared" ref="L573" si="2212">K573/I572</f>
        <v>-8.0931667043683151E-4</v>
      </c>
      <c r="M573" s="182">
        <f t="shared" ref="M573" si="2213">I573-J573</f>
        <v>67642.25</v>
      </c>
      <c r="N573" s="184">
        <f t="shared" ref="N573" si="2214">M573/J573</f>
        <v>0.22547416666666667</v>
      </c>
      <c r="O573" s="183">
        <f t="shared" ref="O573" si="2215">N573/(A573/365.25)</f>
        <v>9.1913436802455367E-2</v>
      </c>
      <c r="P573" s="182" t="b">
        <f t="shared" ref="P573" si="2216">L573&gt;D573</f>
        <v>1</v>
      </c>
      <c r="Q573" s="184">
        <f>COUNTIF(P$2:P573, TRUE)/(COUNTIF(P$2:P573,FALSE) + COUNTIF(P$2:P573, TRUE))</f>
        <v>0.48426573426573427</v>
      </c>
      <c r="R573" s="173">
        <v>189728.75</v>
      </c>
      <c r="S573" s="173">
        <f t="shared" ref="S573" si="2217">I573-R573</f>
        <v>177913.5</v>
      </c>
      <c r="T573" s="173">
        <v>-32121</v>
      </c>
      <c r="U573" s="173">
        <f t="shared" ref="U573" si="2218">M573-T573</f>
        <v>99763.25</v>
      </c>
      <c r="V573" s="184">
        <f>STDEV(D$2:D573)*SQRT(252)</f>
        <v>0.13357094602559386</v>
      </c>
      <c r="W573" s="184">
        <f>STDEV(L$2:L573)*SQRT(252)</f>
        <v>0.28588553208856937</v>
      </c>
      <c r="X573" s="174">
        <f t="shared" ref="X573" si="2219">O573/W573</f>
        <v>0.32150433122995509</v>
      </c>
    </row>
    <row r="574" spans="1:24" ht="20.100000000000001" customHeight="1" x14ac:dyDescent="0.25">
      <c r="A574" s="163">
        <f t="shared" ref="A574" si="2220">B574-$B$2</f>
        <v>897</v>
      </c>
      <c r="B574" s="172">
        <v>43130</v>
      </c>
      <c r="C574" s="215">
        <v>2822.43</v>
      </c>
      <c r="D574" s="171">
        <f t="shared" ref="D574" si="2221">(C574-C573)/C573</f>
        <v>-1.0898781509218533E-2</v>
      </c>
      <c r="E574" s="209">
        <f t="shared" ref="E574" si="2222">(C574-$C$2)/$C$2</f>
        <v>0.34245448145963725</v>
      </c>
      <c r="F574" s="219">
        <v>7402.48</v>
      </c>
      <c r="G574" s="171">
        <f t="shared" ref="G574" si="2223">(F574-F573)/F573</f>
        <v>-8.5742985334494662E-3</v>
      </c>
      <c r="H574" s="203">
        <f t="shared" ref="H574" si="2224">(F574-F$2)/F$2</f>
        <v>0.4538327081328436</v>
      </c>
      <c r="I574" s="221">
        <v>363472.55</v>
      </c>
      <c r="J574" s="173">
        <v>300000</v>
      </c>
      <c r="K574" s="173">
        <f t="shared" ref="K574" si="2225">I574-I573-J574+J573</f>
        <v>-4169.7000000000116</v>
      </c>
      <c r="L574" s="171">
        <f t="shared" ref="L574" si="2226">K574/I573</f>
        <v>-1.1341732349859168E-2</v>
      </c>
      <c r="M574" s="182">
        <f t="shared" ref="M574" si="2227">I574-J574</f>
        <v>63472.549999999988</v>
      </c>
      <c r="N574" s="184">
        <f t="shared" ref="N574" si="2228">M574/J574</f>
        <v>0.21157516666666662</v>
      </c>
      <c r="O574" s="183">
        <f t="shared" ref="O574" si="2229">N574/(A574/365.25)</f>
        <v>8.6151426560758054E-2</v>
      </c>
      <c r="P574" s="182" t="b">
        <f t="shared" ref="P574" si="2230">L574&gt;D574</f>
        <v>0</v>
      </c>
      <c r="Q574" s="184">
        <f>COUNTIF(P$2:P574, TRUE)/(COUNTIF(P$2:P574,FALSE) + COUNTIF(P$2:P574, TRUE))</f>
        <v>0.48342059336823734</v>
      </c>
      <c r="R574" s="173">
        <v>202153.55</v>
      </c>
      <c r="S574" s="173">
        <f t="shared" ref="S574" si="2231">I574-R574</f>
        <v>161319</v>
      </c>
      <c r="T574" s="173">
        <v>-32010</v>
      </c>
      <c r="U574" s="173">
        <f t="shared" ref="U574" si="2232">M574-T574</f>
        <v>95482.549999999988</v>
      </c>
      <c r="V574" s="184">
        <f>STDEV(D$2:D574)*SQRT(252)</f>
        <v>0.13367087900186314</v>
      </c>
      <c r="W574" s="184">
        <f>STDEV(L$2:L574)*SQRT(252)</f>
        <v>0.28574629394244244</v>
      </c>
      <c r="X574" s="174">
        <f t="shared" ref="X574" si="2233">O574/W574</f>
        <v>0.30149621670372895</v>
      </c>
    </row>
    <row r="575" spans="1:24" ht="20.100000000000001" customHeight="1" x14ac:dyDescent="0.25">
      <c r="A575" s="163">
        <f t="shared" ref="A575" si="2234">B575-$B$2</f>
        <v>898</v>
      </c>
      <c r="B575" s="172">
        <v>43131</v>
      </c>
      <c r="C575" s="215">
        <v>2823.81</v>
      </c>
      <c r="D575" s="171">
        <f t="shared" ref="D575" si="2235">(C575-C574)/C574</f>
        <v>4.8894038116095327E-4</v>
      </c>
      <c r="E575" s="209">
        <f t="shared" ref="E575" si="2236">(C575-$C$2)/$C$2</f>
        <v>0.34311086166549337</v>
      </c>
      <c r="F575" s="219">
        <v>7411.48</v>
      </c>
      <c r="G575" s="171">
        <f t="shared" ref="G575" si="2237">(F575-F574)/F574</f>
        <v>1.215808755984481E-3</v>
      </c>
      <c r="H575" s="203">
        <f t="shared" ref="H575" si="2238">(F575-F$2)/F$2</f>
        <v>0.45560029066912816</v>
      </c>
      <c r="I575" s="473">
        <v>363062.5</v>
      </c>
      <c r="J575" s="173">
        <v>300000</v>
      </c>
      <c r="K575" s="173">
        <f t="shared" ref="K575" si="2239">I575-I574-J575+J574</f>
        <v>-410.04999999998836</v>
      </c>
      <c r="L575" s="171">
        <f t="shared" ref="L575" si="2240">K575/I574</f>
        <v>-1.1281457155429987E-3</v>
      </c>
      <c r="M575" s="473">
        <f t="shared" ref="M575" si="2241">I575-J575</f>
        <v>63062.5</v>
      </c>
      <c r="N575" s="184">
        <f t="shared" ref="N575" si="2242">M575/J575</f>
        <v>0.21020833333333333</v>
      </c>
      <c r="O575" s="183">
        <f t="shared" ref="O575" si="2243">N575/(A575/365.25)</f>
        <v>8.5499547605790635E-2</v>
      </c>
      <c r="P575" s="182" t="b">
        <f t="shared" ref="P575" si="2244">L575&gt;D575</f>
        <v>0</v>
      </c>
      <c r="Q575" s="184">
        <f>COUNTIF(P$2:P575, TRUE)/(COUNTIF(P$2:P575,FALSE) + COUNTIF(P$2:P575, TRUE))</f>
        <v>0.48257839721254353</v>
      </c>
      <c r="R575" s="173">
        <v>225816.5</v>
      </c>
      <c r="S575" s="173">
        <f t="shared" ref="S575" si="2245">I575-R575</f>
        <v>137246</v>
      </c>
      <c r="T575" s="173">
        <v>-31812</v>
      </c>
      <c r="U575" s="173">
        <f t="shared" ref="U575" si="2246">M575-T575</f>
        <v>94874.5</v>
      </c>
      <c r="V575" s="184">
        <f>STDEV(D$2:D575)*SQRT(252)</f>
        <v>0.13355398891699974</v>
      </c>
      <c r="W575" s="184">
        <f>STDEV(L$2:L575)*SQRT(252)</f>
        <v>0.28549883335268605</v>
      </c>
      <c r="X575" s="174">
        <f t="shared" ref="X575" si="2247">O575/W575</f>
        <v>0.29947424513700288</v>
      </c>
    </row>
    <row r="576" spans="1:24" ht="20.100000000000001" customHeight="1" x14ac:dyDescent="0.25">
      <c r="A576" s="163">
        <f t="shared" ref="A576" si="2248">B576-$B$2</f>
        <v>899</v>
      </c>
      <c r="B576" s="172">
        <v>43132</v>
      </c>
      <c r="C576" s="215">
        <v>2821.98</v>
      </c>
      <c r="D576" s="171">
        <f t="shared" ref="D576" si="2249">(C576-C575)/C575</f>
        <v>-6.4806059897795079E-4</v>
      </c>
      <c r="E576" s="209">
        <f t="shared" ref="E576" si="2250">(C576-$C$2)/$C$2</f>
        <v>0.34224044443598861</v>
      </c>
      <c r="F576" s="219">
        <v>7385.86</v>
      </c>
      <c r="G576" s="171">
        <f t="shared" ref="G576" si="2251">(F576-F575)/F575</f>
        <v>-3.4567994516614621E-3</v>
      </c>
      <c r="H576" s="203">
        <f t="shared" ref="H576" si="2252">(F576-F$2)/F$2</f>
        <v>0.45056857238250486</v>
      </c>
      <c r="I576" s="221">
        <v>363770.56</v>
      </c>
      <c r="J576" s="173">
        <v>300000</v>
      </c>
      <c r="K576" s="173">
        <f t="shared" ref="K576" si="2253">I576-I575-J576+J575</f>
        <v>708.05999999999767</v>
      </c>
      <c r="L576" s="171">
        <f t="shared" ref="L576" si="2254">K576/I575</f>
        <v>1.95024272680323E-3</v>
      </c>
      <c r="M576" s="182">
        <f t="shared" ref="M576" si="2255">I576-J576</f>
        <v>63770.559999999998</v>
      </c>
      <c r="N576" s="184">
        <f t="shared" ref="N576" si="2256">M576/J576</f>
        <v>0.21256853333333334</v>
      </c>
      <c r="O576" s="183">
        <f t="shared" ref="O576" si="2257">N576/(A576/365.25)</f>
        <v>8.6363355728587318E-2</v>
      </c>
      <c r="P576" s="182" t="b">
        <f t="shared" ref="P576" si="2258">L576&gt;D576</f>
        <v>1</v>
      </c>
      <c r="Q576" s="184">
        <f>COUNTIF(P$2:P576, TRUE)/(COUNTIF(P$2:P576,FALSE) + COUNTIF(P$2:P576, TRUE))</f>
        <v>0.48347826086956519</v>
      </c>
      <c r="R576" s="173">
        <v>233398.5</v>
      </c>
      <c r="S576" s="173">
        <f t="shared" ref="S576" si="2259">I576-R576</f>
        <v>130372.06</v>
      </c>
      <c r="T576" s="173">
        <v>-31543</v>
      </c>
      <c r="U576" s="173">
        <f t="shared" ref="U576" si="2260">M576-T576</f>
        <v>95313.56</v>
      </c>
      <c r="V576" s="184">
        <f>STDEV(D$2:D576)*SQRT(252)</f>
        <v>0.13343976080758532</v>
      </c>
      <c r="W576" s="184">
        <f>STDEV(L$2:L576)*SQRT(252)</f>
        <v>0.28525091154522259</v>
      </c>
      <c r="X576" s="174">
        <f t="shared" ref="X576" si="2261">O576/W576</f>
        <v>0.30276276861220686</v>
      </c>
    </row>
    <row r="577" spans="1:24" ht="20.100000000000001" customHeight="1" x14ac:dyDescent="0.25">
      <c r="A577" s="163">
        <f t="shared" ref="A577" si="2262">B577-$B$2</f>
        <v>900</v>
      </c>
      <c r="B577" s="172">
        <v>43133</v>
      </c>
      <c r="C577" s="215">
        <v>2762.13</v>
      </c>
      <c r="D577" s="171">
        <f t="shared" ref="D577" si="2263">(C577-C576)/C576</f>
        <v>-2.1208513171602886E-2</v>
      </c>
      <c r="E577" s="209">
        <f t="shared" ref="E577" si="2264">(C577-$C$2)/$C$2</f>
        <v>0.31377352029070987</v>
      </c>
      <c r="F577" s="219">
        <v>7240.94</v>
      </c>
      <c r="G577" s="171">
        <f t="shared" ref="G577" si="2265">(F577-F576)/F576</f>
        <v>-1.9621276330718439E-2</v>
      </c>
      <c r="H577" s="203">
        <f t="shared" ref="H577" si="2266">(F577-F$2)/F$2</f>
        <v>0.422106565587132</v>
      </c>
      <c r="I577" s="221">
        <v>356559.21</v>
      </c>
      <c r="J577" s="173">
        <v>300000</v>
      </c>
      <c r="K577" s="173">
        <f t="shared" ref="K577" si="2267">I577-I576-J577+J576</f>
        <v>-7211.3499999999767</v>
      </c>
      <c r="L577" s="171">
        <f t="shared" ref="L577" si="2268">K577/I576</f>
        <v>-1.9823896689165767E-2</v>
      </c>
      <c r="M577" s="182">
        <f t="shared" ref="M577" si="2269">I577-J577</f>
        <v>56559.210000000021</v>
      </c>
      <c r="N577" s="184">
        <f t="shared" ref="N577" si="2270">M577/J577</f>
        <v>0.18853070000000008</v>
      </c>
      <c r="O577" s="183">
        <f t="shared" ref="O577" si="2271">N577/(A577/365.25)</f>
        <v>7.651204241666669E-2</v>
      </c>
      <c r="P577" s="182" t="b">
        <f t="shared" ref="P577" si="2272">L577&gt;D577</f>
        <v>1</v>
      </c>
      <c r="Q577" s="184">
        <f>COUNTIF(P$2:P577, TRUE)/(COUNTIF(P$2:P577,FALSE) + COUNTIF(P$2:P577, TRUE))</f>
        <v>0.484375</v>
      </c>
      <c r="R577" s="173">
        <v>256773.45</v>
      </c>
      <c r="S577" s="173">
        <f t="shared" ref="S577" si="2273">I577-R577</f>
        <v>99785.760000000009</v>
      </c>
      <c r="T577" s="173">
        <v>-31380</v>
      </c>
      <c r="U577" s="173">
        <f t="shared" ref="U577" si="2274">M577-T577</f>
        <v>87939.210000000021</v>
      </c>
      <c r="V577" s="184">
        <f>STDEV(D$2:D577)*SQRT(252)</f>
        <v>0.13409921649872969</v>
      </c>
      <c r="W577" s="184">
        <f>STDEV(L$2:L577)*SQRT(252)</f>
        <v>0.28532431904874161</v>
      </c>
      <c r="X577" s="174">
        <f t="shared" ref="X577" si="2275">O577/W577</f>
        <v>0.26815815305107671</v>
      </c>
    </row>
    <row r="578" spans="1:24" ht="20.100000000000001" customHeight="1" x14ac:dyDescent="0.25">
      <c r="A578" s="163">
        <f t="shared" ref="A578" si="2276">B578-$B$2</f>
        <v>903</v>
      </c>
      <c r="B578" s="172">
        <v>43136</v>
      </c>
      <c r="C578" s="215">
        <v>2648.94</v>
      </c>
      <c r="D578" s="171">
        <f t="shared" ref="D578" si="2277">(C578-C577)/C577</f>
        <v>-4.0979244278871757E-2</v>
      </c>
      <c r="E578" s="209">
        <f t="shared" ref="E578" si="2278">(C578-$C$2)/$C$2</f>
        <v>0.25993607427560356</v>
      </c>
      <c r="F578" s="219">
        <v>6967.52</v>
      </c>
      <c r="G578" s="171">
        <f t="shared" ref="G578" si="2279">(F578-F577)/F577</f>
        <v>-3.7760290790974538E-2</v>
      </c>
      <c r="H578" s="203">
        <f t="shared" ref="H578" si="2280">(F578-F$2)/F$2</f>
        <v>0.36840740813480777</v>
      </c>
      <c r="I578" s="221">
        <v>346151.51</v>
      </c>
      <c r="J578" s="173">
        <v>300000</v>
      </c>
      <c r="K578" s="173">
        <f t="shared" ref="K578" si="2281">I578-I577-J578+J577</f>
        <v>-10407.700000000012</v>
      </c>
      <c r="L578" s="171">
        <f t="shared" ref="L578" si="2282">K578/I577</f>
        <v>-2.918926144131857E-2</v>
      </c>
      <c r="M578" s="182">
        <f t="shared" ref="M578" si="2283">I578-J578</f>
        <v>46151.510000000009</v>
      </c>
      <c r="N578" s="184">
        <f t="shared" ref="N578" si="2284">M578/J578</f>
        <v>0.1538383666666667</v>
      </c>
      <c r="O578" s="183">
        <f t="shared" ref="O578" si="2285">N578/(A578/365.25)</f>
        <v>6.2225319407530469E-2</v>
      </c>
      <c r="P578" s="182" t="b">
        <f t="shared" ref="P578" si="2286">L578&gt;D578</f>
        <v>1</v>
      </c>
      <c r="Q578" s="184">
        <f>COUNTIF(P$2:P578, TRUE)/(COUNTIF(P$2:P578,FALSE) + COUNTIF(P$2:P578, TRUE))</f>
        <v>0.48526863084922012</v>
      </c>
      <c r="R578" s="173">
        <v>265974.57</v>
      </c>
      <c r="S578" s="173">
        <f t="shared" ref="S578" si="2287">I578-R578</f>
        <v>80176.94</v>
      </c>
      <c r="T578" s="173">
        <v>-31901</v>
      </c>
      <c r="U578" s="173">
        <f t="shared" ref="U578" si="2288">M578-T578</f>
        <v>78052.510000000009</v>
      </c>
      <c r="V578" s="184">
        <f>STDEV(D$2:D578)*SQRT(252)</f>
        <v>0.13676413993416908</v>
      </c>
      <c r="W578" s="184">
        <f>STDEV(L$2:L578)*SQRT(252)</f>
        <v>0.28575670816669452</v>
      </c>
      <c r="X578" s="174">
        <f t="shared" ref="X578" si="2289">O578/W578</f>
        <v>0.21775628578151066</v>
      </c>
    </row>
    <row r="579" spans="1:24" ht="20.100000000000001" customHeight="1" x14ac:dyDescent="0.25">
      <c r="A579" s="163">
        <f t="shared" ref="A579" si="2290">B579-$B$2</f>
        <v>904</v>
      </c>
      <c r="B579" s="172">
        <v>43137</v>
      </c>
      <c r="C579" s="215">
        <v>2695.14</v>
      </c>
      <c r="D579" s="171">
        <f t="shared" ref="D579" si="2291">(C579-C578)/C578</f>
        <v>1.7440938639606718E-2</v>
      </c>
      <c r="E579" s="209">
        <f t="shared" ref="E579" si="2292">(C579-$C$2)/$C$2</f>
        <v>0.28191054203687133</v>
      </c>
      <c r="F579" s="219">
        <v>7115.88</v>
      </c>
      <c r="G579" s="171">
        <f t="shared" ref="G579" si="2293">(F579-F578)/F578</f>
        <v>2.1293085631616367E-2</v>
      </c>
      <c r="H579" s="203">
        <f t="shared" ref="H579" si="2294">(F579-F$2)/F$2</f>
        <v>0.39754502425516042</v>
      </c>
      <c r="I579" s="221">
        <v>368455.72</v>
      </c>
      <c r="J579" s="173">
        <v>315000</v>
      </c>
      <c r="K579" s="173">
        <f t="shared" ref="K579" si="2295">I579-I578-J579+J578</f>
        <v>7304.2099999999627</v>
      </c>
      <c r="L579" s="171">
        <f t="shared" ref="L579" si="2296">K579/I578</f>
        <v>2.1101193520721498E-2</v>
      </c>
      <c r="M579" s="182">
        <f t="shared" ref="M579" si="2297">I579-J579</f>
        <v>53455.719999999972</v>
      </c>
      <c r="N579" s="184">
        <f t="shared" ref="N579" si="2298">M579/J579</f>
        <v>0.16970069841269833</v>
      </c>
      <c r="O579" s="183">
        <f t="shared" ref="O579" si="2299">N579/(A579/365.25)</f>
        <v>6.8565464707121757E-2</v>
      </c>
      <c r="P579" s="182" t="b">
        <f t="shared" ref="P579" si="2300">L579&gt;D579</f>
        <v>1</v>
      </c>
      <c r="Q579" s="184">
        <f>COUNTIF(P$2:P579, TRUE)/(COUNTIF(P$2:P579,FALSE) + COUNTIF(P$2:P579, TRUE))</f>
        <v>0.48615916955017302</v>
      </c>
      <c r="R579" s="173">
        <v>296999.40999999997</v>
      </c>
      <c r="S579" s="173">
        <f t="shared" ref="S579" si="2301">I579-R579</f>
        <v>71456.31</v>
      </c>
      <c r="T579" s="173">
        <v>-31165</v>
      </c>
      <c r="U579" s="173">
        <f t="shared" ref="U579" si="2302">M579-T579</f>
        <v>84620.719999999972</v>
      </c>
      <c r="V579" s="184">
        <f>STDEV(D$2:D579)*SQRT(252)</f>
        <v>0.13710658349791818</v>
      </c>
      <c r="W579" s="184">
        <f>STDEV(L$2:L579)*SQRT(252)</f>
        <v>0.28583112452570963</v>
      </c>
      <c r="X579" s="174">
        <f t="shared" ref="X579" si="2303">O579/W579</f>
        <v>0.23988103052421256</v>
      </c>
    </row>
    <row r="580" spans="1:24" ht="20.100000000000001" customHeight="1" x14ac:dyDescent="0.25">
      <c r="A580" s="163">
        <f t="shared" ref="A580" si="2304">B580-$B$2</f>
        <v>905</v>
      </c>
      <c r="B580" s="172">
        <v>43138</v>
      </c>
      <c r="C580" s="215">
        <v>2681.66</v>
      </c>
      <c r="D580" s="171">
        <f t="shared" ref="D580" si="2305">(C580-C579)/C579</f>
        <v>-5.0015954644285713E-3</v>
      </c>
      <c r="E580" s="209">
        <f t="shared" ref="E580" si="2306">(C580-$C$2)/$C$2</f>
        <v>0.27549894408401654</v>
      </c>
      <c r="F580" s="219">
        <v>7051.98</v>
      </c>
      <c r="G580" s="171">
        <f t="shared" ref="G580" si="2307">(F580-F579)/F579</f>
        <v>-8.979915344272324E-3</v>
      </c>
      <c r="H580" s="203">
        <f t="shared" ref="H580" si="2308">(F580-F$2)/F$2</f>
        <v>0.38499518824754009</v>
      </c>
      <c r="I580" s="221">
        <v>449047.22</v>
      </c>
      <c r="J580" s="173">
        <v>400000</v>
      </c>
      <c r="K580" s="173">
        <f t="shared" ref="K580" si="2309">I580-I579-J580+J579</f>
        <v>-4408.5</v>
      </c>
      <c r="L580" s="171">
        <f t="shared" ref="L580" si="2310">K580/I579</f>
        <v>-1.196480271767799E-2</v>
      </c>
      <c r="M580" s="182">
        <f t="shared" ref="M580" si="2311">I580-J580</f>
        <v>49047.219999999972</v>
      </c>
      <c r="N580" s="184">
        <f t="shared" ref="N580" si="2312">M580/J580</f>
        <v>0.12261804999999994</v>
      </c>
      <c r="O580" s="183">
        <f t="shared" ref="O580" si="2313">N580/(A580/365.25)</f>
        <v>4.9487561063535884E-2</v>
      </c>
      <c r="P580" s="182" t="b">
        <f t="shared" ref="P580" si="2314">L580&gt;D580</f>
        <v>0</v>
      </c>
      <c r="Q580" s="184">
        <f>COUNTIF(P$2:P580, TRUE)/(COUNTIF(P$2:P580,FALSE) + COUNTIF(P$2:P580, TRUE))</f>
        <v>0.48531951640759929</v>
      </c>
      <c r="R580" s="173">
        <v>292590.90999999997</v>
      </c>
      <c r="S580" s="173">
        <f t="shared" ref="S580" si="2315">I580-R580</f>
        <v>156456.31</v>
      </c>
      <c r="T580" s="173">
        <v>-30966</v>
      </c>
      <c r="U580" s="173">
        <f t="shared" ref="U580" si="2316">M580-T580</f>
        <v>80013.219999999972</v>
      </c>
      <c r="V580" s="184">
        <f>STDEV(D$2:D580)*SQRT(252)</f>
        <v>0.13703531607045086</v>
      </c>
      <c r="W580" s="184">
        <f>STDEV(L$2:L580)*SQRT(252)</f>
        <v>0.28570370626215735</v>
      </c>
      <c r="X580" s="174">
        <f t="shared" ref="X580" si="2317">O580/W580</f>
        <v>0.17321287746308356</v>
      </c>
    </row>
    <row r="581" spans="1:24" ht="20.100000000000001" customHeight="1" x14ac:dyDescent="0.25">
      <c r="A581" s="163">
        <f t="shared" ref="A581" si="2318">B581-$B$2</f>
        <v>906</v>
      </c>
      <c r="B581" s="172">
        <v>43139</v>
      </c>
      <c r="C581" s="215">
        <v>2581</v>
      </c>
      <c r="D581" s="171">
        <f t="shared" ref="D581" si="2319">(C581-C580)/C580</f>
        <v>-3.753645130255135E-2</v>
      </c>
      <c r="E581" s="209">
        <f t="shared" ref="E581" si="2320">(C581-$C$2)/$C$2</f>
        <v>0.2276212400829512</v>
      </c>
      <c r="F581" s="219">
        <v>6777.15</v>
      </c>
      <c r="G581" s="171">
        <f t="shared" ref="G581" si="2321">(F581-F580)/F580</f>
        <v>-3.8972033386368073E-2</v>
      </c>
      <c r="H581" s="203">
        <f t="shared" ref="H581" si="2322">(F581-F$2)/F$2</f>
        <v>0.33101910953119779</v>
      </c>
      <c r="I581" s="221">
        <v>437852.33</v>
      </c>
      <c r="J581" s="173">
        <v>400000</v>
      </c>
      <c r="K581" s="173">
        <f t="shared" ref="K581" si="2323">I581-I580-J581+J580</f>
        <v>-11194.889999999956</v>
      </c>
      <c r="L581" s="171">
        <f t="shared" ref="L581" si="2324">K581/I580</f>
        <v>-2.4930318018670634E-2</v>
      </c>
      <c r="M581" s="182">
        <f t="shared" ref="M581" si="2325">I581-J581</f>
        <v>37852.330000000016</v>
      </c>
      <c r="N581" s="184">
        <f t="shared" ref="N581" si="2326">M581/J581</f>
        <v>9.4630825000000043E-2</v>
      </c>
      <c r="O581" s="183">
        <f t="shared" ref="O581" si="2327">N581/(A581/365.25)</f>
        <v>3.8150009747516575E-2</v>
      </c>
      <c r="P581" s="182" t="b">
        <f t="shared" ref="P581" si="2328">L581&gt;D581</f>
        <v>1</v>
      </c>
      <c r="Q581" s="184">
        <f>COUNTIF(P$2:P581, TRUE)/(COUNTIF(P$2:P581,FALSE) + COUNTIF(P$2:P581, TRUE))</f>
        <v>0.48620689655172411</v>
      </c>
      <c r="R581" s="173">
        <v>297311.21000000002</v>
      </c>
      <c r="S581" s="173">
        <f t="shared" ref="S581" si="2329">I581-R581</f>
        <v>140541.12</v>
      </c>
      <c r="T581" s="173">
        <v>-31340</v>
      </c>
      <c r="U581" s="173">
        <f t="shared" ref="U581" si="2330">M581-T581</f>
        <v>69192.330000000016</v>
      </c>
      <c r="V581" s="184">
        <f>STDEV(D$2:D581)*SQRT(252)</f>
        <v>0.13919227894653693</v>
      </c>
      <c r="W581" s="184">
        <f>STDEV(L$2:L581)*SQRT(252)</f>
        <v>0.28595185199746759</v>
      </c>
      <c r="X581" s="174">
        <f t="shared" ref="X581" si="2331">O581/W581</f>
        <v>0.13341410269255552</v>
      </c>
    </row>
    <row r="582" spans="1:24" ht="20.100000000000001" customHeight="1" x14ac:dyDescent="0.25">
      <c r="A582" s="163">
        <f t="shared" ref="A582" si="2332">B582-$B$2</f>
        <v>907</v>
      </c>
      <c r="B582" s="172">
        <v>43140</v>
      </c>
      <c r="C582" s="215">
        <v>2619.5500000000002</v>
      </c>
      <c r="D582" s="171">
        <f t="shared" ref="D582" si="2333">(C582-C581)/C581</f>
        <v>1.4936071290197668E-2</v>
      </c>
      <c r="E582" s="209">
        <f t="shared" ref="E582" si="2334">(C582-$C$2)/$C$2</f>
        <v>0.24595707844219103</v>
      </c>
      <c r="F582" s="219">
        <v>6874.49</v>
      </c>
      <c r="G582" s="171">
        <f t="shared" ref="G582" si="2335">(F582-F581)/F581</f>
        <v>1.4362969684897066E-2</v>
      </c>
      <c r="H582" s="203">
        <f t="shared" ref="H582" si="2336">(F582-F$2)/F$2</f>
        <v>0.35013649665141311</v>
      </c>
      <c r="I582" s="221">
        <v>439997.44</v>
      </c>
      <c r="J582" s="173">
        <v>400000</v>
      </c>
      <c r="K582" s="173">
        <f t="shared" ref="K582" si="2337">I582-I581-J582+J581</f>
        <v>2145.109999999986</v>
      </c>
      <c r="L582" s="171">
        <f t="shared" ref="L582" si="2338">K582/I581</f>
        <v>4.8991631493658736E-3</v>
      </c>
      <c r="M582" s="182">
        <f t="shared" ref="M582" si="2339">I582-J582</f>
        <v>39997.440000000002</v>
      </c>
      <c r="N582" s="184">
        <f t="shared" ref="N582" si="2340">M582/J582</f>
        <v>9.9993600000000002E-2</v>
      </c>
      <c r="O582" s="183">
        <f t="shared" ref="O582" si="2341">N582/(A582/365.25)</f>
        <v>4.0267543991179718E-2</v>
      </c>
      <c r="P582" s="182" t="b">
        <f t="shared" ref="P582" si="2342">L582&gt;D582</f>
        <v>0</v>
      </c>
      <c r="Q582" s="184">
        <f>COUNTIF(P$2:P582, TRUE)/(COUNTIF(P$2:P582,FALSE) + COUNTIF(P$2:P582, TRUE))</f>
        <v>0.48537005163511188</v>
      </c>
      <c r="R582" s="173">
        <v>299744.40000000002</v>
      </c>
      <c r="S582" s="173">
        <f t="shared" ref="S582" si="2343">I582-R582</f>
        <v>140253.03999999998</v>
      </c>
      <c r="T582" s="173">
        <v>-31484</v>
      </c>
      <c r="U582" s="173">
        <f t="shared" ref="U582" si="2344">M582-T582</f>
        <v>71481.440000000002</v>
      </c>
      <c r="V582" s="184">
        <f>STDEV(D$2:D582)*SQRT(252)</f>
        <v>0.13940203230869319</v>
      </c>
      <c r="W582" s="184">
        <f>STDEV(L$2:L582)*SQRT(252)</f>
        <v>0.28571933333245791</v>
      </c>
      <c r="X582" s="174">
        <f t="shared" ref="X582" si="2345">O582/W582</f>
        <v>0.14093391413707773</v>
      </c>
    </row>
  </sheetData>
  <conditionalFormatting sqref="D3:D582">
    <cfRule type="colorScale" priority="39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582">
    <cfRule type="colorScale" priority="32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582">
    <cfRule type="colorScale" priority="3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582">
    <cfRule type="colorScale" priority="39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583:L1048576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62</v>
      </c>
      <c r="G2" s="72"/>
      <c r="H2" s="180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3">
        <v>1336500</v>
      </c>
      <c r="AC2" s="10">
        <v>270.44</v>
      </c>
      <c r="AD2" s="2">
        <f>Y2-Z2</f>
        <v>4.5799999999999841</v>
      </c>
      <c r="AE2" s="134">
        <f>AC2/AC3-1</f>
        <v>-1.3856476079346591E-2</v>
      </c>
    </row>
    <row r="3" spans="1:40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316.77999999999997</v>
      </c>
      <c r="W3" s="130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3">
        <v>1085000</v>
      </c>
      <c r="AC3" s="10">
        <v>274.24</v>
      </c>
      <c r="AD3" s="2">
        <f t="shared" ref="AD3:AD66" si="0">Y3-Z3</f>
        <v>2.160000000000025</v>
      </c>
      <c r="AE3" s="134">
        <f t="shared" ref="AE3:AE66" si="1">AC3/AC4-1</f>
        <v>5.6841101617222112E-3</v>
      </c>
      <c r="AG3" s="1"/>
      <c r="AK3" s="229"/>
      <c r="AN3" s="229"/>
    </row>
    <row r="4" spans="1:40" x14ac:dyDescent="0.25">
      <c r="G4" s="72"/>
      <c r="H4" s="180"/>
      <c r="I4" s="3"/>
      <c r="J4" s="3"/>
      <c r="K4" s="3"/>
      <c r="L4" s="4"/>
      <c r="O4" s="11" t="s">
        <v>66</v>
      </c>
      <c r="Q4" s="54">
        <v>316.77999999999997</v>
      </c>
      <c r="R4" s="504">
        <v>1.6E-2</v>
      </c>
      <c r="T4" s="1"/>
      <c r="W4" s="130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3">
        <v>1589000</v>
      </c>
      <c r="AC4" s="10">
        <v>272.69</v>
      </c>
      <c r="AD4" s="2">
        <f t="shared" si="0"/>
        <v>3.5</v>
      </c>
      <c r="AE4" s="134">
        <f t="shared" si="1"/>
        <v>-2.6698851583645267E-3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3">
        <v>2737400</v>
      </c>
      <c r="AC5" s="10">
        <v>273.42</v>
      </c>
      <c r="AD5" s="2">
        <f t="shared" si="0"/>
        <v>6.9800000000000182</v>
      </c>
      <c r="AE5" s="134">
        <f t="shared" si="1"/>
        <v>1.6204564037761049E-2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3">
        <v>1448700</v>
      </c>
      <c r="AC6" s="10">
        <v>269.06</v>
      </c>
      <c r="AD6" s="2">
        <f t="shared" si="0"/>
        <v>2.3299999999999841</v>
      </c>
      <c r="AE6" s="134">
        <f t="shared" si="1"/>
        <v>1.9737087103863793E-3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W7" s="130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3">
        <v>2622400</v>
      </c>
      <c r="AC7" s="10">
        <v>268.52999999999997</v>
      </c>
      <c r="AD7" s="2">
        <f t="shared" si="0"/>
        <v>5.7100000000000364</v>
      </c>
      <c r="AE7" s="134">
        <f t="shared" si="1"/>
        <v>-2.0356791069278901E-2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3">
        <v>1147900</v>
      </c>
      <c r="AC8" s="10">
        <v>274.11</v>
      </c>
      <c r="AD8" s="2">
        <f t="shared" si="0"/>
        <v>4.2099999999999795</v>
      </c>
      <c r="AE8" s="134">
        <f t="shared" si="1"/>
        <v>-4.0693238382444319E-3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3">
        <v>1132900</v>
      </c>
      <c r="AC9" s="10">
        <v>275.23</v>
      </c>
      <c r="AD9" s="2">
        <f t="shared" si="0"/>
        <v>4.3700000000000045</v>
      </c>
      <c r="AE9" s="134">
        <f t="shared" si="1"/>
        <v>1.4918855978458545E-3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M39</f>
        <v>1659.3600000000079</v>
      </c>
      <c r="W10" s="130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3">
        <v>1368200</v>
      </c>
      <c r="AC10" s="10">
        <v>274.82</v>
      </c>
      <c r="AD10" s="2">
        <f t="shared" si="0"/>
        <v>5.2300000000000182</v>
      </c>
      <c r="AE10" s="134">
        <f t="shared" si="1"/>
        <v>-2.1422606296068736E-3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3">
        <v>1605000</v>
      </c>
      <c r="AC11" s="10">
        <v>275.41000000000003</v>
      </c>
      <c r="AD11" s="2">
        <f t="shared" si="0"/>
        <v>4.6999999999999886</v>
      </c>
      <c r="AE11" s="134">
        <f t="shared" si="1"/>
        <v>-8.853060783819644E-3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3">
        <v>1333600</v>
      </c>
      <c r="AC12" s="10">
        <v>277.87</v>
      </c>
      <c r="AD12" s="2">
        <f t="shared" si="0"/>
        <v>3.6100000000000136</v>
      </c>
      <c r="AE12" s="134">
        <f t="shared" si="1"/>
        <v>7.5419703397512361E-3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3">
        <v>3841600</v>
      </c>
      <c r="AC13" s="10">
        <v>275.79000000000002</v>
      </c>
      <c r="AD13" s="2">
        <f t="shared" si="0"/>
        <v>10.169999999999959</v>
      </c>
      <c r="AE13" s="134">
        <f t="shared" si="1"/>
        <v>3.6026200873362502E-3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3">
        <v>1666900</v>
      </c>
      <c r="AC14" s="10">
        <v>274.8</v>
      </c>
      <c r="AD14" s="2">
        <f t="shared" si="0"/>
        <v>5.6399999999999864</v>
      </c>
      <c r="AE14" s="134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3">
        <v>3140200</v>
      </c>
      <c r="AC15" s="10">
        <v>276.08999999999997</v>
      </c>
      <c r="AD15" s="2">
        <f t="shared" si="0"/>
        <v>6</v>
      </c>
      <c r="AE15" s="134">
        <f t="shared" si="1"/>
        <v>-1.028821336392316E-2</v>
      </c>
    </row>
    <row r="16" spans="1:40" x14ac:dyDescent="0.25">
      <c r="G16" s="1"/>
      <c r="W16" s="130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3">
        <v>3870900</v>
      </c>
      <c r="AC16" s="10">
        <v>278.95999999999998</v>
      </c>
      <c r="AD16" s="2">
        <f t="shared" si="0"/>
        <v>9.7300000000000182</v>
      </c>
      <c r="AE16" s="134">
        <f t="shared" si="1"/>
        <v>-4.6746856205576837E-2</v>
      </c>
    </row>
    <row r="17" spans="1:31" x14ac:dyDescent="0.25">
      <c r="G17" s="1"/>
      <c r="W17" s="130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3">
        <v>1376000</v>
      </c>
      <c r="AC17" s="10">
        <v>292.64</v>
      </c>
      <c r="AD17" s="2">
        <f t="shared" si="0"/>
        <v>5.1700000000000159</v>
      </c>
      <c r="AE17" s="134">
        <f t="shared" si="1"/>
        <v>5.812561972167174E-4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3">
        <v>797700</v>
      </c>
      <c r="AC18" s="10">
        <v>292.47000000000003</v>
      </c>
      <c r="AD18" s="2">
        <f t="shared" si="0"/>
        <v>3.2099999999999795</v>
      </c>
      <c r="AE18" s="134">
        <f t="shared" si="1"/>
        <v>-1.6385048643111633E-3</v>
      </c>
    </row>
    <row r="19" spans="1:31" x14ac:dyDescent="0.25">
      <c r="N19" s="2"/>
      <c r="W19" s="130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3">
        <v>1291500</v>
      </c>
      <c r="AC19" s="10">
        <v>292.95</v>
      </c>
      <c r="AD19" s="2">
        <f t="shared" si="0"/>
        <v>3.7000000000000455</v>
      </c>
      <c r="AE19" s="134">
        <f t="shared" si="1"/>
        <v>2.4295099917874818E-3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W20" s="130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3">
        <v>1303700</v>
      </c>
      <c r="AC20" s="10">
        <v>292.24</v>
      </c>
      <c r="AD20" s="2">
        <f t="shared" si="0"/>
        <v>4.4499999999999886</v>
      </c>
      <c r="AE20" s="134">
        <f t="shared" si="1"/>
        <v>-2.7980618303419247E-3</v>
      </c>
    </row>
    <row r="21" spans="1:31" x14ac:dyDescent="0.25">
      <c r="B21" s="188"/>
      <c r="C21" s="10"/>
      <c r="D21" s="39"/>
      <c r="E21" s="39"/>
      <c r="F21" s="39"/>
      <c r="G21" s="39"/>
      <c r="H21" s="226"/>
      <c r="I21" s="226"/>
      <c r="W21" s="130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3">
        <v>1281200</v>
      </c>
      <c r="AC21" s="10">
        <v>293.06</v>
      </c>
      <c r="AD21" s="2">
        <f t="shared" si="0"/>
        <v>4.4800000000000182</v>
      </c>
      <c r="AE21" s="134">
        <f t="shared" si="1"/>
        <v>-3.5023292189464428E-3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226"/>
      <c r="W22" s="130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3">
        <v>1243600</v>
      </c>
      <c r="AC22" s="10">
        <v>294.08999999999997</v>
      </c>
      <c r="AD22" s="2">
        <f t="shared" si="0"/>
        <v>6.0999999999999659</v>
      </c>
      <c r="AE22" s="134">
        <f t="shared" si="1"/>
        <v>1.0271384403984785E-2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W23" s="130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3">
        <v>1298400</v>
      </c>
      <c r="AC23" s="10">
        <v>291.10000000000002</v>
      </c>
      <c r="AD23" s="2">
        <f t="shared" si="0"/>
        <v>3.2199999999999704</v>
      </c>
      <c r="AE23" s="134">
        <f t="shared" si="1"/>
        <v>-1.5423121152675412E-2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W24" s="130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3">
        <v>1395600</v>
      </c>
      <c r="AC24" s="10">
        <v>295.66000000000003</v>
      </c>
      <c r="AD24" s="2">
        <f t="shared" si="0"/>
        <v>3.5</v>
      </c>
      <c r="AE24" s="134">
        <f t="shared" si="1"/>
        <v>-7.3526943092160346E-3</v>
      </c>
    </row>
    <row r="25" spans="1:31" x14ac:dyDescent="0.25">
      <c r="B25" s="188"/>
      <c r="C25" s="10"/>
      <c r="D25" s="39"/>
      <c r="E25" s="39"/>
      <c r="F25" s="39"/>
      <c r="G25" s="39"/>
      <c r="H25" s="227"/>
      <c r="I25" s="227"/>
      <c r="W25" s="130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3">
        <v>1170700</v>
      </c>
      <c r="AC25" s="10">
        <v>297.85000000000002</v>
      </c>
      <c r="AD25" s="2">
        <f t="shared" si="0"/>
        <v>4.8799999999999955</v>
      </c>
      <c r="AE25" s="134">
        <f t="shared" si="1"/>
        <v>1.4510030995606327E-2</v>
      </c>
    </row>
    <row r="26" spans="1:31" x14ac:dyDescent="0.25">
      <c r="B26" s="188"/>
      <c r="C26" s="10"/>
      <c r="D26" s="39"/>
      <c r="E26" s="39"/>
      <c r="F26" s="39"/>
      <c r="G26" s="39"/>
      <c r="H26" s="227"/>
      <c r="I26" s="227"/>
      <c r="W26" s="130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3">
        <v>1279600</v>
      </c>
      <c r="AC26" s="10">
        <v>293.58999999999997</v>
      </c>
      <c r="AD26" s="2">
        <f t="shared" si="0"/>
        <v>5.9300000000000068</v>
      </c>
      <c r="AE26" s="134">
        <f t="shared" si="1"/>
        <v>1.1252813203299628E-3</v>
      </c>
    </row>
    <row r="27" spans="1:31" x14ac:dyDescent="0.25">
      <c r="B27" s="188"/>
      <c r="C27" s="10"/>
      <c r="D27" s="39"/>
      <c r="E27" s="39"/>
      <c r="F27" s="39"/>
      <c r="G27" s="39"/>
      <c r="H27" s="227"/>
      <c r="I27" s="227"/>
      <c r="W27" s="130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3">
        <v>1312700</v>
      </c>
      <c r="AC27" s="10">
        <v>293.26</v>
      </c>
      <c r="AD27" s="2">
        <f t="shared" si="0"/>
        <v>5.0300000000000296</v>
      </c>
      <c r="AE27" s="134">
        <f t="shared" si="1"/>
        <v>1.6146916146916102E-2</v>
      </c>
    </row>
    <row r="28" spans="1:31" x14ac:dyDescent="0.25">
      <c r="B28" s="188"/>
      <c r="C28" s="10"/>
      <c r="D28" s="39"/>
      <c r="E28" s="39"/>
      <c r="F28" s="39"/>
      <c r="G28" s="39"/>
      <c r="H28" s="227"/>
      <c r="I28" s="227"/>
      <c r="W28" s="130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3">
        <v>1246300</v>
      </c>
      <c r="AC28" s="10">
        <v>288.60000000000002</v>
      </c>
      <c r="AD28" s="2">
        <f t="shared" si="0"/>
        <v>4.2300000000000182</v>
      </c>
      <c r="AE28" s="134">
        <f t="shared" si="1"/>
        <v>-8.6902758217977105E-3</v>
      </c>
    </row>
    <row r="29" spans="1:31" x14ac:dyDescent="0.25">
      <c r="B29" s="188"/>
      <c r="C29" s="10"/>
      <c r="D29" s="39"/>
      <c r="E29" s="39"/>
      <c r="F29" s="39"/>
      <c r="G29" s="39"/>
      <c r="H29" s="227"/>
      <c r="I29" s="227"/>
      <c r="W29" s="130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3">
        <v>1290300</v>
      </c>
      <c r="AC29" s="10">
        <v>291.13</v>
      </c>
      <c r="AD29" s="2">
        <f t="shared" si="0"/>
        <v>6.9800000000000182</v>
      </c>
      <c r="AE29" s="134">
        <f t="shared" si="1"/>
        <v>2.1043033002489997E-2</v>
      </c>
    </row>
    <row r="30" spans="1:31" x14ac:dyDescent="0.25">
      <c r="B30" s="188"/>
      <c r="C30" s="10"/>
      <c r="D30" s="39"/>
      <c r="E30" s="39"/>
      <c r="F30" s="39"/>
      <c r="G30" s="39"/>
      <c r="H30" s="227"/>
      <c r="I30" s="227"/>
      <c r="W30" s="130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3">
        <v>1763600</v>
      </c>
      <c r="AC30" s="10">
        <v>285.13</v>
      </c>
      <c r="AD30" s="2">
        <f t="shared" si="0"/>
        <v>19.810000000000002</v>
      </c>
      <c r="AE30" s="134">
        <f t="shared" si="1"/>
        <v>1.3345039508341205E-3</v>
      </c>
    </row>
    <row r="31" spans="1:31" x14ac:dyDescent="0.25">
      <c r="B31" s="188"/>
      <c r="C31" s="10"/>
      <c r="D31" s="39"/>
      <c r="E31" s="39"/>
      <c r="F31" s="39"/>
      <c r="G31" s="39"/>
      <c r="H31" s="227"/>
      <c r="I31" s="227"/>
      <c r="W31" s="130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3">
        <v>1409800</v>
      </c>
      <c r="AC31" s="10">
        <v>284.75</v>
      </c>
      <c r="AD31" s="2">
        <f t="shared" si="0"/>
        <v>4.75</v>
      </c>
      <c r="AE31" s="134">
        <f t="shared" si="1"/>
        <v>-1.0012863748565803E-2</v>
      </c>
    </row>
    <row r="32" spans="1:31" x14ac:dyDescent="0.25">
      <c r="B32" s="188"/>
      <c r="C32" s="10"/>
      <c r="D32" s="39"/>
      <c r="E32" s="39"/>
      <c r="F32" s="39"/>
      <c r="G32" s="39"/>
      <c r="H32" s="227"/>
      <c r="I32" s="227"/>
      <c r="W32" s="130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3">
        <v>1043800</v>
      </c>
      <c r="AC32" s="10">
        <v>287.63</v>
      </c>
      <c r="AD32" s="2">
        <f t="shared" si="0"/>
        <v>4.2099999999999795</v>
      </c>
      <c r="AE32" s="134">
        <f t="shared" si="1"/>
        <v>2.5444405716277263E-3</v>
      </c>
    </row>
    <row r="33" spans="1:31" x14ac:dyDescent="0.25">
      <c r="B33" s="10"/>
      <c r="C33" s="10"/>
      <c r="D33" s="39"/>
      <c r="E33" s="39"/>
      <c r="F33" s="39"/>
      <c r="G33" s="39"/>
      <c r="H33" s="227"/>
      <c r="I33" s="227"/>
      <c r="W33" s="130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3">
        <v>1465400</v>
      </c>
      <c r="AC33" s="10">
        <v>286.89999999999998</v>
      </c>
      <c r="AD33" s="2">
        <f t="shared" si="0"/>
        <v>3.6899999999999977</v>
      </c>
      <c r="AE33" s="134">
        <f t="shared" si="1"/>
        <v>-7.0602893334257288E-3</v>
      </c>
    </row>
    <row r="34" spans="1:31" x14ac:dyDescent="0.25">
      <c r="B34" s="10"/>
      <c r="C34" s="10"/>
      <c r="D34" s="39"/>
      <c r="E34" s="39"/>
      <c r="F34" s="39"/>
      <c r="G34" s="39"/>
      <c r="H34" s="227"/>
      <c r="I34" s="227"/>
      <c r="W34" s="130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3">
        <v>1978500</v>
      </c>
      <c r="AC34" s="10">
        <v>288.94</v>
      </c>
      <c r="AD34" s="2">
        <f t="shared" si="0"/>
        <v>4.1399999999999864</v>
      </c>
      <c r="AE34" s="134">
        <f t="shared" si="1"/>
        <v>-4.1016096232723287E-3</v>
      </c>
    </row>
    <row r="35" spans="1:31" x14ac:dyDescent="0.25">
      <c r="B35" s="10"/>
      <c r="C35" s="10"/>
      <c r="D35" s="39"/>
      <c r="E35" s="39"/>
      <c r="F35" s="39"/>
      <c r="G35" s="39"/>
      <c r="H35" s="227"/>
      <c r="I35" s="227"/>
      <c r="W35" s="130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3">
        <v>1824700</v>
      </c>
      <c r="AC35" s="10">
        <v>290.13</v>
      </c>
      <c r="AD35" s="2">
        <f t="shared" si="0"/>
        <v>6.2200000000000273</v>
      </c>
      <c r="AE35" s="134">
        <f t="shared" si="1"/>
        <v>-8.5770913067249044E-3</v>
      </c>
    </row>
    <row r="36" spans="1:31" x14ac:dyDescent="0.25">
      <c r="W36" s="130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3">
        <v>2553700</v>
      </c>
      <c r="AC36" s="10">
        <v>292.64</v>
      </c>
      <c r="AD36" s="2">
        <f t="shared" si="0"/>
        <v>8.6499999999999773</v>
      </c>
      <c r="AE36" s="134">
        <f t="shared" si="1"/>
        <v>2.6302868766220122E-2</v>
      </c>
    </row>
    <row r="37" spans="1:31" x14ac:dyDescent="0.25">
      <c r="W37" s="130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3">
        <v>2402800</v>
      </c>
      <c r="AC37" s="10">
        <v>285.14</v>
      </c>
      <c r="AD37" s="2">
        <f t="shared" si="0"/>
        <v>7.0500000000000114</v>
      </c>
      <c r="AE37" s="134">
        <f t="shared" si="1"/>
        <v>2.2336954573159762E-2</v>
      </c>
    </row>
    <row r="38" spans="1:31" x14ac:dyDescent="0.25">
      <c r="W38" s="130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3">
        <v>1786900</v>
      </c>
      <c r="AC38" s="10">
        <v>278.91000000000003</v>
      </c>
      <c r="AD38" s="2">
        <f t="shared" si="0"/>
        <v>4.5999999999999659</v>
      </c>
      <c r="AE38" s="134">
        <f t="shared" si="1"/>
        <v>1.5104090842917639E-2</v>
      </c>
    </row>
    <row r="39" spans="1:31" x14ac:dyDescent="0.25">
      <c r="A39" s="254"/>
      <c r="B39" s="254"/>
      <c r="C39" s="254"/>
      <c r="D39" s="255"/>
      <c r="E39" s="255"/>
      <c r="F39" s="255"/>
      <c r="G39" s="254"/>
      <c r="H39" s="254"/>
      <c r="I39" s="254"/>
      <c r="J39" s="254"/>
      <c r="K39" s="256" t="s">
        <v>130</v>
      </c>
      <c r="L39" s="254"/>
      <c r="M39" s="255">
        <f>K57+M57-F57</f>
        <v>1659.3600000000079</v>
      </c>
      <c r="W39" s="130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3">
        <v>1648900</v>
      </c>
      <c r="AC39" s="10">
        <v>274.76</v>
      </c>
      <c r="AD39" s="2">
        <f t="shared" si="0"/>
        <v>6.4300000000000068</v>
      </c>
      <c r="AE39" s="134">
        <f t="shared" si="1"/>
        <v>1.5973968347877454E-2</v>
      </c>
    </row>
    <row r="40" spans="1:31" x14ac:dyDescent="0.25">
      <c r="A40" s="256" t="s">
        <v>1</v>
      </c>
      <c r="B40" s="256" t="s">
        <v>2</v>
      </c>
      <c r="C40" s="256" t="s">
        <v>4</v>
      </c>
      <c r="D40" s="257" t="s">
        <v>5</v>
      </c>
      <c r="E40" s="257" t="s">
        <v>94</v>
      </c>
      <c r="F40" s="257" t="s">
        <v>60</v>
      </c>
      <c r="G40" s="256" t="s">
        <v>3</v>
      </c>
      <c r="H40" s="256" t="s">
        <v>6</v>
      </c>
      <c r="I40" s="256" t="s">
        <v>7</v>
      </c>
      <c r="J40" s="256" t="s">
        <v>95</v>
      </c>
      <c r="K40" s="257" t="s">
        <v>61</v>
      </c>
      <c r="L40" s="256" t="s">
        <v>77</v>
      </c>
      <c r="M40" s="256" t="s">
        <v>38</v>
      </c>
      <c r="W40" s="130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3">
        <v>1399100</v>
      </c>
      <c r="AC40" s="10">
        <v>270.44</v>
      </c>
      <c r="AD40" s="2">
        <f t="shared" si="0"/>
        <v>3.4200000000000159</v>
      </c>
      <c r="AE40" s="134">
        <f t="shared" si="1"/>
        <v>6.3258167745776639E-3</v>
      </c>
    </row>
    <row r="41" spans="1:31" x14ac:dyDescent="0.25">
      <c r="A41" s="258" t="s">
        <v>62</v>
      </c>
      <c r="B41" s="259">
        <v>42222</v>
      </c>
      <c r="C41" s="254">
        <v>5</v>
      </c>
      <c r="D41" s="255">
        <v>320</v>
      </c>
      <c r="E41" s="255">
        <v>0</v>
      </c>
      <c r="F41" s="255">
        <f>C41*D41 + E41</f>
        <v>1600</v>
      </c>
      <c r="G41" s="259">
        <v>42257</v>
      </c>
      <c r="H41" s="260">
        <v>5</v>
      </c>
      <c r="I41" s="255">
        <v>303.60000000000002</v>
      </c>
      <c r="J41" s="255">
        <v>0.03</v>
      </c>
      <c r="K41" s="255">
        <f t="shared" ref="K41:K48" si="3">H41*I41-J41</f>
        <v>1517.97</v>
      </c>
      <c r="L41" s="254" t="s">
        <v>80</v>
      </c>
      <c r="M41" s="254"/>
      <c r="W41" s="130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3">
        <v>1907200</v>
      </c>
      <c r="AC41" s="10">
        <v>268.74</v>
      </c>
      <c r="AD41" s="2">
        <f t="shared" si="0"/>
        <v>3.5799999999999841</v>
      </c>
      <c r="AE41" s="134">
        <f t="shared" si="1"/>
        <v>9.8831310360376623E-3</v>
      </c>
    </row>
    <row r="42" spans="1:31" ht="20.25" thickBot="1" x14ac:dyDescent="0.35">
      <c r="A42" s="261"/>
      <c r="B42" s="259">
        <v>42247</v>
      </c>
      <c r="C42" s="254">
        <v>5</v>
      </c>
      <c r="D42" s="255">
        <v>298.7</v>
      </c>
      <c r="E42" s="255">
        <v>0</v>
      </c>
      <c r="F42" s="255">
        <f>C42*D42 + E42</f>
        <v>1493.5</v>
      </c>
      <c r="G42" s="259">
        <v>42290</v>
      </c>
      <c r="H42" s="260">
        <v>5</v>
      </c>
      <c r="I42" s="255">
        <v>280.2</v>
      </c>
      <c r="J42" s="255">
        <v>0.03</v>
      </c>
      <c r="K42" s="255">
        <f t="shared" si="3"/>
        <v>1400.97</v>
      </c>
      <c r="L42" s="254"/>
      <c r="M42" s="254"/>
      <c r="O42" s="804" t="s">
        <v>78</v>
      </c>
      <c r="P42" s="804"/>
      <c r="T42" s="110" t="s">
        <v>112</v>
      </c>
      <c r="U42" s="4"/>
      <c r="W42" s="130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3">
        <v>1539100</v>
      </c>
      <c r="AC42" s="10">
        <v>266.11</v>
      </c>
      <c r="AD42" s="2">
        <f t="shared" si="0"/>
        <v>5.1100000000000136</v>
      </c>
      <c r="AE42" s="134">
        <f t="shared" si="1"/>
        <v>4.5298403231286422E-3</v>
      </c>
    </row>
    <row r="43" spans="1:31" ht="15.75" thickTop="1" x14ac:dyDescent="0.25">
      <c r="A43" s="254"/>
      <c r="B43" s="259">
        <v>42271</v>
      </c>
      <c r="C43" s="254">
        <v>10</v>
      </c>
      <c r="D43" s="255">
        <v>297</v>
      </c>
      <c r="E43" s="255">
        <v>0</v>
      </c>
      <c r="F43" s="255">
        <f>C43*D43 + E43</f>
        <v>2970</v>
      </c>
      <c r="G43" s="259">
        <v>42303</v>
      </c>
      <c r="H43" s="260">
        <v>10</v>
      </c>
      <c r="I43" s="255">
        <v>290</v>
      </c>
      <c r="J43" s="255">
        <v>0.05</v>
      </c>
      <c r="K43" s="255">
        <f t="shared" si="3"/>
        <v>2899.95</v>
      </c>
      <c r="L43" s="254"/>
      <c r="M43" s="254"/>
      <c r="O43" s="81">
        <v>1.1000000000000001</v>
      </c>
      <c r="P43" s="81">
        <f>O43*$Q$4</f>
        <v>348.45799999999997</v>
      </c>
      <c r="Q43" s="2"/>
      <c r="T43" s="421" t="s">
        <v>97</v>
      </c>
      <c r="U43" s="482">
        <v>274.24</v>
      </c>
      <c r="W43" s="130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3">
        <v>1609600</v>
      </c>
      <c r="AC43" s="10">
        <v>264.91000000000003</v>
      </c>
      <c r="AD43" s="2">
        <f t="shared" si="0"/>
        <v>2.5500000000000114</v>
      </c>
      <c r="AE43" s="134">
        <f t="shared" si="1"/>
        <v>9.0678958703294121E-4</v>
      </c>
    </row>
    <row r="44" spans="1:31" x14ac:dyDescent="0.25">
      <c r="A44" s="254"/>
      <c r="B44" s="259">
        <v>42285</v>
      </c>
      <c r="C44" s="254">
        <v>15</v>
      </c>
      <c r="D44" s="255">
        <v>283</v>
      </c>
      <c r="E44" s="255">
        <v>0</v>
      </c>
      <c r="F44" s="255">
        <f t="shared" ref="F44:F53" si="4">C44*D44 + E44</f>
        <v>4245</v>
      </c>
      <c r="G44" s="259">
        <v>42307</v>
      </c>
      <c r="H44" s="260">
        <v>10</v>
      </c>
      <c r="I44" s="255">
        <v>289.35000000000002</v>
      </c>
      <c r="J44" s="255">
        <v>7</v>
      </c>
      <c r="K44" s="255">
        <f t="shared" si="3"/>
        <v>2886.5</v>
      </c>
      <c r="L44" s="254"/>
      <c r="M44" s="254"/>
      <c r="O44" s="81">
        <v>1.0900000000000001</v>
      </c>
      <c r="P44" s="81">
        <f t="shared" ref="P44:P63" si="5">O44*$Q$4</f>
        <v>345.29019999999997</v>
      </c>
      <c r="Q44" s="2"/>
      <c r="T44" s="421" t="s">
        <v>98</v>
      </c>
      <c r="U44" s="482">
        <v>274.63</v>
      </c>
      <c r="W44" s="130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3">
        <v>1533400</v>
      </c>
      <c r="AC44" s="10">
        <v>264.67</v>
      </c>
      <c r="AD44" s="2">
        <f t="shared" si="0"/>
        <v>4.2400000000000091</v>
      </c>
      <c r="AE44" s="134">
        <f t="shared" si="1"/>
        <v>1.665215910381157E-3</v>
      </c>
    </row>
    <row r="45" spans="1:31" x14ac:dyDescent="0.25">
      <c r="A45" s="254"/>
      <c r="B45" s="346">
        <v>42286</v>
      </c>
      <c r="C45" s="254">
        <v>5</v>
      </c>
      <c r="D45" s="255">
        <v>278.5</v>
      </c>
      <c r="E45" s="255">
        <v>0</v>
      </c>
      <c r="F45" s="255">
        <f t="shared" si="4"/>
        <v>1392.5</v>
      </c>
      <c r="G45" s="259">
        <v>42313</v>
      </c>
      <c r="H45" s="260">
        <v>10</v>
      </c>
      <c r="I45" s="255">
        <v>300</v>
      </c>
      <c r="J45" s="255">
        <v>0.06</v>
      </c>
      <c r="K45" s="255">
        <f t="shared" si="3"/>
        <v>2999.94</v>
      </c>
      <c r="L45" s="254"/>
      <c r="M45" s="254"/>
      <c r="O45" s="81">
        <v>1.08</v>
      </c>
      <c r="P45" s="81">
        <f t="shared" si="5"/>
        <v>342.12239999999997</v>
      </c>
      <c r="Q45" s="2"/>
      <c r="T45" s="421" t="s">
        <v>99</v>
      </c>
      <c r="U45" s="482" t="s">
        <v>586</v>
      </c>
      <c r="W45" s="130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3">
        <v>2728300</v>
      </c>
      <c r="AC45" s="10">
        <v>264.23</v>
      </c>
      <c r="AD45" s="2">
        <f t="shared" si="0"/>
        <v>4.0199999999999818</v>
      </c>
      <c r="AE45" s="134">
        <f t="shared" si="1"/>
        <v>-6.1983030991515475E-2</v>
      </c>
    </row>
    <row r="46" spans="1:31" x14ac:dyDescent="0.25">
      <c r="A46" s="254"/>
      <c r="B46" s="346"/>
      <c r="C46" s="254">
        <v>5</v>
      </c>
      <c r="D46" s="255">
        <v>278.5</v>
      </c>
      <c r="E46" s="255">
        <v>0</v>
      </c>
      <c r="F46" s="255">
        <f t="shared" si="4"/>
        <v>1392.5</v>
      </c>
      <c r="G46" s="259">
        <v>42331</v>
      </c>
      <c r="H46" s="260">
        <v>40</v>
      </c>
      <c r="I46" s="255">
        <v>287.99</v>
      </c>
      <c r="J46" s="255">
        <v>0.21</v>
      </c>
      <c r="K46" s="255">
        <f t="shared" si="3"/>
        <v>11519.390000000001</v>
      </c>
      <c r="L46" s="254"/>
      <c r="M46" s="254"/>
      <c r="O46" s="81">
        <v>1.07</v>
      </c>
      <c r="P46" s="81">
        <f t="shared" si="5"/>
        <v>338.95459999999997</v>
      </c>
      <c r="Q46" s="2"/>
      <c r="T46" s="421" t="s">
        <v>100</v>
      </c>
      <c r="U46" s="482" t="s">
        <v>587</v>
      </c>
      <c r="W46" s="130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3">
        <v>1697600</v>
      </c>
      <c r="AC46" s="10">
        <v>281.69</v>
      </c>
      <c r="AD46" s="2">
        <f t="shared" si="0"/>
        <v>4.5600000000000023</v>
      </c>
      <c r="AE46" s="134">
        <f t="shared" si="1"/>
        <v>1.6051074880969463E-2</v>
      </c>
    </row>
    <row r="47" spans="1:31" x14ac:dyDescent="0.25">
      <c r="A47" s="254"/>
      <c r="B47" s="259">
        <v>42286</v>
      </c>
      <c r="C47" s="254">
        <v>10</v>
      </c>
      <c r="D47" s="255">
        <v>274</v>
      </c>
      <c r="E47" s="255">
        <v>0</v>
      </c>
      <c r="F47" s="255">
        <f t="shared" si="4"/>
        <v>2740</v>
      </c>
      <c r="G47" s="259">
        <v>42347</v>
      </c>
      <c r="H47" s="260">
        <v>35</v>
      </c>
      <c r="I47" s="255">
        <v>282.99</v>
      </c>
      <c r="J47" s="255">
        <v>0.18</v>
      </c>
      <c r="K47" s="255">
        <f t="shared" si="3"/>
        <v>9904.4699999999993</v>
      </c>
      <c r="L47" s="254"/>
      <c r="M47" s="254"/>
      <c r="O47" s="81">
        <v>1.06</v>
      </c>
      <c r="P47" s="81">
        <f t="shared" si="5"/>
        <v>335.78679999999997</v>
      </c>
      <c r="Q47" s="2"/>
      <c r="T47" s="421" t="s">
        <v>101</v>
      </c>
      <c r="U47" s="482">
        <v>316.02999999999997</v>
      </c>
      <c r="W47" s="130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3">
        <v>1854500</v>
      </c>
      <c r="AC47" s="10">
        <v>277.24</v>
      </c>
      <c r="AD47" s="2">
        <f t="shared" si="0"/>
        <v>6.1000000000000227</v>
      </c>
      <c r="AE47" s="134">
        <f t="shared" si="1"/>
        <v>4.2744330942547926E-3</v>
      </c>
    </row>
    <row r="48" spans="1:31" x14ac:dyDescent="0.25">
      <c r="A48" s="254"/>
      <c r="B48" s="259">
        <v>42286</v>
      </c>
      <c r="C48" s="254">
        <v>10</v>
      </c>
      <c r="D48" s="255">
        <v>269.8</v>
      </c>
      <c r="E48" s="255">
        <v>0</v>
      </c>
      <c r="F48" s="255">
        <f t="shared" si="4"/>
        <v>2698</v>
      </c>
      <c r="G48" s="259">
        <v>42359</v>
      </c>
      <c r="H48" s="260">
        <v>25</v>
      </c>
      <c r="I48" s="255">
        <v>295</v>
      </c>
      <c r="J48" s="255">
        <v>0.14000000000000001</v>
      </c>
      <c r="K48" s="255">
        <f t="shared" si="3"/>
        <v>7374.86</v>
      </c>
      <c r="L48" s="254"/>
      <c r="M48" s="254"/>
      <c r="O48" s="81">
        <v>1.05</v>
      </c>
      <c r="P48" s="81">
        <f t="shared" si="5"/>
        <v>332.61899999999997</v>
      </c>
      <c r="Q48" s="2"/>
      <c r="T48" s="421" t="s">
        <v>102</v>
      </c>
      <c r="U48" s="482">
        <v>0.50315299999999996</v>
      </c>
      <c r="W48" s="130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3">
        <v>1297900</v>
      </c>
      <c r="AC48" s="10">
        <v>276.06</v>
      </c>
      <c r="AD48" s="2">
        <f t="shared" si="0"/>
        <v>4.67999999999995</v>
      </c>
      <c r="AE48" s="134">
        <f t="shared" si="1"/>
        <v>-7.7279752704790816E-3</v>
      </c>
    </row>
    <row r="49" spans="1:31" x14ac:dyDescent="0.25">
      <c r="A49" s="254"/>
      <c r="B49" s="259">
        <v>42292</v>
      </c>
      <c r="C49" s="254">
        <v>25</v>
      </c>
      <c r="D49" s="255">
        <v>268.5</v>
      </c>
      <c r="E49" s="255">
        <v>0</v>
      </c>
      <c r="F49" s="255">
        <f t="shared" si="4"/>
        <v>6712.5</v>
      </c>
      <c r="G49" s="259">
        <v>42447</v>
      </c>
      <c r="H49" s="260">
        <v>5</v>
      </c>
      <c r="I49" s="255">
        <v>249.59</v>
      </c>
      <c r="J49" s="255">
        <v>0.03</v>
      </c>
      <c r="K49" s="255">
        <v>1247.92</v>
      </c>
      <c r="L49" s="254"/>
      <c r="M49" s="254"/>
      <c r="O49" s="81">
        <v>1.04</v>
      </c>
      <c r="P49" s="81">
        <f t="shared" si="5"/>
        <v>329.45119999999997</v>
      </c>
      <c r="Q49" s="2"/>
      <c r="T49" s="421" t="s">
        <v>103</v>
      </c>
      <c r="U49" s="482" t="s">
        <v>539</v>
      </c>
      <c r="W49" s="130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3">
        <v>1334600</v>
      </c>
      <c r="AC49" s="10">
        <v>278.20999999999998</v>
      </c>
      <c r="AD49" s="2">
        <f t="shared" si="0"/>
        <v>4.6899999999999977</v>
      </c>
      <c r="AE49" s="134">
        <f t="shared" si="1"/>
        <v>-2.4382372978594136E-3</v>
      </c>
    </row>
    <row r="50" spans="1:31" x14ac:dyDescent="0.25">
      <c r="A50" s="254"/>
      <c r="B50" s="259">
        <v>42293</v>
      </c>
      <c r="C50" s="254">
        <v>10</v>
      </c>
      <c r="D50" s="255">
        <v>262.25</v>
      </c>
      <c r="E50" s="255">
        <v>0</v>
      </c>
      <c r="F50" s="255">
        <f t="shared" si="4"/>
        <v>2622.5</v>
      </c>
      <c r="G50" s="259">
        <v>42460</v>
      </c>
      <c r="H50" s="260">
        <v>5</v>
      </c>
      <c r="I50" s="255">
        <v>261.22000000000003</v>
      </c>
      <c r="J50" s="255">
        <v>0.03</v>
      </c>
      <c r="K50" s="255">
        <v>1306.0700000000002</v>
      </c>
      <c r="L50" s="254"/>
      <c r="M50" s="254"/>
      <c r="O50" s="81">
        <v>1.03</v>
      </c>
      <c r="P50" s="81">
        <f t="shared" si="5"/>
        <v>326.28339999999997</v>
      </c>
      <c r="Q50" s="2"/>
      <c r="T50" s="421"/>
      <c r="U50" s="482"/>
      <c r="W50" s="130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3">
        <v>2417200</v>
      </c>
      <c r="AC50" s="10">
        <v>278.89</v>
      </c>
      <c r="AD50" s="2">
        <f t="shared" si="0"/>
        <v>8.7799999999999727</v>
      </c>
      <c r="AE50" s="134">
        <f t="shared" si="1"/>
        <v>2.0677792416922802E-2</v>
      </c>
    </row>
    <row r="51" spans="1:31" x14ac:dyDescent="0.25">
      <c r="A51" s="254"/>
      <c r="B51" s="259">
        <v>42293</v>
      </c>
      <c r="C51" s="254">
        <v>10</v>
      </c>
      <c r="D51" s="255">
        <v>255.4</v>
      </c>
      <c r="E51" s="255">
        <v>0</v>
      </c>
      <c r="F51" s="255">
        <f t="shared" si="4"/>
        <v>2554</v>
      </c>
      <c r="G51" s="259">
        <v>42482</v>
      </c>
      <c r="H51" s="260">
        <v>5</v>
      </c>
      <c r="I51" s="255">
        <v>282.95</v>
      </c>
      <c r="J51" s="255">
        <v>0.03</v>
      </c>
      <c r="K51" s="255">
        <v>1414.72</v>
      </c>
      <c r="L51" s="254"/>
      <c r="M51" s="254"/>
      <c r="O51" s="81">
        <v>1.02</v>
      </c>
      <c r="P51" s="81">
        <f t="shared" si="5"/>
        <v>323.11559999999997</v>
      </c>
      <c r="Q51" s="2"/>
      <c r="T51" s="421" t="s">
        <v>104</v>
      </c>
      <c r="U51" s="482" t="s">
        <v>588</v>
      </c>
      <c r="W51" s="130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3">
        <v>2506100</v>
      </c>
      <c r="AC51" s="10">
        <v>273.24</v>
      </c>
      <c r="AD51" s="2">
        <f t="shared" si="0"/>
        <v>6.3499999999999659</v>
      </c>
      <c r="AE51" s="134">
        <f t="shared" si="1"/>
        <v>-2.1181798261631357E-3</v>
      </c>
    </row>
    <row r="52" spans="1:31" x14ac:dyDescent="0.25">
      <c r="A52" s="254"/>
      <c r="B52" s="259">
        <v>42314</v>
      </c>
      <c r="C52" s="254">
        <v>10</v>
      </c>
      <c r="D52" s="255">
        <v>298.81</v>
      </c>
      <c r="E52" s="255">
        <v>0</v>
      </c>
      <c r="F52" s="255">
        <f t="shared" si="4"/>
        <v>2988.1</v>
      </c>
      <c r="G52" s="259"/>
      <c r="H52" s="254"/>
      <c r="I52" s="255"/>
      <c r="J52" s="254"/>
      <c r="K52" s="255"/>
      <c r="L52" s="254"/>
      <c r="M52" s="254"/>
      <c r="O52" s="81">
        <v>1.01</v>
      </c>
      <c r="P52" s="81">
        <f t="shared" si="5"/>
        <v>319.94779999999997</v>
      </c>
      <c r="Q52" s="2"/>
      <c r="T52" s="421" t="s">
        <v>105</v>
      </c>
      <c r="U52" s="482" t="s">
        <v>257</v>
      </c>
      <c r="W52" s="130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3">
        <v>1942600</v>
      </c>
      <c r="AC52" s="10">
        <v>273.82</v>
      </c>
      <c r="AD52" s="2">
        <f t="shared" si="0"/>
        <v>6.92999999999995</v>
      </c>
      <c r="AE52" s="134">
        <f t="shared" si="1"/>
        <v>-7.9704369248604356E-3</v>
      </c>
    </row>
    <row r="53" spans="1:31" x14ac:dyDescent="0.25">
      <c r="A53" s="254"/>
      <c r="B53" s="259">
        <v>42341</v>
      </c>
      <c r="C53" s="254">
        <v>20</v>
      </c>
      <c r="D53" s="255">
        <v>286.08999999999997</v>
      </c>
      <c r="E53" s="255">
        <v>0</v>
      </c>
      <c r="F53" s="255">
        <f t="shared" si="4"/>
        <v>5721.7999999999993</v>
      </c>
      <c r="G53" s="259"/>
      <c r="H53" s="254"/>
      <c r="I53" s="254"/>
      <c r="J53" s="254"/>
      <c r="K53" s="255"/>
      <c r="L53" s="254"/>
      <c r="M53" s="254"/>
      <c r="O53" s="81">
        <v>1</v>
      </c>
      <c r="P53" s="81">
        <f t="shared" si="5"/>
        <v>316.77999999999997</v>
      </c>
      <c r="Q53" s="2"/>
      <c r="T53" s="421" t="s">
        <v>106</v>
      </c>
      <c r="U53" s="483">
        <v>1340182</v>
      </c>
      <c r="W53" s="130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3">
        <v>1849800</v>
      </c>
      <c r="AC53" s="10">
        <v>276.02</v>
      </c>
      <c r="AD53" s="2">
        <f t="shared" si="0"/>
        <v>7.2300000000000182</v>
      </c>
      <c r="AE53" s="134">
        <f t="shared" si="1"/>
        <v>-1.6532459203306593E-2</v>
      </c>
    </row>
    <row r="54" spans="1:31" x14ac:dyDescent="0.25">
      <c r="A54" s="254"/>
      <c r="B54" s="259">
        <v>42408</v>
      </c>
      <c r="C54" s="254">
        <v>5</v>
      </c>
      <c r="D54" s="255">
        <v>251.5</v>
      </c>
      <c r="E54" s="255">
        <v>0</v>
      </c>
      <c r="F54" s="255">
        <f>C54*D54 + E54</f>
        <v>1257.5</v>
      </c>
      <c r="G54" s="259"/>
      <c r="H54" s="254"/>
      <c r="I54" s="254"/>
      <c r="J54" s="254"/>
      <c r="K54" s="255"/>
      <c r="L54" s="254"/>
      <c r="M54" s="254"/>
      <c r="O54" s="81">
        <v>0.99</v>
      </c>
      <c r="P54" s="81">
        <f t="shared" si="5"/>
        <v>313.61219999999997</v>
      </c>
      <c r="Q54" s="2"/>
      <c r="T54" s="421" t="s">
        <v>109</v>
      </c>
      <c r="U54" s="483">
        <v>1707790</v>
      </c>
      <c r="W54" s="130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3">
        <v>1949400</v>
      </c>
      <c r="AC54" s="10">
        <v>280.66000000000003</v>
      </c>
      <c r="AD54" s="2">
        <f t="shared" si="0"/>
        <v>3.1499999999999773</v>
      </c>
      <c r="AE54" s="134">
        <f t="shared" si="1"/>
        <v>1.1057606563225075E-3</v>
      </c>
    </row>
    <row r="55" spans="1:31" x14ac:dyDescent="0.25">
      <c r="A55" s="254"/>
      <c r="B55" s="259">
        <v>42446</v>
      </c>
      <c r="C55" s="254">
        <v>5</v>
      </c>
      <c r="D55" s="255">
        <v>242.55</v>
      </c>
      <c r="E55" s="255">
        <v>0</v>
      </c>
      <c r="F55" s="255">
        <f>C55*D55 + E55</f>
        <v>1212.75</v>
      </c>
      <c r="G55" s="259"/>
      <c r="H55" s="254"/>
      <c r="I55" s="254"/>
      <c r="J55" s="254"/>
      <c r="K55" s="255"/>
      <c r="L55" s="254"/>
      <c r="M55" s="254"/>
      <c r="O55" s="81">
        <v>0.98</v>
      </c>
      <c r="P55" s="81">
        <f t="shared" si="5"/>
        <v>310.44439999999997</v>
      </c>
      <c r="Q55" s="2"/>
      <c r="T55" s="421" t="s">
        <v>107</v>
      </c>
      <c r="U55" s="482" t="s">
        <v>589</v>
      </c>
      <c r="W55" s="130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3">
        <v>1384600</v>
      </c>
      <c r="AC55" s="10">
        <v>280.35000000000002</v>
      </c>
      <c r="AD55" s="2">
        <f t="shared" si="0"/>
        <v>5.6099999999999568</v>
      </c>
      <c r="AE55" s="134">
        <f t="shared" si="1"/>
        <v>-1.1494658157328641E-2</v>
      </c>
    </row>
    <row r="56" spans="1:31" x14ac:dyDescent="0.25">
      <c r="A56" s="254"/>
      <c r="B56" s="259"/>
      <c r="C56" s="254">
        <v>5</v>
      </c>
      <c r="D56" s="255">
        <v>242.55</v>
      </c>
      <c r="E56" s="255">
        <v>0</v>
      </c>
      <c r="F56" s="255">
        <f>C56*D56 + E56</f>
        <v>1212.75</v>
      </c>
      <c r="G56" s="259"/>
      <c r="H56" s="254"/>
      <c r="I56" s="254"/>
      <c r="J56" s="254"/>
      <c r="K56" s="255"/>
      <c r="L56" s="254"/>
      <c r="M56" s="254"/>
      <c r="O56" s="81">
        <v>0.97</v>
      </c>
      <c r="P56" s="81">
        <f t="shared" si="5"/>
        <v>307.27659999999997</v>
      </c>
      <c r="T56" s="421" t="s">
        <v>110</v>
      </c>
      <c r="U56" s="482">
        <v>15.97</v>
      </c>
      <c r="W56" s="130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3">
        <v>1074300</v>
      </c>
      <c r="AC56" s="10">
        <v>283.61</v>
      </c>
      <c r="AD56" s="2">
        <f t="shared" si="0"/>
        <v>3.2900000000000205</v>
      </c>
      <c r="AE56" s="134">
        <f t="shared" si="1"/>
        <v>2.1200664287481796E-3</v>
      </c>
    </row>
    <row r="57" spans="1:3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5"/>
        <v>304.10879999999997</v>
      </c>
      <c r="T57" s="421" t="s">
        <v>111</v>
      </c>
      <c r="U57" s="482">
        <v>16.93</v>
      </c>
      <c r="W57" s="130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3">
        <v>1966100</v>
      </c>
      <c r="AC57" s="10">
        <v>283.01</v>
      </c>
      <c r="AD57" s="2">
        <f t="shared" si="0"/>
        <v>5.2700000000000387</v>
      </c>
      <c r="AE57" s="134">
        <f t="shared" si="1"/>
        <v>-6.1106233538191779E-3</v>
      </c>
    </row>
    <row r="58" spans="1:31" x14ac:dyDescent="0.25">
      <c r="O58" s="81">
        <v>0.95</v>
      </c>
      <c r="P58" s="81">
        <f t="shared" si="5"/>
        <v>300.94099999999997</v>
      </c>
      <c r="T58" s="421" t="s">
        <v>108</v>
      </c>
      <c r="U58" s="482" t="s">
        <v>122</v>
      </c>
      <c r="W58" s="130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3">
        <v>1691700</v>
      </c>
      <c r="AC58" s="10">
        <v>284.75</v>
      </c>
      <c r="AD58" s="2">
        <f t="shared" si="0"/>
        <v>5.6100000000000136</v>
      </c>
      <c r="AE58" s="134">
        <f t="shared" si="1"/>
        <v>-1.0494492129130895E-2</v>
      </c>
    </row>
    <row r="59" spans="1:31" x14ac:dyDescent="0.25">
      <c r="O59" s="81">
        <v>0.94</v>
      </c>
      <c r="P59" s="81">
        <f t="shared" si="5"/>
        <v>297.77319999999997</v>
      </c>
      <c r="W59" s="130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3">
        <v>1353100</v>
      </c>
      <c r="AC59" s="10">
        <v>287.77</v>
      </c>
      <c r="AD59" s="2">
        <f t="shared" si="0"/>
        <v>3.9499999999999886</v>
      </c>
      <c r="AE59" s="134">
        <f t="shared" si="1"/>
        <v>2.2987705060777408E-3</v>
      </c>
    </row>
    <row r="60" spans="1:31" x14ac:dyDescent="0.25">
      <c r="B60" s="262" t="s">
        <v>113</v>
      </c>
      <c r="C60" s="262" t="s">
        <v>146</v>
      </c>
      <c r="D60" s="263" t="s">
        <v>145</v>
      </c>
      <c r="E60" s="264" t="s">
        <v>147</v>
      </c>
      <c r="F60" s="265" t="s">
        <v>65</v>
      </c>
      <c r="G60" s="266" t="s">
        <v>151</v>
      </c>
      <c r="H60" s="265" t="s">
        <v>88</v>
      </c>
      <c r="O60" s="81">
        <v>0.93</v>
      </c>
      <c r="P60" s="81">
        <f t="shared" si="5"/>
        <v>294.60539999999997</v>
      </c>
      <c r="W60" s="130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3">
        <v>2442600</v>
      </c>
      <c r="AC60" s="10">
        <v>287.11</v>
      </c>
      <c r="AD60" s="2">
        <f t="shared" si="0"/>
        <v>12.899999999999977</v>
      </c>
      <c r="AE60" s="134">
        <f t="shared" si="1"/>
        <v>-3.5864199603747648E-2</v>
      </c>
    </row>
    <row r="61" spans="1:31" x14ac:dyDescent="0.25">
      <c r="B61" s="259">
        <v>42304</v>
      </c>
      <c r="C61" s="254">
        <v>80</v>
      </c>
      <c r="D61" s="255">
        <v>271.44</v>
      </c>
      <c r="E61" s="255">
        <v>293.69</v>
      </c>
      <c r="F61" s="255">
        <v>1780.09</v>
      </c>
      <c r="G61" s="255">
        <f t="shared" ref="G61:G66" si="6">IF(C61=0, 0,D61*C61)</f>
        <v>21715.200000000001</v>
      </c>
      <c r="H61" s="267">
        <f t="shared" ref="H61:H66" si="7">IF(C61=0, D61, (E61-D61)/D61)</f>
        <v>8.1970232832301801E-2</v>
      </c>
      <c r="O61" s="81">
        <v>0.92</v>
      </c>
      <c r="P61" s="81">
        <f t="shared" si="5"/>
        <v>291.43759999999997</v>
      </c>
      <c r="W61" s="130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3">
        <v>1399700</v>
      </c>
      <c r="AC61" s="10">
        <v>297.79000000000002</v>
      </c>
      <c r="AD61" s="2">
        <f t="shared" si="0"/>
        <v>4.9900000000000091</v>
      </c>
      <c r="AE61" s="134">
        <f t="shared" si="1"/>
        <v>-4.1134372282789489E-3</v>
      </c>
    </row>
    <row r="62" spans="1:31" x14ac:dyDescent="0.25">
      <c r="B62" s="259">
        <v>42310</v>
      </c>
      <c r="C62" s="254">
        <v>70</v>
      </c>
      <c r="D62" s="255">
        <v>267.36</v>
      </c>
      <c r="E62" s="255">
        <v>303.08</v>
      </c>
      <c r="F62" s="255">
        <v>2500.4299999999998</v>
      </c>
      <c r="G62" s="255">
        <f t="shared" si="6"/>
        <v>18715.2</v>
      </c>
      <c r="H62" s="267">
        <f t="shared" si="7"/>
        <v>0.1336026331538</v>
      </c>
      <c r="O62" s="81">
        <v>0.91</v>
      </c>
      <c r="P62" s="81">
        <f t="shared" si="5"/>
        <v>288.26979999999998</v>
      </c>
      <c r="W62" s="130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3">
        <v>1429100</v>
      </c>
      <c r="AC62" s="10">
        <v>299.02</v>
      </c>
      <c r="AD62" s="2">
        <f t="shared" si="0"/>
        <v>5.589999999999975</v>
      </c>
      <c r="AE62" s="134">
        <f t="shared" si="1"/>
        <v>1.3627118644067737E-2</v>
      </c>
    </row>
    <row r="63" spans="1:31" x14ac:dyDescent="0.25">
      <c r="B63" s="259">
        <v>42314</v>
      </c>
      <c r="C63" s="254">
        <v>80</v>
      </c>
      <c r="D63" s="255">
        <v>271.29000000000002</v>
      </c>
      <c r="E63" s="255">
        <v>299.14</v>
      </c>
      <c r="F63" s="255">
        <v>2227.9299999999998</v>
      </c>
      <c r="G63" s="255">
        <f t="shared" si="6"/>
        <v>21703.200000000001</v>
      </c>
      <c r="H63" s="267">
        <f t="shared" si="7"/>
        <v>0.10265767260127526</v>
      </c>
      <c r="O63" s="81">
        <v>0.9</v>
      </c>
      <c r="P63" s="81">
        <f t="shared" si="5"/>
        <v>285.10199999999998</v>
      </c>
      <c r="W63" s="130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3">
        <v>1077900</v>
      </c>
      <c r="AC63" s="10">
        <v>295</v>
      </c>
      <c r="AD63" s="2">
        <f t="shared" si="0"/>
        <v>4.0200000000000387</v>
      </c>
      <c r="AE63" s="134">
        <f t="shared" si="1"/>
        <v>4.8710699322138673E-3</v>
      </c>
    </row>
    <row r="64" spans="1:31" x14ac:dyDescent="0.25">
      <c r="B64" s="259">
        <v>42326</v>
      </c>
      <c r="C64" s="254">
        <v>40</v>
      </c>
      <c r="D64" s="255">
        <v>254.6</v>
      </c>
      <c r="E64" s="255">
        <v>291.98</v>
      </c>
      <c r="F64" s="255">
        <v>1495.32</v>
      </c>
      <c r="G64" s="255">
        <f t="shared" si="6"/>
        <v>10184</v>
      </c>
      <c r="H64" s="267">
        <f t="shared" si="7"/>
        <v>0.14681853888452484</v>
      </c>
      <c r="W64" s="130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3">
        <v>1144200</v>
      </c>
      <c r="AC64" s="10">
        <v>293.57</v>
      </c>
      <c r="AD64" s="2">
        <f t="shared" si="0"/>
        <v>4.0999999999999659</v>
      </c>
      <c r="AE64" s="134">
        <f t="shared" si="1"/>
        <v>-1.6323754463527518E-3</v>
      </c>
    </row>
    <row r="65" spans="2:31" x14ac:dyDescent="0.25">
      <c r="B65" s="259">
        <v>42338</v>
      </c>
      <c r="C65" s="254">
        <v>60</v>
      </c>
      <c r="D65" s="255">
        <v>265.08999999999997</v>
      </c>
      <c r="E65" s="255">
        <v>286.86</v>
      </c>
      <c r="F65" s="255">
        <v>1305.92</v>
      </c>
      <c r="G65" s="255">
        <f t="shared" si="6"/>
        <v>15905.399999999998</v>
      </c>
      <c r="H65" s="267">
        <f t="shared" si="7"/>
        <v>8.2123052548191328E-2</v>
      </c>
      <c r="W65" s="130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3">
        <v>1262600</v>
      </c>
      <c r="AC65" s="10">
        <v>294.05</v>
      </c>
      <c r="AD65" s="2">
        <f t="shared" si="0"/>
        <v>6.7899999999999636</v>
      </c>
      <c r="AE65" s="134">
        <f t="shared" si="1"/>
        <v>8.0216653525762016E-3</v>
      </c>
    </row>
    <row r="66" spans="2:31" x14ac:dyDescent="0.25">
      <c r="B66" s="259">
        <v>42342</v>
      </c>
      <c r="C66" s="254">
        <v>25</v>
      </c>
      <c r="D66" s="255">
        <v>240.05</v>
      </c>
      <c r="E66" s="255">
        <v>284.45</v>
      </c>
      <c r="F66" s="255">
        <v>1110</v>
      </c>
      <c r="G66" s="255">
        <f t="shared" si="6"/>
        <v>6001.25</v>
      </c>
      <c r="H66" s="267">
        <f t="shared" si="7"/>
        <v>0.18496146636117466</v>
      </c>
      <c r="W66" s="130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3">
        <v>1736800</v>
      </c>
      <c r="AC66" s="10">
        <v>291.70999999999998</v>
      </c>
      <c r="AD66" s="2">
        <f t="shared" si="0"/>
        <v>8.339999999999975</v>
      </c>
      <c r="AE66" s="134">
        <f t="shared" si="1"/>
        <v>2.8669158614852863E-2</v>
      </c>
    </row>
    <row r="67" spans="2:31" x14ac:dyDescent="0.25">
      <c r="B67" s="259">
        <v>42355</v>
      </c>
      <c r="C67" s="254">
        <v>0</v>
      </c>
      <c r="D67" s="255">
        <v>0</v>
      </c>
      <c r="E67" s="255">
        <v>297.17</v>
      </c>
      <c r="F67" s="255">
        <v>1373.65</v>
      </c>
      <c r="G67" s="255"/>
      <c r="H67" s="267"/>
      <c r="W67" s="130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3">
        <v>1315200</v>
      </c>
      <c r="AC67" s="10">
        <v>283.58</v>
      </c>
      <c r="AD67" s="2">
        <f>Y67-Z67</f>
        <v>5.9200000000000159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B69" s="370">
        <v>42408</v>
      </c>
      <c r="C69" s="371">
        <v>5</v>
      </c>
      <c r="D69" s="372">
        <v>251.5</v>
      </c>
      <c r="E69" s="372">
        <v>256.52</v>
      </c>
      <c r="F69" s="372">
        <f>C69*(E69-D69)</f>
        <v>25.099999999999909</v>
      </c>
      <c r="G69" s="372">
        <f>D69*C69</f>
        <v>1257.5</v>
      </c>
      <c r="H69" s="373">
        <f>(E69-D69)/D69</f>
        <v>1.9960238568588397E-2</v>
      </c>
      <c r="I69" s="373"/>
    </row>
    <row r="70" spans="2:31" x14ac:dyDescent="0.25">
      <c r="B70" s="370">
        <v>42422</v>
      </c>
      <c r="C70" s="371">
        <v>5</v>
      </c>
      <c r="D70" s="372">
        <v>251.5</v>
      </c>
      <c r="E70" s="372">
        <v>265.83</v>
      </c>
      <c r="F70" s="372">
        <f t="shared" ref="F70:F79" si="8">C70*(E70-D70)</f>
        <v>71.64999999999992</v>
      </c>
      <c r="G70" s="372">
        <f t="shared" ref="G70:G80" si="9">D70*C70</f>
        <v>1257.5</v>
      </c>
      <c r="H70" s="373">
        <f t="shared" ref="H70:H79" si="10">(E70-D70)/D70</f>
        <v>5.6978131212723597E-2</v>
      </c>
      <c r="I70" s="373"/>
    </row>
    <row r="71" spans="2:31" x14ac:dyDescent="0.25">
      <c r="B71" s="370">
        <v>42431</v>
      </c>
      <c r="C71" s="371">
        <v>5</v>
      </c>
      <c r="D71" s="372">
        <v>251.5</v>
      </c>
      <c r="E71" s="372">
        <v>273.66000000000003</v>
      </c>
      <c r="F71" s="372">
        <f t="shared" si="8"/>
        <v>110.80000000000013</v>
      </c>
      <c r="G71" s="372">
        <f t="shared" si="9"/>
        <v>1257.5</v>
      </c>
      <c r="H71" s="373">
        <f t="shared" si="10"/>
        <v>8.8111332007952389E-2</v>
      </c>
      <c r="I71" s="373"/>
    </row>
    <row r="72" spans="2:31" x14ac:dyDescent="0.25">
      <c r="B72" s="370">
        <v>42433</v>
      </c>
      <c r="C72" s="371">
        <v>5</v>
      </c>
      <c r="D72" s="372">
        <v>251.5</v>
      </c>
      <c r="E72" s="372">
        <v>263.94</v>
      </c>
      <c r="F72" s="372">
        <f t="shared" si="8"/>
        <v>62.199999999999989</v>
      </c>
      <c r="G72" s="372">
        <f t="shared" si="9"/>
        <v>1257.5</v>
      </c>
      <c r="H72" s="373">
        <f t="shared" si="10"/>
        <v>4.9463220675944324E-2</v>
      </c>
      <c r="I72" s="373"/>
    </row>
    <row r="73" spans="2:31" x14ac:dyDescent="0.25">
      <c r="B73" s="370">
        <v>42439</v>
      </c>
      <c r="C73" s="371">
        <v>5</v>
      </c>
      <c r="D73" s="372">
        <v>251.5</v>
      </c>
      <c r="E73" s="372">
        <v>251.97</v>
      </c>
      <c r="F73" s="372">
        <f t="shared" si="8"/>
        <v>2.3499999999999943</v>
      </c>
      <c r="G73" s="372">
        <f t="shared" si="9"/>
        <v>1257.5</v>
      </c>
      <c r="H73" s="374">
        <f t="shared" si="10"/>
        <v>1.8687872763419437E-3</v>
      </c>
      <c r="I73" s="374"/>
    </row>
    <row r="74" spans="2:31" x14ac:dyDescent="0.25">
      <c r="B74" s="370">
        <v>42444</v>
      </c>
      <c r="C74" s="371">
        <v>5</v>
      </c>
      <c r="D74" s="372">
        <v>251.5</v>
      </c>
      <c r="E74" s="372">
        <v>250.33</v>
      </c>
      <c r="F74" s="372">
        <f t="shared" si="8"/>
        <v>-5.8499999999999375</v>
      </c>
      <c r="G74" s="372">
        <f t="shared" si="9"/>
        <v>1257.5</v>
      </c>
      <c r="H74" s="374">
        <f t="shared" si="10"/>
        <v>-4.6520874751490556E-3</v>
      </c>
      <c r="I74" s="374"/>
    </row>
    <row r="75" spans="2:31" x14ac:dyDescent="0.25">
      <c r="B75" s="370">
        <v>42446</v>
      </c>
      <c r="C75" s="371">
        <v>15</v>
      </c>
      <c r="D75" s="372">
        <v>245.5333</v>
      </c>
      <c r="E75" s="372">
        <v>246.31</v>
      </c>
      <c r="F75" s="372">
        <f t="shared" si="8"/>
        <v>11.650500000000079</v>
      </c>
      <c r="G75" s="372">
        <f t="shared" si="9"/>
        <v>3682.9994999999999</v>
      </c>
      <c r="H75" s="374">
        <f t="shared" si="10"/>
        <v>3.1633183767741701E-3</v>
      </c>
      <c r="I75" s="374"/>
    </row>
    <row r="76" spans="2:31" x14ac:dyDescent="0.25">
      <c r="B76" s="370">
        <v>42447</v>
      </c>
      <c r="C76" s="371">
        <v>10</v>
      </c>
      <c r="D76" s="372">
        <v>243.50800000000001</v>
      </c>
      <c r="E76" s="372">
        <v>250.78</v>
      </c>
      <c r="F76" s="372">
        <f t="shared" si="8"/>
        <v>72.719999999999914</v>
      </c>
      <c r="G76" s="372">
        <f t="shared" si="9"/>
        <v>2435.08</v>
      </c>
      <c r="H76" s="374">
        <f t="shared" si="10"/>
        <v>2.9863495244509385E-2</v>
      </c>
      <c r="I76" s="374" t="s">
        <v>190</v>
      </c>
    </row>
    <row r="77" spans="2:31" x14ac:dyDescent="0.25">
      <c r="B77" s="370">
        <v>42458</v>
      </c>
      <c r="C77" s="371">
        <v>10</v>
      </c>
      <c r="D77" s="372">
        <v>243.50800000000001</v>
      </c>
      <c r="E77" s="372">
        <v>254.68</v>
      </c>
      <c r="F77" s="372">
        <f t="shared" si="8"/>
        <v>111.71999999999997</v>
      </c>
      <c r="G77" s="372">
        <f t="shared" si="9"/>
        <v>2435.08</v>
      </c>
      <c r="H77" s="374">
        <f t="shared" si="10"/>
        <v>4.587939615946908E-2</v>
      </c>
      <c r="I77" s="374"/>
    </row>
    <row r="78" spans="2:31" x14ac:dyDescent="0.25">
      <c r="B78" s="370">
        <v>42460</v>
      </c>
      <c r="C78" s="371">
        <v>5</v>
      </c>
      <c r="D78" s="372">
        <v>225.80199999999999</v>
      </c>
      <c r="E78" s="372">
        <v>260.32</v>
      </c>
      <c r="F78" s="372">
        <f t="shared" si="8"/>
        <v>172.59</v>
      </c>
      <c r="G78" s="372">
        <f t="shared" si="9"/>
        <v>1129.01</v>
      </c>
      <c r="H78" s="374">
        <f t="shared" si="10"/>
        <v>0.15286844226357607</v>
      </c>
      <c r="I78" s="374"/>
    </row>
    <row r="79" spans="2:31" x14ac:dyDescent="0.25">
      <c r="B79" s="370">
        <v>42469</v>
      </c>
      <c r="C79" s="371">
        <v>5</v>
      </c>
      <c r="D79" s="372">
        <v>225.80199999999999</v>
      </c>
      <c r="E79" s="372">
        <v>270.83</v>
      </c>
      <c r="F79" s="372">
        <f t="shared" si="8"/>
        <v>225.13999999999996</v>
      </c>
      <c r="G79" s="372">
        <f t="shared" si="9"/>
        <v>1129.01</v>
      </c>
      <c r="H79" s="374">
        <f t="shared" si="10"/>
        <v>0.1994136455832986</v>
      </c>
      <c r="I79" s="374"/>
    </row>
    <row r="80" spans="2:31" x14ac:dyDescent="0.25">
      <c r="B80" s="370">
        <v>42482</v>
      </c>
      <c r="C80" s="371">
        <v>0</v>
      </c>
      <c r="D80" s="372">
        <v>0</v>
      </c>
      <c r="E80" s="372">
        <v>0</v>
      </c>
      <c r="F80" s="372">
        <v>285.70999999999998</v>
      </c>
      <c r="G80" s="372">
        <f t="shared" si="9"/>
        <v>0</v>
      </c>
      <c r="H80" s="374"/>
      <c r="I80" s="374"/>
    </row>
    <row r="81" spans="2:9" x14ac:dyDescent="0.25">
      <c r="B81" s="371"/>
      <c r="C81" s="371"/>
      <c r="D81" s="372"/>
      <c r="E81" s="372"/>
      <c r="F81" s="372"/>
      <c r="G81" s="372"/>
      <c r="H81" s="374"/>
      <c r="I81" s="374"/>
    </row>
    <row r="82" spans="2:9" x14ac:dyDescent="0.25">
      <c r="B82" s="371"/>
      <c r="C82" s="371"/>
      <c r="D82" s="372"/>
      <c r="E82" s="372"/>
      <c r="F82" s="372"/>
      <c r="G82" s="372"/>
      <c r="H82" s="374"/>
      <c r="I82" s="374"/>
    </row>
  </sheetData>
  <mergeCells count="1">
    <mergeCell ref="O42:P42"/>
  </mergeCells>
  <conditionalFormatting sqref="N19 F25:F35">
    <cfRule type="expression" dxfId="2035" priority="58">
      <formula>F19&gt;0</formula>
    </cfRule>
    <cfRule type="expression" dxfId="2034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033" priority="47">
      <formula>H25&gt;0</formula>
    </cfRule>
    <cfRule type="expression" dxfId="2032" priority="48">
      <formula>H25&lt;0</formula>
    </cfRule>
  </conditionalFormatting>
  <conditionalFormatting sqref="M39">
    <cfRule type="expression" dxfId="2031" priority="45">
      <formula>M39&gt;0</formula>
    </cfRule>
    <cfRule type="expression" dxfId="2030" priority="46">
      <formula>M39&lt;0</formula>
    </cfRule>
  </conditionalFormatting>
  <conditionalFormatting sqref="F61:F67">
    <cfRule type="expression" dxfId="2029" priority="43">
      <formula>F61&gt;0</formula>
    </cfRule>
    <cfRule type="expression" dxfId="2028" priority="44">
      <formula>F61&lt;0</formula>
    </cfRule>
  </conditionalFormatting>
  <conditionalFormatting sqref="H61:H67">
    <cfRule type="expression" dxfId="2027" priority="41">
      <formula>H61&gt;0</formula>
    </cfRule>
    <cfRule type="expression" dxfId="2026" priority="42">
      <formula>H61&lt;0</formula>
    </cfRule>
  </conditionalFormatting>
  <conditionalFormatting sqref="F21:F24">
    <cfRule type="expression" dxfId="2025" priority="39">
      <formula>F21&gt;0</formula>
    </cfRule>
    <cfRule type="expression" dxfId="2024" priority="40">
      <formula>F21&lt;0</formula>
    </cfRule>
  </conditionalFormatting>
  <conditionalFormatting sqref="H21:H24">
    <cfRule type="expression" dxfId="2023" priority="37">
      <formula>H21&gt;0</formula>
    </cfRule>
    <cfRule type="expression" dxfId="2022" priority="38">
      <formula>H21&lt;0</formula>
    </cfRule>
  </conditionalFormatting>
  <conditionalFormatting sqref="I25:I28">
    <cfRule type="expression" dxfId="2021" priority="31">
      <formula>I25&gt;0</formula>
    </cfRule>
    <cfRule type="expression" dxfId="2020" priority="32">
      <formula>I25&lt;0</formula>
    </cfRule>
  </conditionalFormatting>
  <conditionalFormatting sqref="I21:I24">
    <cfRule type="expression" dxfId="2019" priority="29">
      <formula>I21&gt;0</formula>
    </cfRule>
    <cfRule type="expression" dxfId="2018" priority="30">
      <formula>I21&lt;0</formula>
    </cfRule>
  </conditionalFormatting>
  <conditionalFormatting sqref="H29">
    <cfRule type="expression" dxfId="2017" priority="27">
      <formula>H29&gt;0</formula>
    </cfRule>
    <cfRule type="expression" dxfId="2016" priority="28">
      <formula>H29&lt;0</formula>
    </cfRule>
  </conditionalFormatting>
  <conditionalFormatting sqref="H30">
    <cfRule type="expression" dxfId="2015" priority="25">
      <formula>H30&gt;0</formula>
    </cfRule>
    <cfRule type="expression" dxfId="2014" priority="26">
      <formula>H30&lt;0</formula>
    </cfRule>
  </conditionalFormatting>
  <conditionalFormatting sqref="H31">
    <cfRule type="expression" dxfId="2013" priority="23">
      <formula>H31&gt;0</formula>
    </cfRule>
    <cfRule type="expression" dxfId="2012" priority="24">
      <formula>H31&lt;0</formula>
    </cfRule>
  </conditionalFormatting>
  <conditionalFormatting sqref="Q7">
    <cfRule type="expression" dxfId="2011" priority="21">
      <formula>Q7&gt;0</formula>
    </cfRule>
    <cfRule type="expression" dxfId="2010" priority="22">
      <formula>Q7&lt;0</formula>
    </cfRule>
  </conditionalFormatting>
  <conditionalFormatting sqref="Q8">
    <cfRule type="expression" dxfId="2009" priority="19">
      <formula>Q8&gt;0</formula>
    </cfRule>
    <cfRule type="expression" dxfId="2008" priority="20">
      <formula>Q8&lt;0</formula>
    </cfRule>
  </conditionalFormatting>
  <conditionalFormatting sqref="F73:F82">
    <cfRule type="expression" dxfId="2007" priority="17">
      <formula>F73&gt;0</formula>
    </cfRule>
    <cfRule type="expression" dxfId="2006" priority="18">
      <formula>F73&lt;0</formula>
    </cfRule>
  </conditionalFormatting>
  <conditionalFormatting sqref="H73:H76">
    <cfRule type="expression" dxfId="2005" priority="15">
      <formula>H73&gt;0</formula>
    </cfRule>
    <cfRule type="expression" dxfId="2004" priority="16">
      <formula>H73&lt;0</formula>
    </cfRule>
  </conditionalFormatting>
  <conditionalFormatting sqref="F69:F72">
    <cfRule type="expression" dxfId="2003" priority="13">
      <formula>F69&gt;0</formula>
    </cfRule>
    <cfRule type="expression" dxfId="2002" priority="14">
      <formula>F69&lt;0</formula>
    </cfRule>
  </conditionalFormatting>
  <conditionalFormatting sqref="H69:H72">
    <cfRule type="expression" dxfId="2001" priority="11">
      <formula>H69&gt;0</formula>
    </cfRule>
    <cfRule type="expression" dxfId="2000" priority="12">
      <formula>H69&lt;0</formula>
    </cfRule>
  </conditionalFormatting>
  <conditionalFormatting sqref="I73:I76">
    <cfRule type="expression" dxfId="1999" priority="9">
      <formula>I73&gt;0</formula>
    </cfRule>
    <cfRule type="expression" dxfId="1998" priority="10">
      <formula>I73&lt;0</formula>
    </cfRule>
  </conditionalFormatting>
  <conditionalFormatting sqref="I69:I72">
    <cfRule type="expression" dxfId="1997" priority="7">
      <formula>I69&gt;0</formula>
    </cfRule>
    <cfRule type="expression" dxfId="1996" priority="8">
      <formula>I69&lt;0</formula>
    </cfRule>
  </conditionalFormatting>
  <conditionalFormatting sqref="H77">
    <cfRule type="expression" dxfId="1995" priority="5">
      <formula>H77&gt;0</formula>
    </cfRule>
    <cfRule type="expression" dxfId="1994" priority="6">
      <formula>H77&lt;0</formula>
    </cfRule>
  </conditionalFormatting>
  <conditionalFormatting sqref="H78">
    <cfRule type="expression" dxfId="1993" priority="3">
      <formula>H78&gt;0</formula>
    </cfRule>
    <cfRule type="expression" dxfId="1992" priority="4">
      <formula>H78&lt;0</formula>
    </cfRule>
  </conditionalFormatting>
  <conditionalFormatting sqref="H79">
    <cfRule type="expression" dxfId="1991" priority="1">
      <formula>H79&gt;0</formula>
    </cfRule>
    <cfRule type="expression" dxfId="1990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60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39.28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9"/>
      <c r="AN3" s="229"/>
    </row>
    <row r="4" spans="1:40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39.28</v>
      </c>
      <c r="R4" s="504">
        <v>8.0000000000000004E-4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T9" s="154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209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190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8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6">
        <f>(E21-D21)/D21</f>
        <v>4.1127694859038208E-2</v>
      </c>
      <c r="I21" s="226"/>
      <c r="J21" s="226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8">
        <v>43007</v>
      </c>
      <c r="C22" s="10">
        <v>0</v>
      </c>
      <c r="D22" s="39"/>
      <c r="E22" s="39"/>
      <c r="F22" s="39">
        <v>115.8</v>
      </c>
      <c r="G22" s="39"/>
      <c r="H22" s="226"/>
      <c r="I22" s="226"/>
      <c r="J22" s="744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226"/>
      <c r="J23" s="226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226"/>
      <c r="J24" s="226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226"/>
      <c r="J25" s="226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226"/>
      <c r="J26" s="226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226"/>
      <c r="J27" s="226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226"/>
      <c r="J28" s="226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226"/>
      <c r="J29" s="226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226"/>
      <c r="J30" s="226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226"/>
      <c r="J31" s="226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209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77" t="s">
        <v>1</v>
      </c>
      <c r="B36" s="377" t="s">
        <v>2</v>
      </c>
      <c r="C36" s="377" t="s">
        <v>4</v>
      </c>
      <c r="D36" s="379" t="s">
        <v>5</v>
      </c>
      <c r="E36" s="379" t="s">
        <v>94</v>
      </c>
      <c r="F36" s="379" t="s">
        <v>60</v>
      </c>
      <c r="G36" s="377" t="s">
        <v>3</v>
      </c>
      <c r="H36" s="377" t="s">
        <v>6</v>
      </c>
      <c r="I36" s="377" t="s">
        <v>7</v>
      </c>
      <c r="J36" s="377" t="s">
        <v>95</v>
      </c>
      <c r="K36" s="379" t="s">
        <v>61</v>
      </c>
      <c r="L36" s="377" t="s">
        <v>77</v>
      </c>
      <c r="M36" s="377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80" t="s">
        <v>204</v>
      </c>
      <c r="B37" s="370">
        <v>42502</v>
      </c>
      <c r="C37" s="371">
        <v>60</v>
      </c>
      <c r="D37" s="372">
        <v>38.25</v>
      </c>
      <c r="E37" s="372">
        <v>0</v>
      </c>
      <c r="F37" s="372">
        <f>C37*D37 + E37</f>
        <v>2295</v>
      </c>
      <c r="G37" s="370">
        <v>42528</v>
      </c>
      <c r="H37" s="375">
        <v>30</v>
      </c>
      <c r="I37" s="372">
        <v>45.25</v>
      </c>
      <c r="J37" s="372">
        <v>0.03</v>
      </c>
      <c r="K37" s="372">
        <f>H37*I37 - J37</f>
        <v>1357.47</v>
      </c>
      <c r="L37" s="371"/>
      <c r="M37" s="371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81" t="s">
        <v>71</v>
      </c>
      <c r="B38" s="382"/>
      <c r="C38" s="371"/>
      <c r="D38" s="372"/>
      <c r="E38" s="372"/>
      <c r="F38" s="372"/>
      <c r="G38" s="370">
        <v>42544</v>
      </c>
      <c r="H38" s="375">
        <v>30</v>
      </c>
      <c r="I38" s="372">
        <v>45.91</v>
      </c>
      <c r="J38" s="372">
        <v>-0.01</v>
      </c>
      <c r="K38" s="372">
        <f>H38*I38 - J38</f>
        <v>1377.31</v>
      </c>
      <c r="L38" s="371"/>
      <c r="M38" s="371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71"/>
      <c r="B39" s="382"/>
      <c r="C39" s="371"/>
      <c r="D39" s="372"/>
      <c r="E39" s="372"/>
      <c r="F39" s="372"/>
      <c r="G39" s="370"/>
      <c r="H39" s="375"/>
      <c r="I39" s="372"/>
      <c r="J39" s="372"/>
      <c r="K39" s="372"/>
      <c r="L39" s="371"/>
      <c r="M39" s="371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71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71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71"/>
      <c r="B41" s="382"/>
      <c r="C41" s="371"/>
      <c r="D41" s="372"/>
      <c r="E41" s="372"/>
      <c r="F41" s="372"/>
      <c r="G41" s="370"/>
      <c r="H41" s="375"/>
      <c r="I41" s="372"/>
      <c r="J41" s="372"/>
      <c r="K41" s="372"/>
      <c r="L41" s="371"/>
      <c r="M41" s="371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71"/>
      <c r="B42" s="382"/>
      <c r="C42" s="371"/>
      <c r="D42" s="372"/>
      <c r="E42" s="372"/>
      <c r="F42" s="372"/>
      <c r="G42" s="370"/>
      <c r="H42" s="375"/>
      <c r="I42" s="372"/>
      <c r="J42" s="372"/>
      <c r="K42" s="372"/>
      <c r="L42" s="371"/>
      <c r="M42" s="371"/>
      <c r="O42" s="804" t="s">
        <v>78</v>
      </c>
      <c r="P42" s="80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71"/>
      <c r="B43" s="370"/>
      <c r="C43" s="371"/>
      <c r="D43" s="372"/>
      <c r="E43" s="372"/>
      <c r="F43" s="372"/>
      <c r="G43" s="370"/>
      <c r="H43" s="375"/>
      <c r="I43" s="372"/>
      <c r="J43" s="372"/>
      <c r="K43" s="372"/>
      <c r="L43" s="371"/>
      <c r="M43" s="371"/>
      <c r="O43" s="81">
        <v>1.1000000000000001</v>
      </c>
      <c r="P43" s="81">
        <f>O43*$Q$4</f>
        <v>43.208000000000006</v>
      </c>
      <c r="Q43" s="2"/>
      <c r="T43" s="135" t="s">
        <v>97</v>
      </c>
      <c r="U43" s="358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71"/>
      <c r="B44" s="370"/>
      <c r="C44" s="371"/>
      <c r="D44" s="372"/>
      <c r="E44" s="372"/>
      <c r="F44" s="372"/>
      <c r="G44" s="370"/>
      <c r="H44" s="375"/>
      <c r="I44" s="372"/>
      <c r="J44" s="372"/>
      <c r="K44" s="372"/>
      <c r="L44" s="371"/>
      <c r="M44" s="371"/>
      <c r="O44" s="81">
        <v>1.0900000000000001</v>
      </c>
      <c r="P44" s="81">
        <f t="shared" ref="P44:P63" si="3">O44*$Q$4</f>
        <v>42.815200000000004</v>
      </c>
      <c r="Q44" s="2"/>
      <c r="T44" s="106" t="s">
        <v>98</v>
      </c>
      <c r="U44" s="359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1"/>
      <c r="I45" s="371"/>
      <c r="J45" s="371"/>
      <c r="K45" s="372"/>
      <c r="L45" s="371"/>
      <c r="M45" s="371"/>
      <c r="O45" s="81">
        <v>1.08</v>
      </c>
      <c r="P45" s="81">
        <f t="shared" si="3"/>
        <v>42.422400000000003</v>
      </c>
      <c r="Q45" s="2"/>
      <c r="T45" s="106" t="s">
        <v>99</v>
      </c>
      <c r="U45" s="359" t="s">
        <v>590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1"/>
      <c r="I46" s="371"/>
      <c r="J46" s="371"/>
      <c r="K46" s="372"/>
      <c r="L46" s="371"/>
      <c r="M46" s="371"/>
      <c r="O46" s="81">
        <v>1.07</v>
      </c>
      <c r="P46" s="81">
        <f t="shared" si="3"/>
        <v>42.029600000000002</v>
      </c>
      <c r="Q46" s="2"/>
      <c r="T46" s="106" t="s">
        <v>100</v>
      </c>
      <c r="U46" s="359" t="s">
        <v>591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1"/>
      <c r="I47" s="371"/>
      <c r="J47" s="371"/>
      <c r="K47" s="372"/>
      <c r="L47" s="371"/>
      <c r="M47" s="371"/>
      <c r="O47" s="81">
        <v>1.06</v>
      </c>
      <c r="P47" s="81">
        <f t="shared" si="3"/>
        <v>41.636800000000001</v>
      </c>
      <c r="Q47" s="2"/>
      <c r="T47" s="106" t="s">
        <v>101</v>
      </c>
      <c r="U47" s="359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71"/>
      <c r="B48" s="370"/>
      <c r="C48" s="371"/>
      <c r="D48" s="372"/>
      <c r="E48" s="372"/>
      <c r="F48" s="372"/>
      <c r="G48" s="370"/>
      <c r="H48" s="371"/>
      <c r="I48" s="372"/>
      <c r="J48" s="371"/>
      <c r="K48" s="372"/>
      <c r="L48" s="371"/>
      <c r="M48" s="371"/>
      <c r="O48" s="81">
        <v>1.05</v>
      </c>
      <c r="P48" s="81">
        <f t="shared" si="3"/>
        <v>41.244</v>
      </c>
      <c r="Q48" s="2"/>
      <c r="T48" s="106" t="s">
        <v>102</v>
      </c>
      <c r="U48" s="359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71"/>
      <c r="B49" s="370"/>
      <c r="C49" s="371"/>
      <c r="D49" s="372"/>
      <c r="E49" s="372"/>
      <c r="F49" s="372"/>
      <c r="G49" s="370"/>
      <c r="H49" s="371"/>
      <c r="I49" s="371"/>
      <c r="J49" s="371"/>
      <c r="K49" s="372"/>
      <c r="L49" s="371"/>
      <c r="M49" s="371"/>
      <c r="O49" s="81">
        <v>1.04</v>
      </c>
      <c r="P49" s="81">
        <f t="shared" si="3"/>
        <v>40.851200000000006</v>
      </c>
      <c r="Q49" s="2"/>
      <c r="T49" s="106" t="s">
        <v>121</v>
      </c>
      <c r="U49" s="359" t="s">
        <v>435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71"/>
      <c r="B50" s="371"/>
      <c r="C50" s="371"/>
      <c r="D50" s="372"/>
      <c r="E50" s="372"/>
      <c r="F50" s="372"/>
      <c r="G50" s="370"/>
      <c r="H50" s="371"/>
      <c r="I50" s="371"/>
      <c r="J50" s="371"/>
      <c r="K50" s="372"/>
      <c r="L50" s="371"/>
      <c r="M50" s="371"/>
      <c r="O50" s="81">
        <v>1.03</v>
      </c>
      <c r="P50" s="81">
        <f t="shared" si="3"/>
        <v>40.458400000000005</v>
      </c>
      <c r="Q50" s="2"/>
      <c r="T50" s="106"/>
      <c r="U50" s="359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71"/>
      <c r="B51" s="371"/>
      <c r="C51" s="371"/>
      <c r="D51" s="372"/>
      <c r="E51" s="372"/>
      <c r="F51" s="372"/>
      <c r="G51" s="370"/>
      <c r="H51" s="371"/>
      <c r="I51" s="371"/>
      <c r="J51" s="371"/>
      <c r="K51" s="372"/>
      <c r="L51" s="371"/>
      <c r="M51" s="371"/>
      <c r="O51" s="81">
        <v>1.02</v>
      </c>
      <c r="P51" s="81">
        <f t="shared" si="3"/>
        <v>40.065600000000003</v>
      </c>
      <c r="Q51" s="2"/>
      <c r="T51" s="106" t="s">
        <v>104</v>
      </c>
      <c r="U51" s="359" t="s">
        <v>592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71"/>
      <c r="B52" s="371"/>
      <c r="C52" s="371"/>
      <c r="D52" s="372"/>
      <c r="E52" s="372"/>
      <c r="F52" s="372"/>
      <c r="G52" s="370"/>
      <c r="H52" s="371"/>
      <c r="I52" s="371"/>
      <c r="J52" s="371"/>
      <c r="K52" s="372"/>
      <c r="L52" s="371"/>
      <c r="M52" s="371"/>
      <c r="O52" s="81">
        <v>1.01</v>
      </c>
      <c r="P52" s="81">
        <f t="shared" si="3"/>
        <v>39.672800000000002</v>
      </c>
      <c r="Q52" s="2"/>
      <c r="T52" s="106" t="s">
        <v>105</v>
      </c>
      <c r="U52" s="359" t="s">
        <v>425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39.28</v>
      </c>
      <c r="Q53" s="2"/>
      <c r="T53" s="106" t="s">
        <v>106</v>
      </c>
      <c r="U53" s="360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38.8872</v>
      </c>
      <c r="Q54" s="2"/>
      <c r="T54" s="106" t="s">
        <v>109</v>
      </c>
      <c r="U54" s="360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6" t="s">
        <v>113</v>
      </c>
      <c r="C55" s="186" t="s">
        <v>146</v>
      </c>
      <c r="D55" s="187" t="s">
        <v>145</v>
      </c>
      <c r="E55" s="189" t="s">
        <v>147</v>
      </c>
      <c r="F55" s="190" t="s">
        <v>65</v>
      </c>
      <c r="G55" s="224" t="s">
        <v>151</v>
      </c>
      <c r="H55" s="190" t="s">
        <v>88</v>
      </c>
      <c r="I55" s="190" t="s">
        <v>154</v>
      </c>
      <c r="O55" s="81">
        <v>0.98</v>
      </c>
      <c r="P55" s="81">
        <f t="shared" si="3"/>
        <v>38.494399999999999</v>
      </c>
      <c r="Q55" s="2"/>
      <c r="T55" s="106" t="s">
        <v>107</v>
      </c>
      <c r="U55" s="359" t="s">
        <v>593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8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6">
        <f>(E56-D56)/D56</f>
        <v>7.241830065359485E-2</v>
      </c>
      <c r="I56" s="226"/>
      <c r="O56" s="81">
        <v>0.97</v>
      </c>
      <c r="P56" s="81">
        <f t="shared" si="3"/>
        <v>38.101599999999998</v>
      </c>
      <c r="T56" s="106" t="s">
        <v>110</v>
      </c>
      <c r="U56" s="359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8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6">
        <f>(E57-D57)/D57</f>
        <v>9.9084967320261411E-2</v>
      </c>
      <c r="I57" s="226"/>
      <c r="O57" s="81">
        <v>0.96</v>
      </c>
      <c r="P57" s="81">
        <f t="shared" si="3"/>
        <v>37.708799999999997</v>
      </c>
      <c r="T57" s="106" t="s">
        <v>111</v>
      </c>
      <c r="U57" s="359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8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6">
        <f>(E58-D58)/D58</f>
        <v>0.21620915032679747</v>
      </c>
      <c r="I58" s="226"/>
      <c r="O58" s="81">
        <v>0.95</v>
      </c>
      <c r="P58" s="81">
        <f t="shared" si="3"/>
        <v>37.316000000000003</v>
      </c>
      <c r="T58" s="106" t="s">
        <v>108</v>
      </c>
      <c r="U58" s="359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8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6">
        <f>(E59-D59)/D59</f>
        <v>0.4431538190777895</v>
      </c>
      <c r="I59" s="226"/>
      <c r="O59" s="81">
        <v>0.94</v>
      </c>
      <c r="P59" s="81">
        <f t="shared" si="3"/>
        <v>36.923200000000001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8">
        <v>42544</v>
      </c>
      <c r="C60" s="10">
        <v>0</v>
      </c>
      <c r="D60" s="39"/>
      <c r="E60" s="39">
        <v>46.16</v>
      </c>
      <c r="F60" s="39">
        <v>439.78</v>
      </c>
      <c r="G60" s="39"/>
      <c r="H60" s="226"/>
      <c r="I60" s="226"/>
      <c r="O60" s="81">
        <v>0.93</v>
      </c>
      <c r="P60" s="81">
        <f t="shared" si="3"/>
        <v>36.5304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8"/>
      <c r="C61" s="10"/>
      <c r="D61" s="39"/>
      <c r="E61" s="39"/>
      <c r="F61" s="39"/>
      <c r="G61" s="39"/>
      <c r="H61" s="226"/>
      <c r="I61" s="226"/>
      <c r="O61" s="81">
        <v>0.92</v>
      </c>
      <c r="P61" s="81">
        <f t="shared" si="3"/>
        <v>36.137600000000006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8"/>
      <c r="C62" s="10"/>
      <c r="D62" s="39"/>
      <c r="E62" s="39"/>
      <c r="F62" s="39"/>
      <c r="G62" s="39"/>
      <c r="H62" s="226"/>
      <c r="I62" s="226"/>
      <c r="O62" s="81">
        <v>0.91</v>
      </c>
      <c r="P62" s="81">
        <f t="shared" si="3"/>
        <v>35.744800000000005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8"/>
      <c r="C63" s="10"/>
      <c r="D63" s="39"/>
      <c r="E63" s="39"/>
      <c r="F63" s="39"/>
      <c r="G63" s="39"/>
      <c r="H63" s="226"/>
      <c r="I63" s="226"/>
      <c r="O63" s="81">
        <v>0.9</v>
      </c>
      <c r="P63" s="81">
        <f t="shared" si="3"/>
        <v>35.352000000000004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8"/>
      <c r="C64" s="10"/>
      <c r="D64" s="39"/>
      <c r="E64" s="39"/>
      <c r="F64" s="39"/>
      <c r="G64" s="39"/>
      <c r="H64" s="226"/>
      <c r="I64" s="226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226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226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1989" priority="29">
      <formula>N19&gt;0</formula>
    </cfRule>
    <cfRule type="expression" dxfId="1988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1987" priority="23">
      <formula>F22&gt;0</formula>
    </cfRule>
    <cfRule type="expression" dxfId="1986" priority="24">
      <formula>F22&lt;0</formula>
    </cfRule>
  </conditionalFormatting>
  <conditionalFormatting sqref="H22:H31">
    <cfRule type="expression" dxfId="1985" priority="21">
      <formula>H22&gt;0</formula>
    </cfRule>
    <cfRule type="expression" dxfId="1984" priority="22">
      <formula>H22&lt;0</formula>
    </cfRule>
  </conditionalFormatting>
  <conditionalFormatting sqref="I21:J31">
    <cfRule type="expression" dxfId="1983" priority="19">
      <formula>I21&gt;0</formula>
    </cfRule>
    <cfRule type="expression" dxfId="1982" priority="20">
      <formula>I21&lt;0</formula>
    </cfRule>
  </conditionalFormatting>
  <conditionalFormatting sqref="Q8">
    <cfRule type="expression" dxfId="1981" priority="11">
      <formula>Q8&gt;0</formula>
    </cfRule>
    <cfRule type="expression" dxfId="1980" priority="12">
      <formula>Q8&lt;0</formula>
    </cfRule>
  </conditionalFormatting>
  <conditionalFormatting sqref="Q7">
    <cfRule type="expression" dxfId="1979" priority="13">
      <formula>Q7&gt;0</formula>
    </cfRule>
    <cfRule type="expression" dxfId="1978" priority="14">
      <formula>Q7&lt;0</formula>
    </cfRule>
  </conditionalFormatting>
  <conditionalFormatting sqref="F56:F66">
    <cfRule type="expression" dxfId="1977" priority="9">
      <formula>F56&gt;0</formula>
    </cfRule>
    <cfRule type="expression" dxfId="1976" priority="10">
      <formula>F56&lt;0</formula>
    </cfRule>
  </conditionalFormatting>
  <conditionalFormatting sqref="H56:H66">
    <cfRule type="expression" dxfId="1975" priority="7">
      <formula>H56&gt;0</formula>
    </cfRule>
    <cfRule type="expression" dxfId="1974" priority="8">
      <formula>H56&lt;0</formula>
    </cfRule>
  </conditionalFormatting>
  <conditionalFormatting sqref="I56:I66">
    <cfRule type="expression" dxfId="1973" priority="5">
      <formula>I56&gt;0</formula>
    </cfRule>
    <cfRule type="expression" dxfId="1972" priority="6">
      <formula>I56&lt;0</formula>
    </cfRule>
  </conditionalFormatting>
  <conditionalFormatting sqref="F21">
    <cfRule type="expression" dxfId="1971" priority="3">
      <formula>F21&gt;0</formula>
    </cfRule>
    <cfRule type="expression" dxfId="1970" priority="4">
      <formula>F21&lt;0</formula>
    </cfRule>
  </conditionalFormatting>
  <conditionalFormatting sqref="H21">
    <cfRule type="expression" dxfId="1969" priority="1">
      <formula>H21&gt;0</formula>
    </cfRule>
    <cfRule type="expression" dxfId="1968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30" bestFit="1" customWidth="1"/>
    <col min="17" max="17" width="12.42578125" customWidth="1"/>
    <col min="18" max="18" width="18.5703125" style="33" customWidth="1"/>
    <col min="19" max="19" width="12.42578125" bestFit="1" customWidth="1"/>
    <col min="20" max="20" width="13.7109375" customWidth="1"/>
    <col min="21" max="21" width="76.42578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215</v>
      </c>
      <c r="B2" s="445">
        <v>42998</v>
      </c>
      <c r="C2" s="7">
        <v>50</v>
      </c>
      <c r="D2" s="43">
        <v>65.680000000000007</v>
      </c>
      <c r="E2" s="43">
        <v>0</v>
      </c>
      <c r="F2" s="43">
        <f t="shared" ref="F2:F9" si="0">C2*D2+E2</f>
        <v>3284.0000000000005</v>
      </c>
      <c r="G2" s="445">
        <v>43028</v>
      </c>
      <c r="H2" s="7">
        <v>50</v>
      </c>
      <c r="I2" s="43">
        <v>65.28</v>
      </c>
      <c r="J2" s="43">
        <v>0.08</v>
      </c>
      <c r="K2" s="43">
        <f>H2*I2-J2</f>
        <v>3263.92</v>
      </c>
      <c r="L2" s="72">
        <v>43069</v>
      </c>
      <c r="M2" s="43">
        <v>31</v>
      </c>
      <c r="O2" s="11" t="s">
        <v>57</v>
      </c>
      <c r="Q2">
        <f>C22-H22</f>
        <v>150</v>
      </c>
      <c r="T2" s="1">
        <v>42568</v>
      </c>
      <c r="U2" t="s">
        <v>242</v>
      </c>
    </row>
    <row r="3" spans="1:31" x14ac:dyDescent="0.25">
      <c r="A3" s="22" t="s">
        <v>71</v>
      </c>
      <c r="B3" s="445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45">
        <v>43028</v>
      </c>
      <c r="H3" s="80">
        <v>50</v>
      </c>
      <c r="I3" s="43">
        <v>66.08</v>
      </c>
      <c r="J3" s="43">
        <v>0.08</v>
      </c>
      <c r="K3" s="43">
        <f>H3*I3-J3</f>
        <v>3303.92</v>
      </c>
      <c r="L3" s="72"/>
      <c r="M3" s="3"/>
      <c r="O3" s="11" t="s">
        <v>58</v>
      </c>
      <c r="Q3" s="225">
        <f>IF(Q2=0, Q4, (F22-K22-M22)/Q2)</f>
        <v>58.868533333333325</v>
      </c>
      <c r="T3" s="1">
        <v>43112</v>
      </c>
      <c r="U3" t="s">
        <v>943</v>
      </c>
      <c r="X3" s="1"/>
      <c r="AB3" s="229"/>
      <c r="AE3" s="229"/>
    </row>
    <row r="4" spans="1:31" x14ac:dyDescent="0.25">
      <c r="B4" s="445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45">
        <v>43069</v>
      </c>
      <c r="H4" s="80">
        <v>50</v>
      </c>
      <c r="I4" s="43">
        <v>52.58</v>
      </c>
      <c r="J4" s="43">
        <v>0.06</v>
      </c>
      <c r="K4" s="43">
        <f>H4*I4-J4</f>
        <v>2628.94</v>
      </c>
      <c r="L4" s="72"/>
      <c r="M4" s="3"/>
      <c r="O4" s="11" t="s">
        <v>66</v>
      </c>
      <c r="Q4" s="54">
        <v>48.96</v>
      </c>
      <c r="R4" s="226">
        <v>-9.1000000000000004E-3</v>
      </c>
      <c r="T4" s="1">
        <v>43114</v>
      </c>
      <c r="U4" t="s">
        <v>941</v>
      </c>
      <c r="AB4" s="229"/>
      <c r="AE4" s="229"/>
    </row>
    <row r="5" spans="1:31" x14ac:dyDescent="0.25">
      <c r="B5" s="445">
        <v>43033</v>
      </c>
      <c r="C5" s="4">
        <v>50</v>
      </c>
      <c r="D5" s="3">
        <v>64.2</v>
      </c>
      <c r="E5" s="3">
        <v>0</v>
      </c>
      <c r="F5" s="3">
        <f t="shared" si="0"/>
        <v>3210</v>
      </c>
      <c r="G5" s="445">
        <v>43140</v>
      </c>
      <c r="H5" s="80">
        <v>50</v>
      </c>
      <c r="I5" s="43">
        <v>49.32</v>
      </c>
      <c r="J5" s="43">
        <v>0.06</v>
      </c>
      <c r="K5" s="43">
        <f>H5*I5-J5</f>
        <v>2465.94</v>
      </c>
      <c r="L5" s="4"/>
      <c r="M5" s="4"/>
      <c r="O5" s="11" t="s">
        <v>67</v>
      </c>
      <c r="Q5" s="3">
        <f>Q4*Q2</f>
        <v>7344</v>
      </c>
      <c r="T5" s="1">
        <v>43117</v>
      </c>
      <c r="U5" t="s">
        <v>954</v>
      </c>
      <c r="AB5" s="229"/>
      <c r="AE5" s="229"/>
    </row>
    <row r="6" spans="1:31" x14ac:dyDescent="0.25">
      <c r="B6" s="72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8830.2799999999988</v>
      </c>
      <c r="AB6" s="229"/>
      <c r="AE6" s="229"/>
    </row>
    <row r="7" spans="1:31" x14ac:dyDescent="0.25">
      <c r="B7" s="486">
        <v>43130</v>
      </c>
      <c r="C7" s="4">
        <v>50</v>
      </c>
      <c r="D7" s="3">
        <v>53.28</v>
      </c>
      <c r="E7" s="3">
        <v>0</v>
      </c>
      <c r="F7" s="3">
        <f t="shared" si="0"/>
        <v>2664</v>
      </c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-328.41000000000349</v>
      </c>
      <c r="R7">
        <v>50</v>
      </c>
      <c r="AB7" s="229"/>
      <c r="AE7" s="229"/>
    </row>
    <row r="8" spans="1:31" x14ac:dyDescent="0.25">
      <c r="B8" s="486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K22+M22-F22+Q2*Q4</f>
        <v>-1486.2799999999988</v>
      </c>
      <c r="T8" s="159">
        <v>43167</v>
      </c>
      <c r="U8" t="s">
        <v>942</v>
      </c>
      <c r="AB8" s="229"/>
      <c r="AE8" s="229"/>
    </row>
    <row r="9" spans="1:31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226">
        <f>IF(Q2=0, 0, Q8/Q6)</f>
        <v>-0.1683162934810673</v>
      </c>
      <c r="T9" s="154"/>
    </row>
    <row r="10" spans="1:31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M177</f>
        <v>1157.8699999999953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M11" s="4"/>
      <c r="O11" s="11" t="s">
        <v>176</v>
      </c>
      <c r="P11" s="33"/>
      <c r="Q11" s="134">
        <f>R11*4/Q4</f>
        <v>2.5326797385620915E-2</v>
      </c>
      <c r="R11" s="33">
        <v>0.31</v>
      </c>
    </row>
    <row r="12" spans="1:31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M12" s="4"/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M13" s="4"/>
    </row>
    <row r="14" spans="1:31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80"/>
      <c r="I15" s="4"/>
      <c r="J15" s="4"/>
      <c r="K15" s="3"/>
      <c r="L15" s="4"/>
      <c r="M15" s="4"/>
      <c r="O15" s="421"/>
      <c r="P15" s="421"/>
      <c r="Q15" s="421"/>
      <c r="R15" s="421"/>
      <c r="S15" s="421"/>
      <c r="T15" s="421"/>
      <c r="U15" s="421"/>
      <c r="V15" s="421"/>
      <c r="W15" s="783"/>
    </row>
    <row r="16" spans="1:31" x14ac:dyDescent="0.25">
      <c r="B16" s="72"/>
      <c r="C16" s="4"/>
      <c r="D16" s="3"/>
      <c r="E16" s="3"/>
      <c r="F16" s="3"/>
      <c r="G16" s="72"/>
      <c r="H16" s="180"/>
      <c r="I16" s="4"/>
      <c r="J16" s="4"/>
      <c r="K16" s="3"/>
      <c r="L16" s="4"/>
      <c r="M16" s="4"/>
      <c r="O16" s="784"/>
      <c r="P16" s="4"/>
      <c r="Q16" s="4"/>
      <c r="R16" s="235"/>
      <c r="S16" s="235"/>
      <c r="T16" s="4"/>
      <c r="U16" s="4"/>
      <c r="V16" s="4"/>
      <c r="W16" s="279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85"/>
      <c r="P17" s="4"/>
      <c r="Q17" s="4"/>
      <c r="R17" s="235"/>
      <c r="S17" s="4"/>
      <c r="T17" s="4"/>
      <c r="U17" s="4"/>
      <c r="V17" s="4"/>
      <c r="W17" s="279"/>
    </row>
    <row r="18" spans="1:23" x14ac:dyDescent="0.25">
      <c r="O18" s="4"/>
      <c r="P18" s="4"/>
      <c r="Q18" s="4"/>
      <c r="R18" s="4"/>
      <c r="S18" s="4"/>
      <c r="T18" s="4"/>
      <c r="U18" s="4"/>
      <c r="V18" s="4"/>
      <c r="W18" s="279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9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9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9"/>
    </row>
    <row r="22" spans="1:23" x14ac:dyDescent="0.25">
      <c r="A22" s="31" t="s">
        <v>81</v>
      </c>
      <c r="B22" s="14"/>
      <c r="C22" s="14">
        <f>SUM(C2:C17)</f>
        <v>350</v>
      </c>
      <c r="D22" s="14"/>
      <c r="E22" s="14"/>
      <c r="F22" s="18">
        <f>SUM(F2:F17)</f>
        <v>20524</v>
      </c>
      <c r="G22" s="14"/>
      <c r="H22" s="14">
        <f>SUM(H2:H14)</f>
        <v>200</v>
      </c>
      <c r="I22" s="14"/>
      <c r="J22" s="14"/>
      <c r="K22" s="14">
        <f>SUM(K2:K14)</f>
        <v>11662.720000000001</v>
      </c>
      <c r="L22" s="14"/>
      <c r="M22" s="18">
        <f>SUM(M2:M14)</f>
        <v>31</v>
      </c>
      <c r="O22" s="4"/>
      <c r="P22" s="4"/>
      <c r="Q22" s="4"/>
      <c r="R22" s="4"/>
      <c r="S22" s="4"/>
      <c r="T22" s="4"/>
      <c r="U22" s="4"/>
      <c r="V22" s="4"/>
      <c r="W22" s="279"/>
    </row>
    <row r="23" spans="1:23" ht="15.75" thickBot="1" x14ac:dyDescent="0.3">
      <c r="A23" s="347" t="s">
        <v>194</v>
      </c>
      <c r="B23" s="348"/>
      <c r="C23" s="349">
        <f>SumByColor($A$23,C2:C21)</f>
        <v>200</v>
      </c>
      <c r="D23" s="349"/>
      <c r="E23" s="349"/>
      <c r="F23" s="350">
        <f>SumByColor($A$23,F2:F21)</f>
        <v>11431</v>
      </c>
      <c r="G23" s="349"/>
      <c r="H23" s="349">
        <f>SumByColor($A$23,H2:H21)</f>
        <v>200</v>
      </c>
      <c r="I23" s="349"/>
      <c r="J23" s="349"/>
      <c r="K23" s="350">
        <f>SumByColor($A$23,K2:K21)</f>
        <v>11663</v>
      </c>
      <c r="L23" s="349"/>
      <c r="M23" s="350">
        <f>SumByColor($A$23,M2:M21)</f>
        <v>31</v>
      </c>
      <c r="N23" s="2"/>
      <c r="O23" s="4"/>
      <c r="P23" s="4"/>
      <c r="Q23" s="4"/>
      <c r="R23" s="4"/>
      <c r="S23" s="4"/>
      <c r="T23" s="4"/>
      <c r="U23" s="4"/>
      <c r="V23" s="4"/>
      <c r="W23" s="279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9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9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9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98" t="s">
        <v>113</v>
      </c>
      <c r="C28" s="498" t="s">
        <v>146</v>
      </c>
      <c r="D28" s="499" t="s">
        <v>145</v>
      </c>
      <c r="E28" s="500" t="s">
        <v>147</v>
      </c>
      <c r="F28" s="501" t="s">
        <v>65</v>
      </c>
      <c r="G28" s="502" t="s">
        <v>151</v>
      </c>
      <c r="H28" s="501" t="s">
        <v>88</v>
      </c>
      <c r="I28" s="501" t="s">
        <v>154</v>
      </c>
      <c r="J28" s="501" t="s">
        <v>150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8">
        <v>43005</v>
      </c>
      <c r="C29" s="10">
        <v>100</v>
      </c>
      <c r="D29" s="39">
        <v>65.33</v>
      </c>
      <c r="E29" s="39">
        <v>66.55</v>
      </c>
      <c r="F29" s="39">
        <f t="shared" ref="F29" si="1">C29*(E29-D29)</f>
        <v>121.99999999999989</v>
      </c>
      <c r="G29" s="39">
        <f t="shared" ref="G29" si="2">D29*C29</f>
        <v>6533</v>
      </c>
      <c r="H29" s="226">
        <f t="shared" ref="H29" si="3">(E29-D29)/D29</f>
        <v>1.8674422164396125E-2</v>
      </c>
      <c r="I29" s="39">
        <v>65</v>
      </c>
      <c r="J29" s="10"/>
    </row>
    <row r="30" spans="1:23" x14ac:dyDescent="0.25">
      <c r="B30" s="188">
        <v>43019</v>
      </c>
      <c r="C30" s="7">
        <v>150</v>
      </c>
      <c r="D30" s="43">
        <v>65.013300000000001</v>
      </c>
      <c r="E30" s="39">
        <v>64.09</v>
      </c>
      <c r="F30" s="39">
        <f t="shared" ref="F30" si="4">C30*(E30-D30)</f>
        <v>-138.49499999999964</v>
      </c>
      <c r="G30" s="39">
        <f t="shared" ref="G30" si="5">D30*C30</f>
        <v>9751.9950000000008</v>
      </c>
      <c r="H30" s="226">
        <f t="shared" ref="H30" si="6">(E30-D30)/D30</f>
        <v>-1.4201709496364552E-2</v>
      </c>
      <c r="I30" s="39">
        <v>64.5</v>
      </c>
      <c r="J30" s="10"/>
    </row>
    <row r="31" spans="1:23" x14ac:dyDescent="0.25">
      <c r="B31" s="188">
        <v>43028</v>
      </c>
      <c r="C31" s="10">
        <v>100</v>
      </c>
      <c r="D31" s="39">
        <v>64.880799999999994</v>
      </c>
      <c r="E31" s="39">
        <v>65.28</v>
      </c>
      <c r="F31" s="39">
        <f t="shared" ref="F31" si="7">C31*(E31-D31)</f>
        <v>39.920000000000755</v>
      </c>
      <c r="G31" s="39">
        <f t="shared" ref="G31" si="8">D31*C31</f>
        <v>6488.079999999999</v>
      </c>
      <c r="H31" s="226">
        <f t="shared" ref="H31" si="9">(E31-D31)/D31</f>
        <v>6.1528217901136786E-3</v>
      </c>
      <c r="I31" s="197" t="s">
        <v>807</v>
      </c>
      <c r="J31" s="39">
        <v>1198</v>
      </c>
    </row>
    <row r="32" spans="1:23" x14ac:dyDescent="0.25">
      <c r="B32" s="188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0">C32*(E32-D32)</f>
        <v>113.83999999999972</v>
      </c>
      <c r="G32" s="39">
        <f t="shared" ref="G32:G36" si="11">D32*C32</f>
        <v>3184.16</v>
      </c>
      <c r="H32" s="226">
        <f t="shared" ref="H32:H36" si="12">(E32-D32)/D32</f>
        <v>3.5751972262700278E-2</v>
      </c>
      <c r="I32" s="39">
        <v>63.2</v>
      </c>
      <c r="J32" s="39">
        <v>1272</v>
      </c>
    </row>
    <row r="33" spans="1:17" x14ac:dyDescent="0.25">
      <c r="B33" s="188">
        <v>43033</v>
      </c>
      <c r="C33" s="10">
        <v>100</v>
      </c>
      <c r="D33" s="39">
        <v>63.941600000000001</v>
      </c>
      <c r="E33" s="39">
        <v>65.5</v>
      </c>
      <c r="F33" s="39">
        <f t="shared" si="10"/>
        <v>155.83999999999989</v>
      </c>
      <c r="G33" s="39">
        <f t="shared" si="11"/>
        <v>6394.16</v>
      </c>
      <c r="H33" s="226">
        <f t="shared" si="12"/>
        <v>2.4372239668697671E-2</v>
      </c>
      <c r="I33" s="197" t="s">
        <v>809</v>
      </c>
      <c r="J33" s="39">
        <v>1314</v>
      </c>
    </row>
    <row r="34" spans="1:17" x14ac:dyDescent="0.25">
      <c r="B34" s="188">
        <v>43048</v>
      </c>
      <c r="C34" s="10">
        <v>100</v>
      </c>
      <c r="D34" s="39">
        <v>63.94</v>
      </c>
      <c r="E34" s="39">
        <v>70.849999999999994</v>
      </c>
      <c r="F34" s="39">
        <f t="shared" si="10"/>
        <v>690.99999999999966</v>
      </c>
      <c r="G34" s="39">
        <f t="shared" si="11"/>
        <v>6394</v>
      </c>
      <c r="H34" s="226">
        <f t="shared" si="12"/>
        <v>0.10807006568658112</v>
      </c>
      <c r="I34" s="10"/>
      <c r="J34" s="39">
        <v>1849</v>
      </c>
    </row>
    <row r="35" spans="1:17" x14ac:dyDescent="0.25">
      <c r="B35" s="188">
        <v>43063</v>
      </c>
      <c r="C35" s="7">
        <v>150</v>
      </c>
      <c r="D35" s="43">
        <v>59.320099999999996</v>
      </c>
      <c r="E35" s="39">
        <v>49.8</v>
      </c>
      <c r="F35" s="39">
        <f t="shared" si="10"/>
        <v>-1428.0149999999999</v>
      </c>
      <c r="G35" s="39">
        <f t="shared" si="11"/>
        <v>8898.0149999999994</v>
      </c>
      <c r="H35" s="226">
        <f t="shared" si="12"/>
        <v>-0.16048691758779907</v>
      </c>
      <c r="I35" s="10"/>
      <c r="J35" s="39">
        <v>-270</v>
      </c>
    </row>
    <row r="36" spans="1:17" x14ac:dyDescent="0.25">
      <c r="A36">
        <v>50</v>
      </c>
      <c r="B36" s="188">
        <v>43069</v>
      </c>
      <c r="C36" s="10">
        <v>100</v>
      </c>
      <c r="D36" s="39">
        <v>62.6922</v>
      </c>
      <c r="E36" s="39">
        <v>52.38</v>
      </c>
      <c r="F36" s="39">
        <f t="shared" si="10"/>
        <v>-1031.2199999999998</v>
      </c>
      <c r="G36" s="39">
        <f t="shared" si="11"/>
        <v>6269.22</v>
      </c>
      <c r="H36" s="226">
        <f t="shared" si="12"/>
        <v>-0.16448936231301498</v>
      </c>
      <c r="I36" s="127" t="s">
        <v>822</v>
      </c>
      <c r="J36" s="39">
        <v>127</v>
      </c>
    </row>
    <row r="37" spans="1:17" x14ac:dyDescent="0.25">
      <c r="A37">
        <v>50</v>
      </c>
      <c r="B37" s="188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3">C37*(E37-D37)</f>
        <v>-1039.2199999999996</v>
      </c>
      <c r="G37" s="39">
        <f t="shared" ref="G37:G38" si="14">D37*C37</f>
        <v>6238.2199999999993</v>
      </c>
      <c r="H37" s="226">
        <f t="shared" ref="H37:H38" si="15">(E37-D37)/D37</f>
        <v>-0.1665891873002234</v>
      </c>
      <c r="I37" s="197">
        <v>62.2</v>
      </c>
      <c r="J37" s="39">
        <v>119</v>
      </c>
    </row>
    <row r="38" spans="1:17" x14ac:dyDescent="0.25">
      <c r="A38">
        <v>100</v>
      </c>
      <c r="B38" s="188">
        <v>43102</v>
      </c>
      <c r="C38" s="10">
        <v>100</v>
      </c>
      <c r="D38" s="39">
        <v>62.38</v>
      </c>
      <c r="E38" s="39">
        <v>55.29</v>
      </c>
      <c r="F38" s="39">
        <f t="shared" si="13"/>
        <v>-709.00000000000034</v>
      </c>
      <c r="G38" s="39">
        <f t="shared" si="14"/>
        <v>6238</v>
      </c>
      <c r="H38" s="226">
        <f t="shared" si="15"/>
        <v>-0.11365822378967623</v>
      </c>
      <c r="I38" s="10"/>
      <c r="J38" s="39">
        <v>449</v>
      </c>
    </row>
    <row r="39" spans="1:17" ht="20.25" thickBot="1" x14ac:dyDescent="0.35">
      <c r="A39">
        <v>100</v>
      </c>
      <c r="B39" s="188">
        <v>43105</v>
      </c>
      <c r="C39" s="10">
        <v>100</v>
      </c>
      <c r="D39" s="39">
        <v>62.38</v>
      </c>
      <c r="E39" s="39">
        <v>56.93</v>
      </c>
      <c r="F39" s="39">
        <f t="shared" ref="F39:F44" si="16">C39*(E39-D39)</f>
        <v>-545.00000000000023</v>
      </c>
      <c r="G39" s="39">
        <f t="shared" ref="G39:G44" si="17">D39*C39</f>
        <v>6238</v>
      </c>
      <c r="H39" s="226">
        <f t="shared" ref="H39:H44" si="18">(E39-D39)/D39</f>
        <v>-8.736774607245916E-2</v>
      </c>
      <c r="I39" s="10"/>
      <c r="J39" s="39">
        <v>613</v>
      </c>
      <c r="O39" s="687" t="s">
        <v>78</v>
      </c>
      <c r="P39" s="687"/>
    </row>
    <row r="40" spans="1:17" ht="15.75" thickTop="1" x14ac:dyDescent="0.25">
      <c r="B40" s="188">
        <v>43121</v>
      </c>
      <c r="C40" s="10">
        <v>100</v>
      </c>
      <c r="D40" s="39">
        <v>62.38</v>
      </c>
      <c r="E40" s="39">
        <v>55.07</v>
      </c>
      <c r="F40" s="39">
        <f t="shared" si="16"/>
        <v>-731.00000000000023</v>
      </c>
      <c r="G40" s="39">
        <f t="shared" si="17"/>
        <v>6238</v>
      </c>
      <c r="H40" s="226">
        <f t="shared" si="18"/>
        <v>-0.11718499519076631</v>
      </c>
      <c r="I40" s="10"/>
      <c r="J40" s="39">
        <v>427</v>
      </c>
      <c r="O40" s="81">
        <v>1.1000000000000001</v>
      </c>
      <c r="P40" s="81">
        <f>O40*$Q$4</f>
        <v>53.856000000000009</v>
      </c>
    </row>
    <row r="41" spans="1:17" x14ac:dyDescent="0.25">
      <c r="A41">
        <v>100</v>
      </c>
      <c r="B41" s="188">
        <v>43123</v>
      </c>
      <c r="C41" s="10">
        <v>100</v>
      </c>
      <c r="D41" s="39">
        <v>62.38</v>
      </c>
      <c r="E41" s="39">
        <v>57.28</v>
      </c>
      <c r="F41" s="39">
        <f t="shared" si="16"/>
        <v>-510.00000000000011</v>
      </c>
      <c r="G41" s="39">
        <f t="shared" si="17"/>
        <v>6238</v>
      </c>
      <c r="H41" s="226">
        <f t="shared" si="18"/>
        <v>-8.1756973388906723E-2</v>
      </c>
      <c r="I41" s="10"/>
      <c r="J41" s="39">
        <v>648</v>
      </c>
      <c r="O41" s="81">
        <v>1.0900000000000001</v>
      </c>
      <c r="P41" s="81">
        <f t="shared" ref="P41:P60" si="19">O41*$Q$4</f>
        <v>53.366400000000006</v>
      </c>
    </row>
    <row r="42" spans="1:17" x14ac:dyDescent="0.25">
      <c r="A42">
        <v>100</v>
      </c>
      <c r="B42" s="188">
        <v>43124</v>
      </c>
      <c r="C42" s="10">
        <v>100</v>
      </c>
      <c r="D42" s="39">
        <v>62.38</v>
      </c>
      <c r="E42" s="39">
        <v>55.92</v>
      </c>
      <c r="F42" s="39">
        <f t="shared" si="16"/>
        <v>-646.00000000000011</v>
      </c>
      <c r="G42" s="39">
        <f t="shared" si="17"/>
        <v>6238</v>
      </c>
      <c r="H42" s="226">
        <f t="shared" si="18"/>
        <v>-0.10355883295928182</v>
      </c>
      <c r="I42" s="10"/>
      <c r="J42" s="39">
        <v>512</v>
      </c>
      <c r="O42" s="81">
        <v>1.08</v>
      </c>
      <c r="P42" s="81">
        <f t="shared" si="19"/>
        <v>52.876800000000003</v>
      </c>
    </row>
    <row r="43" spans="1:17" x14ac:dyDescent="0.25">
      <c r="B43" s="188">
        <v>43130</v>
      </c>
      <c r="C43" s="10">
        <v>150</v>
      </c>
      <c r="D43" s="39">
        <v>59.347999999999999</v>
      </c>
      <c r="E43" s="39">
        <v>52.86</v>
      </c>
      <c r="F43" s="39">
        <f t="shared" si="16"/>
        <v>-973.19999999999993</v>
      </c>
      <c r="G43" s="39">
        <f t="shared" si="17"/>
        <v>8902.2000000000007</v>
      </c>
      <c r="H43" s="226">
        <f t="shared" si="18"/>
        <v>-0.10932129136617914</v>
      </c>
      <c r="I43" s="10"/>
      <c r="J43" s="39">
        <v>185</v>
      </c>
      <c r="O43" s="81">
        <v>1.07</v>
      </c>
      <c r="P43" s="81">
        <f t="shared" si="19"/>
        <v>52.387200000000007</v>
      </c>
      <c r="Q43" s="2"/>
    </row>
    <row r="44" spans="1:17" x14ac:dyDescent="0.25">
      <c r="A44">
        <v>50</v>
      </c>
      <c r="B44" s="188">
        <v>43140</v>
      </c>
      <c r="C44" s="7">
        <v>150</v>
      </c>
      <c r="D44" s="43">
        <v>58.869</v>
      </c>
      <c r="E44" s="39">
        <v>48.96</v>
      </c>
      <c r="F44" s="39">
        <f t="shared" si="16"/>
        <v>-1486.35</v>
      </c>
      <c r="G44" s="39">
        <f t="shared" si="17"/>
        <v>8830.35</v>
      </c>
      <c r="H44" s="226">
        <f t="shared" si="18"/>
        <v>-0.16832288640880597</v>
      </c>
      <c r="I44" s="10"/>
      <c r="J44" s="39">
        <v>-328</v>
      </c>
      <c r="O44" s="81">
        <v>1.06</v>
      </c>
      <c r="P44" s="81">
        <f t="shared" si="19"/>
        <v>51.897600000000004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10"/>
      <c r="J45" s="39"/>
      <c r="O45" s="81">
        <v>1.05</v>
      </c>
      <c r="P45" s="81">
        <f t="shared" si="19"/>
        <v>51.408000000000001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10"/>
      <c r="J46" s="39"/>
      <c r="O46" s="81">
        <v>1.04</v>
      </c>
      <c r="P46" s="81">
        <f t="shared" si="19"/>
        <v>50.918400000000005</v>
      </c>
      <c r="Q46" s="2"/>
    </row>
    <row r="47" spans="1:17" x14ac:dyDescent="0.25">
      <c r="B47" s="188"/>
      <c r="C47" s="10"/>
      <c r="D47" s="39"/>
      <c r="E47" s="39"/>
      <c r="F47" s="39"/>
      <c r="G47" s="39"/>
      <c r="H47" s="226"/>
      <c r="I47" s="10"/>
      <c r="J47" s="39"/>
      <c r="O47" s="81">
        <v>1.03</v>
      </c>
      <c r="P47" s="81">
        <f t="shared" si="19"/>
        <v>50.428800000000003</v>
      </c>
      <c r="Q47" s="2"/>
    </row>
    <row r="48" spans="1:17" x14ac:dyDescent="0.25">
      <c r="B48" s="188"/>
      <c r="C48" s="10"/>
      <c r="D48" s="39"/>
      <c r="E48" s="39"/>
      <c r="F48" s="39"/>
      <c r="G48" s="39"/>
      <c r="H48" s="226"/>
      <c r="I48" s="10"/>
      <c r="J48" s="39"/>
      <c r="O48" s="81">
        <v>1.02</v>
      </c>
      <c r="P48" s="81">
        <f t="shared" si="19"/>
        <v>49.9392</v>
      </c>
      <c r="Q48" s="2"/>
    </row>
    <row r="49" spans="1:17" x14ac:dyDescent="0.25">
      <c r="B49" s="188"/>
      <c r="C49" s="10"/>
      <c r="D49" s="39"/>
      <c r="E49" s="39"/>
      <c r="F49" s="39"/>
      <c r="G49" s="39"/>
      <c r="H49" s="226"/>
      <c r="I49" s="10"/>
      <c r="J49" s="39"/>
      <c r="O49" s="81">
        <v>1.01</v>
      </c>
      <c r="P49" s="81">
        <f t="shared" si="19"/>
        <v>49.449600000000004</v>
      </c>
      <c r="Q49" s="2"/>
    </row>
    <row r="50" spans="1:17" x14ac:dyDescent="0.25">
      <c r="B50" s="188"/>
      <c r="C50" s="10"/>
      <c r="D50" s="39"/>
      <c r="E50" s="39"/>
      <c r="F50" s="39"/>
      <c r="G50" s="39"/>
      <c r="H50" s="226"/>
      <c r="I50" s="10"/>
      <c r="J50" s="39"/>
      <c r="O50" s="81">
        <v>1</v>
      </c>
      <c r="P50" s="81">
        <f t="shared" si="19"/>
        <v>48.96</v>
      </c>
      <c r="Q50" s="2"/>
    </row>
    <row r="51" spans="1:17" x14ac:dyDescent="0.25">
      <c r="B51" s="188"/>
      <c r="C51" s="10"/>
      <c r="D51" s="39"/>
      <c r="E51" s="39"/>
      <c r="F51" s="39"/>
      <c r="G51" s="39"/>
      <c r="H51" s="226"/>
      <c r="I51" s="10"/>
      <c r="J51" s="39"/>
      <c r="O51" s="81">
        <v>0.99</v>
      </c>
      <c r="P51" s="81">
        <f t="shared" si="19"/>
        <v>48.470399999999998</v>
      </c>
      <c r="Q51" s="2"/>
    </row>
    <row r="52" spans="1:17" x14ac:dyDescent="0.25">
      <c r="B52" s="188"/>
      <c r="C52" s="10"/>
      <c r="D52" s="39"/>
      <c r="E52" s="39"/>
      <c r="F52" s="39"/>
      <c r="G52" s="39"/>
      <c r="H52" s="226"/>
      <c r="I52" s="10"/>
      <c r="J52" s="39"/>
      <c r="O52" s="81">
        <v>0.98</v>
      </c>
      <c r="P52" s="81">
        <f t="shared" si="19"/>
        <v>47.980800000000002</v>
      </c>
      <c r="Q52" s="2"/>
    </row>
    <row r="53" spans="1:17" x14ac:dyDescent="0.25">
      <c r="B53" s="188"/>
      <c r="C53" s="10"/>
      <c r="D53" s="39"/>
      <c r="E53" s="39"/>
      <c r="F53" s="39"/>
      <c r="G53" s="39"/>
      <c r="H53" s="226"/>
      <c r="I53" s="10"/>
      <c r="J53" s="39"/>
      <c r="O53" s="81">
        <v>0.97</v>
      </c>
      <c r="P53" s="81">
        <f t="shared" si="19"/>
        <v>47.491199999999999</v>
      </c>
      <c r="Q53" s="2"/>
    </row>
    <row r="54" spans="1:17" x14ac:dyDescent="0.25">
      <c r="B54" s="188"/>
      <c r="C54" s="10"/>
      <c r="D54" s="39"/>
      <c r="E54" s="39"/>
      <c r="F54" s="39"/>
      <c r="G54" s="39"/>
      <c r="H54" s="226"/>
      <c r="I54" s="10"/>
      <c r="J54" s="39"/>
      <c r="O54" s="81">
        <v>0.96</v>
      </c>
      <c r="P54" s="81">
        <f t="shared" si="19"/>
        <v>47.001599999999996</v>
      </c>
      <c r="Q54" s="2"/>
    </row>
    <row r="55" spans="1:17" x14ac:dyDescent="0.25">
      <c r="B55" s="188"/>
      <c r="C55" s="10"/>
      <c r="D55" s="39"/>
      <c r="E55" s="39"/>
      <c r="F55" s="39"/>
      <c r="G55" s="39"/>
      <c r="H55" s="226"/>
      <c r="I55" s="10"/>
      <c r="J55" s="39"/>
      <c r="O55" s="81">
        <v>0.95</v>
      </c>
      <c r="P55" s="81">
        <f t="shared" si="19"/>
        <v>46.512</v>
      </c>
      <c r="Q55" s="2"/>
    </row>
    <row r="56" spans="1:17" x14ac:dyDescent="0.25">
      <c r="B56" s="188"/>
      <c r="C56" s="10"/>
      <c r="D56" s="39"/>
      <c r="E56" s="39"/>
      <c r="F56" s="39"/>
      <c r="G56" s="39"/>
      <c r="H56" s="226"/>
      <c r="I56" s="10"/>
      <c r="J56" s="39"/>
      <c r="O56" s="81">
        <v>0.94</v>
      </c>
      <c r="P56" s="81">
        <f t="shared" si="19"/>
        <v>46.022399999999998</v>
      </c>
    </row>
    <row r="57" spans="1:17" x14ac:dyDescent="0.25">
      <c r="B57" s="188"/>
      <c r="C57" s="10"/>
      <c r="D57" s="39"/>
      <c r="E57" s="39"/>
      <c r="F57" s="39"/>
      <c r="G57" s="39"/>
      <c r="H57" s="226"/>
      <c r="I57" s="10"/>
      <c r="J57" s="39"/>
      <c r="O57" s="81">
        <v>0.93</v>
      </c>
      <c r="P57" s="81">
        <f t="shared" si="19"/>
        <v>45.532800000000002</v>
      </c>
    </row>
    <row r="58" spans="1:17" x14ac:dyDescent="0.25">
      <c r="B58" s="188"/>
      <c r="C58" s="10"/>
      <c r="D58" s="39"/>
      <c r="E58" s="39"/>
      <c r="F58" s="39"/>
      <c r="G58" s="39"/>
      <c r="H58" s="226"/>
      <c r="I58" s="10"/>
      <c r="J58" s="39"/>
      <c r="O58" s="81">
        <v>0.92</v>
      </c>
      <c r="P58" s="81">
        <f t="shared" si="19"/>
        <v>45.043200000000006</v>
      </c>
    </row>
    <row r="59" spans="1:17" x14ac:dyDescent="0.25">
      <c r="A59" s="1"/>
      <c r="B59" s="188"/>
      <c r="C59" s="10"/>
      <c r="D59" s="39"/>
      <c r="E59" s="39"/>
      <c r="F59" s="39"/>
      <c r="G59" s="39"/>
      <c r="H59" s="226"/>
      <c r="I59" s="39"/>
      <c r="J59" s="39"/>
      <c r="O59" s="81">
        <v>0.91</v>
      </c>
      <c r="P59" s="81">
        <f t="shared" si="19"/>
        <v>44.553600000000003</v>
      </c>
    </row>
    <row r="60" spans="1:17" x14ac:dyDescent="0.25">
      <c r="B60" s="10"/>
      <c r="C60" s="10"/>
      <c r="D60" s="39"/>
      <c r="E60" s="39"/>
      <c r="F60" s="39"/>
      <c r="G60" s="39"/>
      <c r="H60" s="226"/>
      <c r="I60" s="10"/>
      <c r="J60" s="39"/>
      <c r="O60" s="81">
        <v>0.9</v>
      </c>
      <c r="P60" s="81">
        <f t="shared" si="19"/>
        <v>44.064</v>
      </c>
    </row>
    <row r="61" spans="1:17" x14ac:dyDescent="0.25">
      <c r="B61" s="10"/>
      <c r="C61" s="10"/>
      <c r="D61" s="39"/>
      <c r="E61" s="39"/>
      <c r="F61" s="39"/>
      <c r="G61" s="39"/>
      <c r="H61" s="226"/>
      <c r="I61" s="10"/>
      <c r="J61" s="39"/>
    </row>
    <row r="62" spans="1:17" x14ac:dyDescent="0.25">
      <c r="B62" s="10"/>
      <c r="C62" s="10"/>
      <c r="D62" s="39"/>
      <c r="E62" s="39"/>
      <c r="F62" s="39"/>
      <c r="G62" s="10"/>
      <c r="H62" s="10"/>
      <c r="I62" s="10"/>
      <c r="J62" s="39"/>
    </row>
    <row r="63" spans="1:17" x14ac:dyDescent="0.25">
      <c r="B63" s="10"/>
      <c r="C63" s="10"/>
      <c r="D63" s="39"/>
      <c r="E63" s="39"/>
      <c r="F63" s="39"/>
      <c r="G63" s="10"/>
      <c r="H63" s="10"/>
      <c r="I63" s="10"/>
      <c r="J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</row>
    <row r="65" spans="2:10" x14ac:dyDescent="0.25">
      <c r="B65" s="10"/>
      <c r="C65" s="10"/>
      <c r="D65" s="39"/>
      <c r="E65" s="39"/>
      <c r="F65" s="39"/>
      <c r="G65" s="10"/>
      <c r="H65" s="10"/>
      <c r="I65" s="10"/>
      <c r="J65" s="39"/>
    </row>
    <row r="66" spans="2:10" x14ac:dyDescent="0.25">
      <c r="B66" s="10"/>
      <c r="C66" s="10"/>
      <c r="D66" s="39"/>
      <c r="E66" s="39"/>
      <c r="F66" s="39"/>
      <c r="G66" s="10"/>
      <c r="H66" s="10"/>
      <c r="I66" s="10"/>
      <c r="J66" s="39"/>
    </row>
    <row r="67" spans="2:10" x14ac:dyDescent="0.25">
      <c r="B67" s="10"/>
      <c r="C67" s="10"/>
      <c r="D67" s="39"/>
      <c r="E67" s="39"/>
      <c r="F67" s="39"/>
      <c r="G67" s="10"/>
      <c r="H67" s="10"/>
      <c r="I67" s="10"/>
      <c r="J67" s="39"/>
    </row>
    <row r="68" spans="2:10" x14ac:dyDescent="0.25">
      <c r="B68" s="10"/>
      <c r="C68" s="10"/>
      <c r="D68" s="39"/>
      <c r="E68" s="39"/>
      <c r="F68" s="39"/>
      <c r="G68" s="10"/>
      <c r="H68" s="10"/>
      <c r="I68" s="10"/>
      <c r="J68" s="39"/>
    </row>
    <row r="75" spans="2:10" x14ac:dyDescent="0.25">
      <c r="B75" s="370">
        <v>42516</v>
      </c>
      <c r="C75" s="371">
        <v>20</v>
      </c>
      <c r="D75" s="372">
        <v>96.2</v>
      </c>
      <c r="E75" s="372">
        <v>97</v>
      </c>
      <c r="F75" s="372">
        <f t="shared" ref="F75:F83" si="20">C75*(E75-D75)</f>
        <v>15.999999999999943</v>
      </c>
      <c r="G75" s="372">
        <f t="shared" ref="G75:G83" si="21">D75*C75</f>
        <v>1924</v>
      </c>
      <c r="H75" s="373">
        <f t="shared" ref="H75:H83" si="22">(E75-D75)/D75</f>
        <v>8.316008316008287E-3</v>
      </c>
      <c r="I75" s="373"/>
    </row>
    <row r="76" spans="2:10" x14ac:dyDescent="0.25">
      <c r="B76" s="370">
        <v>42522</v>
      </c>
      <c r="C76" s="371">
        <v>20</v>
      </c>
      <c r="D76" s="372">
        <v>96.2</v>
      </c>
      <c r="E76" s="372">
        <v>98.73</v>
      </c>
      <c r="F76" s="372">
        <f t="shared" si="20"/>
        <v>50.600000000000023</v>
      </c>
      <c r="G76" s="372">
        <f t="shared" si="21"/>
        <v>1924</v>
      </c>
      <c r="H76" s="373">
        <f t="shared" si="22"/>
        <v>2.6299376299376311E-2</v>
      </c>
      <c r="I76" s="373"/>
    </row>
    <row r="77" spans="2:10" x14ac:dyDescent="0.25">
      <c r="B77" s="370">
        <v>42527</v>
      </c>
      <c r="C77" s="371">
        <v>45</v>
      </c>
      <c r="D77" s="372">
        <v>90.305599999999998</v>
      </c>
      <c r="E77" s="372">
        <v>86.39</v>
      </c>
      <c r="F77" s="372">
        <f t="shared" si="20"/>
        <v>-176.20199999999988</v>
      </c>
      <c r="G77" s="372">
        <f t="shared" si="21"/>
        <v>4063.752</v>
      </c>
      <c r="H77" s="373">
        <f t="shared" si="22"/>
        <v>-4.3359437288495929E-2</v>
      </c>
      <c r="I77" s="374"/>
    </row>
    <row r="78" spans="2:10" x14ac:dyDescent="0.25">
      <c r="B78" s="370">
        <v>42529</v>
      </c>
      <c r="C78" s="371">
        <v>25</v>
      </c>
      <c r="D78" s="372">
        <v>91.3596</v>
      </c>
      <c r="E78" s="372">
        <v>89.31</v>
      </c>
      <c r="F78" s="372">
        <f t="shared" si="20"/>
        <v>-51.239999999999952</v>
      </c>
      <c r="G78" s="372">
        <f t="shared" si="21"/>
        <v>2283.9899999999998</v>
      </c>
      <c r="H78" s="373">
        <f t="shared" si="22"/>
        <v>-2.2434423968581276E-2</v>
      </c>
      <c r="I78" s="373"/>
    </row>
    <row r="79" spans="2:10" x14ac:dyDescent="0.25">
      <c r="B79" s="370">
        <v>42534</v>
      </c>
      <c r="C79" s="371">
        <v>25</v>
      </c>
      <c r="D79" s="372">
        <v>91.3596</v>
      </c>
      <c r="E79" s="372">
        <v>85.51</v>
      </c>
      <c r="F79" s="372">
        <f t="shared" si="20"/>
        <v>-146.2399999999999</v>
      </c>
      <c r="G79" s="372">
        <f t="shared" si="21"/>
        <v>2283.9899999999998</v>
      </c>
      <c r="H79" s="373">
        <f t="shared" si="22"/>
        <v>-6.402830134983073E-2</v>
      </c>
      <c r="I79" s="373"/>
    </row>
    <row r="80" spans="2:10" x14ac:dyDescent="0.25">
      <c r="B80" s="370">
        <v>42535</v>
      </c>
      <c r="C80" s="371">
        <v>50</v>
      </c>
      <c r="D80" s="372">
        <v>87.0548</v>
      </c>
      <c r="E80" s="372">
        <v>83.87</v>
      </c>
      <c r="F80" s="372">
        <f t="shared" si="20"/>
        <v>-159.23999999999978</v>
      </c>
      <c r="G80" s="372">
        <f t="shared" si="21"/>
        <v>4352.74</v>
      </c>
      <c r="H80" s="373">
        <f t="shared" si="22"/>
        <v>-3.6583852929419118E-2</v>
      </c>
      <c r="I80" s="373"/>
    </row>
    <row r="81" spans="2:9" x14ac:dyDescent="0.25">
      <c r="B81" s="370">
        <v>42541</v>
      </c>
      <c r="C81" s="371">
        <v>25</v>
      </c>
      <c r="D81" s="372">
        <v>87.521600000000007</v>
      </c>
      <c r="E81" s="372">
        <v>86.01</v>
      </c>
      <c r="F81" s="372">
        <f t="shared" si="20"/>
        <v>-37.790000000000035</v>
      </c>
      <c r="G81" s="372">
        <f t="shared" si="21"/>
        <v>2188.04</v>
      </c>
      <c r="H81" s="373">
        <f t="shared" si="22"/>
        <v>-1.7271165060967823E-2</v>
      </c>
      <c r="I81" s="373"/>
    </row>
    <row r="82" spans="2:9" x14ac:dyDescent="0.25">
      <c r="B82" s="370">
        <v>42546</v>
      </c>
      <c r="C82" s="371">
        <v>25</v>
      </c>
      <c r="D82" s="372">
        <v>87.521600000000007</v>
      </c>
      <c r="E82" s="372">
        <v>82.02</v>
      </c>
      <c r="F82" s="372">
        <f t="shared" si="20"/>
        <v>-137.54000000000025</v>
      </c>
      <c r="G82" s="372">
        <f t="shared" si="21"/>
        <v>2188.04</v>
      </c>
      <c r="H82" s="373">
        <f t="shared" si="22"/>
        <v>-6.285991115336112E-2</v>
      </c>
      <c r="I82" s="373"/>
    </row>
    <row r="83" spans="2:9" x14ac:dyDescent="0.25">
      <c r="B83" s="370">
        <v>42548</v>
      </c>
      <c r="C83" s="371">
        <v>75</v>
      </c>
      <c r="D83" s="372">
        <v>81.493899999999996</v>
      </c>
      <c r="E83" s="372">
        <v>79.260000000000005</v>
      </c>
      <c r="F83" s="372">
        <f t="shared" si="20"/>
        <v>-167.54249999999934</v>
      </c>
      <c r="G83" s="372">
        <f t="shared" si="21"/>
        <v>6112.0424999999996</v>
      </c>
      <c r="H83" s="373">
        <f t="shared" si="22"/>
        <v>-2.7411867636718715E-2</v>
      </c>
      <c r="I83" s="373"/>
    </row>
    <row r="84" spans="2:9" x14ac:dyDescent="0.25">
      <c r="B84" s="370">
        <v>42549</v>
      </c>
      <c r="C84" s="371">
        <v>75</v>
      </c>
      <c r="D84" s="372">
        <v>81.493899999999996</v>
      </c>
      <c r="E84" s="372">
        <v>80.72</v>
      </c>
      <c r="F84" s="372">
        <f t="shared" ref="F84:F96" si="23">C84*(E84-D84)</f>
        <v>-58.042499999999819</v>
      </c>
      <c r="G84" s="372">
        <f t="shared" ref="G84:G96" si="24">D84*C84</f>
        <v>6112.0424999999996</v>
      </c>
      <c r="H84" s="373">
        <f t="shared" ref="H84:H96" si="25">(E84-D84)/D84</f>
        <v>-9.4964162961890114E-3</v>
      </c>
      <c r="I84" s="373"/>
    </row>
    <row r="85" spans="2:9" x14ac:dyDescent="0.25">
      <c r="B85" s="370">
        <v>42552</v>
      </c>
      <c r="C85" s="371">
        <v>55</v>
      </c>
      <c r="D85" s="372">
        <v>80.590500000000006</v>
      </c>
      <c r="E85" s="372">
        <v>84.15</v>
      </c>
      <c r="F85" s="372">
        <f t="shared" si="23"/>
        <v>195.77249999999998</v>
      </c>
      <c r="G85" s="372">
        <f t="shared" si="24"/>
        <v>4432.4775</v>
      </c>
      <c r="H85" s="373">
        <f t="shared" si="25"/>
        <v>4.4167736892065435E-2</v>
      </c>
      <c r="I85" s="373"/>
    </row>
    <row r="86" spans="2:9" x14ac:dyDescent="0.25">
      <c r="B86" s="370">
        <v>42556</v>
      </c>
      <c r="C86" s="371">
        <v>55</v>
      </c>
      <c r="D86" s="372">
        <v>80.590500000000006</v>
      </c>
      <c r="E86" s="372">
        <v>81.290000000000006</v>
      </c>
      <c r="F86" s="372">
        <f t="shared" si="23"/>
        <v>38.472500000000025</v>
      </c>
      <c r="G86" s="372">
        <f t="shared" si="24"/>
        <v>4432.4775</v>
      </c>
      <c r="H86" s="373">
        <f t="shared" si="25"/>
        <v>8.6796830891978632E-3</v>
      </c>
      <c r="I86" s="373"/>
    </row>
    <row r="87" spans="2:9" x14ac:dyDescent="0.25">
      <c r="B87" s="370">
        <v>42563</v>
      </c>
      <c r="C87" s="371">
        <v>55</v>
      </c>
      <c r="D87" s="372">
        <v>80.590500000000006</v>
      </c>
      <c r="E87" s="372">
        <v>89.07</v>
      </c>
      <c r="F87" s="372">
        <f t="shared" si="23"/>
        <v>466.37249999999932</v>
      </c>
      <c r="G87" s="372">
        <f t="shared" si="24"/>
        <v>4432.4775</v>
      </c>
      <c r="H87" s="373">
        <f t="shared" si="25"/>
        <v>0.10521711616133399</v>
      </c>
      <c r="I87" s="373"/>
    </row>
    <row r="88" spans="2:9" x14ac:dyDescent="0.25">
      <c r="B88" s="370">
        <v>42566</v>
      </c>
      <c r="C88" s="371">
        <v>55</v>
      </c>
      <c r="D88" s="372">
        <v>80.590500000000006</v>
      </c>
      <c r="E88" s="372">
        <v>90.34</v>
      </c>
      <c r="F88" s="372">
        <f t="shared" si="23"/>
        <v>536.22249999999985</v>
      </c>
      <c r="G88" s="372">
        <f t="shared" si="24"/>
        <v>4432.4775</v>
      </c>
      <c r="H88" s="373">
        <f t="shared" si="25"/>
        <v>0.12097579739547462</v>
      </c>
      <c r="I88" s="373"/>
    </row>
    <row r="89" spans="2:9" x14ac:dyDescent="0.25">
      <c r="B89" s="370">
        <v>42569</v>
      </c>
      <c r="C89" s="371">
        <v>50</v>
      </c>
      <c r="D89" s="372">
        <v>79.449799999999996</v>
      </c>
      <c r="E89" s="372">
        <v>92.26</v>
      </c>
      <c r="F89" s="372">
        <f t="shared" si="23"/>
        <v>640.51000000000045</v>
      </c>
      <c r="G89" s="372">
        <f t="shared" si="24"/>
        <v>3972.49</v>
      </c>
      <c r="H89" s="373">
        <f t="shared" si="25"/>
        <v>0.16123640336413697</v>
      </c>
      <c r="I89" s="373"/>
    </row>
    <row r="90" spans="2:9" x14ac:dyDescent="0.25">
      <c r="B90" s="370">
        <v>42570</v>
      </c>
      <c r="C90" s="371">
        <v>50</v>
      </c>
      <c r="D90" s="372">
        <v>79.449799999999996</v>
      </c>
      <c r="E90" s="372">
        <v>90.39</v>
      </c>
      <c r="F90" s="372">
        <f t="shared" si="23"/>
        <v>547.01000000000022</v>
      </c>
      <c r="G90" s="372">
        <f t="shared" si="24"/>
        <v>3972.49</v>
      </c>
      <c r="H90" s="373">
        <f t="shared" si="25"/>
        <v>0.13769952850730907</v>
      </c>
      <c r="I90" s="373"/>
    </row>
    <row r="91" spans="2:9" x14ac:dyDescent="0.25">
      <c r="B91" s="370">
        <v>42571</v>
      </c>
      <c r="C91" s="371">
        <v>50</v>
      </c>
      <c r="D91" s="372">
        <v>79.449799999999996</v>
      </c>
      <c r="E91" s="372">
        <v>89.55</v>
      </c>
      <c r="F91" s="372">
        <f t="shared" si="23"/>
        <v>505.01000000000005</v>
      </c>
      <c r="G91" s="372">
        <f t="shared" si="24"/>
        <v>3972.49</v>
      </c>
      <c r="H91" s="373">
        <f t="shared" si="25"/>
        <v>0.12712681466787834</v>
      </c>
      <c r="I91" s="373"/>
    </row>
    <row r="92" spans="2:9" x14ac:dyDescent="0.25">
      <c r="B92" s="370">
        <v>42572</v>
      </c>
      <c r="C92" s="371">
        <v>50</v>
      </c>
      <c r="D92" s="372">
        <v>79.449799999999996</v>
      </c>
      <c r="E92" s="372">
        <v>87.46</v>
      </c>
      <c r="F92" s="372">
        <f t="shared" si="23"/>
        <v>400.50999999999988</v>
      </c>
      <c r="G92" s="372">
        <f t="shared" si="24"/>
        <v>3972.49</v>
      </c>
      <c r="H92" s="373">
        <f t="shared" si="25"/>
        <v>0.1008208957102472</v>
      </c>
      <c r="I92" s="373"/>
    </row>
    <row r="93" spans="2:9" x14ac:dyDescent="0.25">
      <c r="B93" s="370">
        <v>42575</v>
      </c>
      <c r="C93" s="371">
        <v>50</v>
      </c>
      <c r="D93" s="372">
        <v>79.449799999999996</v>
      </c>
      <c r="E93" s="372">
        <v>89.53</v>
      </c>
      <c r="F93" s="372">
        <f t="shared" si="23"/>
        <v>504.01000000000022</v>
      </c>
      <c r="G93" s="372">
        <f t="shared" si="24"/>
        <v>3972.49</v>
      </c>
      <c r="H93" s="373">
        <f t="shared" si="25"/>
        <v>0.12687508338598719</v>
      </c>
      <c r="I93" s="373"/>
    </row>
    <row r="94" spans="2:9" x14ac:dyDescent="0.25">
      <c r="B94" s="370">
        <v>42576</v>
      </c>
      <c r="C94" s="371">
        <v>50</v>
      </c>
      <c r="D94" s="372">
        <v>79.449799999999996</v>
      </c>
      <c r="E94" s="372">
        <v>88.86</v>
      </c>
      <c r="F94" s="372">
        <f t="shared" si="23"/>
        <v>470.51000000000016</v>
      </c>
      <c r="G94" s="372">
        <f t="shared" si="24"/>
        <v>3972.49</v>
      </c>
      <c r="H94" s="373">
        <f t="shared" si="25"/>
        <v>0.11844208544263174</v>
      </c>
      <c r="I94" s="373"/>
    </row>
    <row r="95" spans="2:9" x14ac:dyDescent="0.25">
      <c r="B95" s="370">
        <v>42577</v>
      </c>
      <c r="C95" s="371">
        <v>50</v>
      </c>
      <c r="D95" s="372">
        <v>79.449799999999996</v>
      </c>
      <c r="E95" s="372">
        <v>89.46</v>
      </c>
      <c r="F95" s="372">
        <f t="shared" si="23"/>
        <v>500.50999999999988</v>
      </c>
      <c r="G95" s="372">
        <f t="shared" si="24"/>
        <v>3972.49</v>
      </c>
      <c r="H95" s="373">
        <f t="shared" si="25"/>
        <v>0.12599402389936787</v>
      </c>
      <c r="I95" s="373"/>
    </row>
    <row r="96" spans="2:9" x14ac:dyDescent="0.25">
      <c r="B96" s="370">
        <v>42580</v>
      </c>
      <c r="C96" s="371">
        <v>30</v>
      </c>
      <c r="D96" s="372">
        <v>73.937700000000007</v>
      </c>
      <c r="E96" s="372">
        <v>87.72</v>
      </c>
      <c r="F96" s="372">
        <f t="shared" si="23"/>
        <v>413.46899999999977</v>
      </c>
      <c r="G96" s="372">
        <f t="shared" si="24"/>
        <v>2218.1310000000003</v>
      </c>
      <c r="H96" s="373">
        <f t="shared" si="25"/>
        <v>0.18640422950673324</v>
      </c>
      <c r="I96" s="373"/>
    </row>
    <row r="97" spans="2:9" x14ac:dyDescent="0.25">
      <c r="B97" s="370">
        <v>42580</v>
      </c>
      <c r="C97" s="371">
        <v>0</v>
      </c>
      <c r="D97" s="372"/>
      <c r="E97" s="372"/>
      <c r="F97" s="372">
        <v>420.99</v>
      </c>
      <c r="G97" s="372"/>
      <c r="H97" s="373"/>
      <c r="I97" s="373"/>
    </row>
    <row r="98" spans="2:9" x14ac:dyDescent="0.25">
      <c r="B98" s="371"/>
      <c r="C98" s="371"/>
      <c r="D98" s="372"/>
      <c r="E98" s="372"/>
      <c r="F98" s="372"/>
      <c r="G98" s="371"/>
      <c r="H98" s="371"/>
      <c r="I98" s="371"/>
    </row>
    <row r="99" spans="2:9" x14ac:dyDescent="0.25">
      <c r="B99" s="498" t="s">
        <v>113</v>
      </c>
      <c r="C99" s="498" t="s">
        <v>146</v>
      </c>
      <c r="D99" s="499" t="s">
        <v>145</v>
      </c>
      <c r="E99" s="500" t="s">
        <v>147</v>
      </c>
      <c r="F99" s="501" t="s">
        <v>65</v>
      </c>
      <c r="G99" s="502" t="s">
        <v>151</v>
      </c>
      <c r="H99" s="501" t="s">
        <v>88</v>
      </c>
      <c r="I99" s="501" t="s">
        <v>154</v>
      </c>
    </row>
    <row r="100" spans="2:9" x14ac:dyDescent="0.25">
      <c r="B100" s="370">
        <v>42608</v>
      </c>
      <c r="C100" s="371">
        <v>25</v>
      </c>
      <c r="D100" s="372">
        <v>78.95</v>
      </c>
      <c r="E100" s="372">
        <v>80.650000000000006</v>
      </c>
      <c r="F100" s="372">
        <f t="shared" ref="F100:F116" si="26">C100*(E100-D100)</f>
        <v>42.500000000000071</v>
      </c>
      <c r="G100" s="372">
        <f t="shared" ref="G100:G116" si="27">D100*C100</f>
        <v>1973.75</v>
      </c>
      <c r="H100" s="373">
        <f t="shared" ref="H100:H116" si="28">(E100-D100)/D100</f>
        <v>2.1532615579480718E-2</v>
      </c>
      <c r="I100" s="373"/>
    </row>
    <row r="101" spans="2:9" x14ac:dyDescent="0.25">
      <c r="B101" s="370">
        <v>42609</v>
      </c>
      <c r="C101" s="371">
        <v>25</v>
      </c>
      <c r="D101" s="372">
        <v>78.95</v>
      </c>
      <c r="E101" s="372">
        <v>80.180000000000007</v>
      </c>
      <c r="F101" s="372">
        <f t="shared" si="26"/>
        <v>30.750000000000099</v>
      </c>
      <c r="G101" s="372">
        <f t="shared" si="27"/>
        <v>1973.75</v>
      </c>
      <c r="H101" s="373">
        <f t="shared" si="28"/>
        <v>1.5579480683977251E-2</v>
      </c>
      <c r="I101" s="373"/>
    </row>
    <row r="102" spans="2:9" x14ac:dyDescent="0.25">
      <c r="B102" s="370">
        <v>42613</v>
      </c>
      <c r="C102" s="371">
        <v>25</v>
      </c>
      <c r="D102" s="372">
        <v>78.95</v>
      </c>
      <c r="E102" s="372">
        <v>81.98</v>
      </c>
      <c r="F102" s="372">
        <f t="shared" si="26"/>
        <v>75.750000000000028</v>
      </c>
      <c r="G102" s="372">
        <f t="shared" si="27"/>
        <v>1973.75</v>
      </c>
      <c r="H102" s="373">
        <f t="shared" si="28"/>
        <v>3.8378720709309699E-2</v>
      </c>
      <c r="I102" s="373"/>
    </row>
    <row r="103" spans="2:9" x14ac:dyDescent="0.25">
      <c r="B103" s="370">
        <v>42619</v>
      </c>
      <c r="C103" s="371">
        <v>25</v>
      </c>
      <c r="D103" s="372">
        <v>78.95</v>
      </c>
      <c r="E103" s="372">
        <v>81.099999999999994</v>
      </c>
      <c r="F103" s="372">
        <f t="shared" si="26"/>
        <v>53.749999999999787</v>
      </c>
      <c r="G103" s="372">
        <f t="shared" si="27"/>
        <v>1973.75</v>
      </c>
      <c r="H103" s="373">
        <f t="shared" si="28"/>
        <v>2.7232425585813697E-2</v>
      </c>
      <c r="I103" s="373"/>
    </row>
    <row r="104" spans="2:9" x14ac:dyDescent="0.25">
      <c r="B104" s="370">
        <v>42620</v>
      </c>
      <c r="C104" s="371">
        <v>25</v>
      </c>
      <c r="D104" s="372">
        <v>78.95</v>
      </c>
      <c r="E104" s="372">
        <v>82.48</v>
      </c>
      <c r="F104" s="372">
        <f t="shared" si="26"/>
        <v>88.250000000000028</v>
      </c>
      <c r="G104" s="372">
        <f t="shared" si="27"/>
        <v>1973.75</v>
      </c>
      <c r="H104" s="373">
        <f t="shared" si="28"/>
        <v>4.4711842938568724E-2</v>
      </c>
      <c r="I104" s="373"/>
    </row>
    <row r="105" spans="2:9" x14ac:dyDescent="0.25">
      <c r="B105" s="370">
        <v>42621</v>
      </c>
      <c r="C105" s="371">
        <v>25</v>
      </c>
      <c r="D105" s="372">
        <v>78.95</v>
      </c>
      <c r="E105" s="372">
        <v>81.77</v>
      </c>
      <c r="F105" s="372">
        <f t="shared" si="26"/>
        <v>70.499999999999829</v>
      </c>
      <c r="G105" s="372">
        <f t="shared" si="27"/>
        <v>1973.75</v>
      </c>
      <c r="H105" s="373">
        <f t="shared" si="28"/>
        <v>3.5718809373020813E-2</v>
      </c>
      <c r="I105" s="373"/>
    </row>
    <row r="106" spans="2:9" x14ac:dyDescent="0.25">
      <c r="B106" s="370">
        <v>42622</v>
      </c>
      <c r="C106" s="371">
        <v>25</v>
      </c>
      <c r="D106" s="372">
        <v>78.95</v>
      </c>
      <c r="E106" s="372">
        <v>76.900000000000006</v>
      </c>
      <c r="F106" s="372">
        <f t="shared" si="26"/>
        <v>-51.249999999999929</v>
      </c>
      <c r="G106" s="372">
        <f t="shared" si="27"/>
        <v>1973.75</v>
      </c>
      <c r="H106" s="373">
        <f t="shared" si="28"/>
        <v>-2.5965801139961966E-2</v>
      </c>
      <c r="I106" s="373"/>
    </row>
    <row r="107" spans="2:9" x14ac:dyDescent="0.25">
      <c r="B107" s="370">
        <v>42629</v>
      </c>
      <c r="C107" s="371">
        <v>25</v>
      </c>
      <c r="D107" s="372">
        <v>78.95</v>
      </c>
      <c r="E107" s="372">
        <v>77.77</v>
      </c>
      <c r="F107" s="372">
        <f t="shared" si="26"/>
        <v>-29.500000000000171</v>
      </c>
      <c r="G107" s="372">
        <f t="shared" si="27"/>
        <v>1973.75</v>
      </c>
      <c r="H107" s="373">
        <f t="shared" si="28"/>
        <v>-1.4946168461051384E-2</v>
      </c>
      <c r="I107" s="373"/>
    </row>
    <row r="108" spans="2:9" x14ac:dyDescent="0.25">
      <c r="B108" s="370">
        <v>42633</v>
      </c>
      <c r="C108" s="371">
        <v>25</v>
      </c>
      <c r="D108" s="372">
        <v>78.95</v>
      </c>
      <c r="E108" s="372">
        <v>75.52</v>
      </c>
      <c r="F108" s="372">
        <f t="shared" si="26"/>
        <v>-85.750000000000171</v>
      </c>
      <c r="G108" s="372">
        <f t="shared" si="27"/>
        <v>1973.75</v>
      </c>
      <c r="H108" s="373">
        <f t="shared" si="28"/>
        <v>-4.3445218492716993E-2</v>
      </c>
      <c r="I108" s="373"/>
    </row>
    <row r="109" spans="2:9" x14ac:dyDescent="0.25">
      <c r="B109" s="370">
        <v>42635</v>
      </c>
      <c r="C109" s="371">
        <v>25</v>
      </c>
      <c r="D109" s="372">
        <v>78.95</v>
      </c>
      <c r="E109" s="372">
        <v>77.27</v>
      </c>
      <c r="F109" s="372">
        <f t="shared" si="26"/>
        <v>-42.000000000000171</v>
      </c>
      <c r="G109" s="372">
        <f t="shared" si="27"/>
        <v>1973.75</v>
      </c>
      <c r="H109" s="373">
        <f t="shared" si="28"/>
        <v>-2.1279290690310409E-2</v>
      </c>
      <c r="I109" s="373"/>
    </row>
    <row r="110" spans="2:9" x14ac:dyDescent="0.25">
      <c r="B110" s="370">
        <v>42636</v>
      </c>
      <c r="C110" s="371">
        <v>25</v>
      </c>
      <c r="D110" s="372">
        <v>78.95</v>
      </c>
      <c r="E110" s="372">
        <v>78.97</v>
      </c>
      <c r="F110" s="372">
        <f t="shared" si="26"/>
        <v>0.49999999999990052</v>
      </c>
      <c r="G110" s="372">
        <f t="shared" si="27"/>
        <v>1973.75</v>
      </c>
      <c r="H110" s="373">
        <f t="shared" si="28"/>
        <v>2.533248891703106E-4</v>
      </c>
      <c r="I110" s="373"/>
    </row>
    <row r="111" spans="2:9" x14ac:dyDescent="0.25">
      <c r="B111" s="370">
        <v>42639</v>
      </c>
      <c r="C111" s="371">
        <v>55</v>
      </c>
      <c r="D111" s="372">
        <v>76.400000000000006</v>
      </c>
      <c r="E111" s="372">
        <v>76.31</v>
      </c>
      <c r="F111" s="372">
        <f t="shared" si="26"/>
        <v>-4.9500000000001876</v>
      </c>
      <c r="G111" s="372">
        <f t="shared" si="27"/>
        <v>4202</v>
      </c>
      <c r="H111" s="373">
        <f t="shared" si="28"/>
        <v>-1.1780104712042331E-3</v>
      </c>
      <c r="I111" s="373"/>
    </row>
    <row r="112" spans="2:9" x14ac:dyDescent="0.25">
      <c r="B112" s="370">
        <v>42643</v>
      </c>
      <c r="C112" s="371">
        <v>55</v>
      </c>
      <c r="D112" s="372">
        <v>76.402699999999996</v>
      </c>
      <c r="E112" s="372">
        <v>74.53</v>
      </c>
      <c r="F112" s="372">
        <f t="shared" si="26"/>
        <v>-102.99849999999971</v>
      </c>
      <c r="G112" s="372">
        <f t="shared" si="27"/>
        <v>4202.1484999999993</v>
      </c>
      <c r="H112" s="373">
        <f t="shared" si="28"/>
        <v>-2.4510913881315644E-2</v>
      </c>
      <c r="I112" s="373"/>
    </row>
    <row r="113" spans="1:10" x14ac:dyDescent="0.25">
      <c r="B113" s="370">
        <v>42646</v>
      </c>
      <c r="C113" s="371">
        <v>55</v>
      </c>
      <c r="D113" s="372">
        <v>76.402699999999996</v>
      </c>
      <c r="E113" s="372">
        <v>75.72</v>
      </c>
      <c r="F113" s="372">
        <f t="shared" si="26"/>
        <v>-37.548499999999834</v>
      </c>
      <c r="G113" s="372">
        <f t="shared" si="27"/>
        <v>4202.1484999999993</v>
      </c>
      <c r="H113" s="373">
        <f t="shared" si="28"/>
        <v>-8.9355480892690572E-3</v>
      </c>
      <c r="I113" s="373"/>
    </row>
    <row r="114" spans="1:10" x14ac:dyDescent="0.25">
      <c r="B114" s="370">
        <v>42647</v>
      </c>
      <c r="C114" s="371">
        <v>55</v>
      </c>
      <c r="D114" s="372">
        <v>76.402699999999996</v>
      </c>
      <c r="E114" s="372">
        <v>77.819999999999993</v>
      </c>
      <c r="F114" s="372">
        <f t="shared" si="26"/>
        <v>77.951499999999854</v>
      </c>
      <c r="G114" s="372">
        <f t="shared" si="27"/>
        <v>4202.1484999999993</v>
      </c>
      <c r="H114" s="373">
        <f t="shared" si="28"/>
        <v>1.8550391543754308E-2</v>
      </c>
      <c r="I114" s="373"/>
    </row>
    <row r="115" spans="1:10" x14ac:dyDescent="0.25">
      <c r="B115" s="370">
        <v>42648</v>
      </c>
      <c r="C115" s="371">
        <v>30</v>
      </c>
      <c r="D115" s="372">
        <v>74.272999999999996</v>
      </c>
      <c r="E115" s="372">
        <v>81.430000000000007</v>
      </c>
      <c r="F115" s="372">
        <f t="shared" si="26"/>
        <v>214.71000000000032</v>
      </c>
      <c r="G115" s="372">
        <f t="shared" si="27"/>
        <v>2228.19</v>
      </c>
      <c r="H115" s="373">
        <f t="shared" si="28"/>
        <v>9.6360723277638047E-2</v>
      </c>
      <c r="I115" s="373"/>
    </row>
    <row r="116" spans="1:10" x14ac:dyDescent="0.25">
      <c r="B116" s="370">
        <v>42649</v>
      </c>
      <c r="C116" s="371">
        <v>30</v>
      </c>
      <c r="D116" s="372">
        <v>74.272999999999996</v>
      </c>
      <c r="E116" s="372">
        <v>80.069999999999993</v>
      </c>
      <c r="F116" s="372">
        <f t="shared" si="26"/>
        <v>173.90999999999991</v>
      </c>
      <c r="G116" s="372">
        <f t="shared" si="27"/>
        <v>2228.19</v>
      </c>
      <c r="H116" s="373">
        <f t="shared" si="28"/>
        <v>7.8049897001602156E-2</v>
      </c>
      <c r="I116" s="373"/>
    </row>
    <row r="117" spans="1:10" x14ac:dyDescent="0.25">
      <c r="B117" s="370">
        <v>42671</v>
      </c>
      <c r="C117" s="371">
        <v>0</v>
      </c>
      <c r="D117" s="372"/>
      <c r="E117" s="372"/>
      <c r="F117" s="372">
        <v>234.16</v>
      </c>
      <c r="G117" s="372"/>
      <c r="H117" s="373"/>
      <c r="I117" s="373"/>
    </row>
    <row r="118" spans="1:10" x14ac:dyDescent="0.25">
      <c r="B118" s="370"/>
      <c r="C118" s="371"/>
      <c r="D118" s="372"/>
      <c r="E118" s="372"/>
      <c r="F118" s="372"/>
      <c r="G118" s="372"/>
      <c r="H118" s="373"/>
      <c r="I118" s="373"/>
    </row>
    <row r="120" spans="1:10" x14ac:dyDescent="0.25">
      <c r="B120" s="188">
        <v>42746</v>
      </c>
      <c r="C120" s="10">
        <v>30</v>
      </c>
      <c r="D120" s="39">
        <v>81.81</v>
      </c>
      <c r="E120" s="39">
        <v>84.7</v>
      </c>
      <c r="F120" s="39">
        <f t="shared" ref="F120:F150" si="29">C120*(E120-D120)</f>
        <v>86.700000000000017</v>
      </c>
      <c r="G120" s="39">
        <f t="shared" ref="G120:G150" si="30">D120*C120</f>
        <v>2454.3000000000002</v>
      </c>
      <c r="H120" s="226">
        <f t="shared" ref="H120:H150" si="31">(E120-D120)/D120</f>
        <v>3.5325754797701996E-2</v>
      </c>
      <c r="I120" s="10"/>
      <c r="J120" s="10"/>
    </row>
    <row r="121" spans="1:10" x14ac:dyDescent="0.25">
      <c r="B121" s="188">
        <v>42748</v>
      </c>
      <c r="C121" s="10">
        <v>50</v>
      </c>
      <c r="D121" s="39">
        <v>81.09</v>
      </c>
      <c r="E121" s="39">
        <v>80.78</v>
      </c>
      <c r="F121" s="39">
        <f t="shared" si="29"/>
        <v>-15.500000000000114</v>
      </c>
      <c r="G121" s="39">
        <f t="shared" si="30"/>
        <v>4054.5</v>
      </c>
      <c r="H121" s="226">
        <f t="shared" si="31"/>
        <v>-3.8229128129239395E-3</v>
      </c>
      <c r="I121" s="10"/>
      <c r="J121" s="10"/>
    </row>
    <row r="122" spans="1:10" x14ac:dyDescent="0.25">
      <c r="B122" s="188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9"/>
        <v>25.449999999999875</v>
      </c>
      <c r="G122" s="39">
        <f t="shared" si="30"/>
        <v>1606.55</v>
      </c>
      <c r="H122" s="226">
        <f t="shared" si="31"/>
        <v>1.5841399271731272E-2</v>
      </c>
      <c r="I122" s="10"/>
      <c r="J122" s="10"/>
    </row>
    <row r="123" spans="1:10" x14ac:dyDescent="0.25">
      <c r="A123" t="s">
        <v>354</v>
      </c>
      <c r="B123" s="188">
        <v>42754</v>
      </c>
      <c r="C123" s="10">
        <v>50</v>
      </c>
      <c r="D123" s="39">
        <v>80.659000000000006</v>
      </c>
      <c r="E123" s="39">
        <v>80.77</v>
      </c>
      <c r="F123" s="39">
        <f t="shared" si="29"/>
        <v>5.5499999999994998</v>
      </c>
      <c r="G123" s="39">
        <f t="shared" si="30"/>
        <v>4032.9500000000003</v>
      </c>
      <c r="H123" s="226">
        <f t="shared" si="31"/>
        <v>1.3761638502831674E-3</v>
      </c>
      <c r="I123" s="10"/>
      <c r="J123" s="10"/>
    </row>
    <row r="124" spans="1:10" x14ac:dyDescent="0.25">
      <c r="A124" t="s">
        <v>354</v>
      </c>
      <c r="B124" s="188">
        <v>42760</v>
      </c>
      <c r="C124" s="10">
        <v>50</v>
      </c>
      <c r="D124" s="39">
        <v>80.659000000000006</v>
      </c>
      <c r="E124" s="39">
        <v>82.98</v>
      </c>
      <c r="F124" s="39">
        <f t="shared" si="29"/>
        <v>116.0499999999999</v>
      </c>
      <c r="G124" s="39">
        <f t="shared" si="30"/>
        <v>4032.9500000000003</v>
      </c>
      <c r="H124" s="226">
        <f t="shared" si="31"/>
        <v>2.8775462130698346E-2</v>
      </c>
      <c r="I124" s="10"/>
      <c r="J124" s="10"/>
    </row>
    <row r="125" spans="1:10" x14ac:dyDescent="0.25">
      <c r="A125" t="s">
        <v>392</v>
      </c>
      <c r="B125" s="188">
        <v>42766</v>
      </c>
      <c r="C125" s="10">
        <v>75</v>
      </c>
      <c r="D125" s="39">
        <v>79.439300000000003</v>
      </c>
      <c r="E125" s="39">
        <v>77.67</v>
      </c>
      <c r="F125" s="39">
        <f t="shared" si="29"/>
        <v>-132.6975000000001</v>
      </c>
      <c r="G125" s="39">
        <f t="shared" si="30"/>
        <v>5957.9475000000002</v>
      </c>
      <c r="H125" s="226">
        <f t="shared" si="31"/>
        <v>-2.2272351342471561E-2</v>
      </c>
      <c r="I125" s="10"/>
      <c r="J125" s="10"/>
    </row>
    <row r="126" spans="1:10" x14ac:dyDescent="0.25">
      <c r="A126" t="s">
        <v>349</v>
      </c>
      <c r="B126" s="188">
        <v>42772</v>
      </c>
      <c r="C126" s="232">
        <v>100</v>
      </c>
      <c r="D126" s="233">
        <v>78.391999999999996</v>
      </c>
      <c r="E126" s="39">
        <v>74.06</v>
      </c>
      <c r="F126" s="39">
        <f t="shared" si="29"/>
        <v>-433.19999999999936</v>
      </c>
      <c r="G126" s="39">
        <f t="shared" si="30"/>
        <v>7839.2</v>
      </c>
      <c r="H126" s="226">
        <f t="shared" si="31"/>
        <v>-5.5260740891927666E-2</v>
      </c>
      <c r="I126" s="10"/>
      <c r="J126" s="10"/>
    </row>
    <row r="127" spans="1:10" x14ac:dyDescent="0.25">
      <c r="A127" t="s">
        <v>416</v>
      </c>
      <c r="B127" s="188">
        <v>42773</v>
      </c>
      <c r="C127" s="10">
        <v>125</v>
      </c>
      <c r="D127" s="39">
        <v>77.329599999999999</v>
      </c>
      <c r="E127" s="39">
        <v>71.95</v>
      </c>
      <c r="F127" s="39">
        <f t="shared" si="29"/>
        <v>-672.44999999999959</v>
      </c>
      <c r="G127" s="39">
        <f t="shared" si="30"/>
        <v>9666.2000000000007</v>
      </c>
      <c r="H127" s="226">
        <f t="shared" si="31"/>
        <v>-6.9567151517659423E-2</v>
      </c>
      <c r="I127" s="10"/>
      <c r="J127" s="10"/>
    </row>
    <row r="128" spans="1:10" x14ac:dyDescent="0.25">
      <c r="A128" t="s">
        <v>457</v>
      </c>
      <c r="B128" s="188">
        <v>42788</v>
      </c>
      <c r="C128" s="10">
        <v>125</v>
      </c>
      <c r="D128" s="39">
        <v>77.329599999999999</v>
      </c>
      <c r="E128" s="39">
        <v>73.61</v>
      </c>
      <c r="F128" s="39">
        <f t="shared" si="29"/>
        <v>-464.95</v>
      </c>
      <c r="G128" s="39">
        <f t="shared" si="30"/>
        <v>9666.2000000000007</v>
      </c>
      <c r="H128" s="226">
        <f t="shared" si="31"/>
        <v>-4.8100597959901507E-2</v>
      </c>
      <c r="I128" s="10"/>
      <c r="J128" s="10"/>
    </row>
    <row r="129" spans="1:10" x14ac:dyDescent="0.25">
      <c r="A129" t="s">
        <v>479</v>
      </c>
      <c r="B129" s="188">
        <v>42794</v>
      </c>
      <c r="C129" s="10">
        <v>300</v>
      </c>
      <c r="D129" s="39">
        <v>71.360699999999994</v>
      </c>
      <c r="E129" s="39">
        <v>63.59</v>
      </c>
      <c r="F129" s="39">
        <f t="shared" si="29"/>
        <v>-2331.2099999999973</v>
      </c>
      <c r="G129" s="39">
        <f t="shared" si="30"/>
        <v>21408.21</v>
      </c>
      <c r="H129" s="226">
        <f t="shared" si="31"/>
        <v>-0.1088932703855202</v>
      </c>
      <c r="I129" s="10"/>
      <c r="J129" s="39"/>
    </row>
    <row r="130" spans="1:10" x14ac:dyDescent="0.25">
      <c r="A130" t="s">
        <v>479</v>
      </c>
      <c r="B130" s="188">
        <v>42795</v>
      </c>
      <c r="C130" s="10">
        <v>300</v>
      </c>
      <c r="D130" s="39">
        <v>71.317300000000003</v>
      </c>
      <c r="E130" s="39">
        <v>64.88</v>
      </c>
      <c r="F130" s="39">
        <f t="shared" si="29"/>
        <v>-1931.1900000000023</v>
      </c>
      <c r="G130" s="39">
        <f t="shared" si="30"/>
        <v>21395.190000000002</v>
      </c>
      <c r="H130" s="226">
        <f t="shared" si="31"/>
        <v>-9.0262811407610874E-2</v>
      </c>
      <c r="I130" s="10" t="s">
        <v>185</v>
      </c>
      <c r="J130" s="39"/>
    </row>
    <row r="131" spans="1:10" x14ac:dyDescent="0.25">
      <c r="A131">
        <v>75</v>
      </c>
      <c r="B131" s="188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9"/>
        <v>-1715.1900000000026</v>
      </c>
      <c r="G131" s="39">
        <f t="shared" si="30"/>
        <v>21395.190000000002</v>
      </c>
      <c r="H131" s="226">
        <f t="shared" si="31"/>
        <v>-8.0167084283897572E-2</v>
      </c>
      <c r="I131" s="10"/>
      <c r="J131" s="39"/>
    </row>
    <row r="132" spans="1:10" x14ac:dyDescent="0.25">
      <c r="A132">
        <v>0</v>
      </c>
      <c r="B132" s="188">
        <v>42803</v>
      </c>
      <c r="C132" s="10">
        <v>200</v>
      </c>
      <c r="D132" s="39">
        <v>72.186800000000005</v>
      </c>
      <c r="E132" s="39">
        <v>70.02</v>
      </c>
      <c r="F132" s="39">
        <f t="shared" si="29"/>
        <v>-433.36000000000183</v>
      </c>
      <c r="G132" s="39">
        <f t="shared" si="30"/>
        <v>14437.36</v>
      </c>
      <c r="H132" s="226">
        <f t="shared" si="31"/>
        <v>-3.0016568126028705E-2</v>
      </c>
      <c r="I132" s="10"/>
      <c r="J132" s="39"/>
    </row>
    <row r="133" spans="1:10" x14ac:dyDescent="0.25">
      <c r="A133">
        <v>0</v>
      </c>
      <c r="B133" s="188">
        <v>42804</v>
      </c>
      <c r="C133" s="10">
        <v>175</v>
      </c>
      <c r="D133" s="39">
        <v>72.130799999999994</v>
      </c>
      <c r="E133" s="39">
        <v>69.81</v>
      </c>
      <c r="F133" s="39">
        <f t="shared" si="29"/>
        <v>-406.13999999999851</v>
      </c>
      <c r="G133" s="39">
        <f t="shared" si="30"/>
        <v>12622.89</v>
      </c>
      <c r="H133" s="226">
        <f t="shared" si="31"/>
        <v>-3.2174882297160041E-2</v>
      </c>
      <c r="I133" s="10"/>
      <c r="J133" s="39">
        <v>269.81</v>
      </c>
    </row>
    <row r="134" spans="1:10" x14ac:dyDescent="0.25">
      <c r="A134">
        <v>0</v>
      </c>
      <c r="B134" s="188">
        <v>42808</v>
      </c>
      <c r="C134" s="7">
        <v>200</v>
      </c>
      <c r="D134" s="43">
        <v>71.599500000000006</v>
      </c>
      <c r="E134" s="39">
        <v>67.83</v>
      </c>
      <c r="F134" s="39">
        <f t="shared" si="29"/>
        <v>-753.90000000000157</v>
      </c>
      <c r="G134" s="39">
        <f t="shared" si="30"/>
        <v>14319.900000000001</v>
      </c>
      <c r="H134" s="226">
        <f t="shared" si="31"/>
        <v>-5.2647015691450465E-2</v>
      </c>
      <c r="I134" s="10"/>
      <c r="J134" s="39">
        <v>-78</v>
      </c>
    </row>
    <row r="135" spans="1:10" x14ac:dyDescent="0.25">
      <c r="A135">
        <v>0</v>
      </c>
      <c r="B135" s="188">
        <v>42809</v>
      </c>
      <c r="C135" s="10">
        <v>200</v>
      </c>
      <c r="D135" s="39">
        <v>71.599500000000006</v>
      </c>
      <c r="E135" s="39">
        <v>68.36</v>
      </c>
      <c r="F135" s="39">
        <f t="shared" si="29"/>
        <v>-647.90000000000134</v>
      </c>
      <c r="G135" s="39">
        <f t="shared" si="30"/>
        <v>14319.900000000001</v>
      </c>
      <c r="H135" s="226">
        <f t="shared" si="31"/>
        <v>-4.5244729362635301E-2</v>
      </c>
      <c r="I135" s="10"/>
      <c r="J135" s="39">
        <v>28.06</v>
      </c>
    </row>
    <row r="136" spans="1:10" x14ac:dyDescent="0.25">
      <c r="A136">
        <v>0</v>
      </c>
      <c r="B136" s="188">
        <v>42821</v>
      </c>
      <c r="C136" s="10">
        <v>200</v>
      </c>
      <c r="D136" s="39">
        <v>71.599500000000006</v>
      </c>
      <c r="E136" s="39">
        <v>69.66</v>
      </c>
      <c r="F136" s="39">
        <f t="shared" si="29"/>
        <v>-387.90000000000191</v>
      </c>
      <c r="G136" s="39">
        <f t="shared" si="30"/>
        <v>14319.900000000001</v>
      </c>
      <c r="H136" s="226">
        <f t="shared" si="31"/>
        <v>-2.7088177990069896E-2</v>
      </c>
      <c r="I136" s="10"/>
      <c r="J136" s="39">
        <v>288</v>
      </c>
    </row>
    <row r="137" spans="1:10" x14ac:dyDescent="0.25">
      <c r="A137">
        <v>200</v>
      </c>
      <c r="B137" s="188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9"/>
        <v>-1317.9999999999977</v>
      </c>
      <c r="G137" s="39">
        <f t="shared" si="30"/>
        <v>14319.999999999998</v>
      </c>
      <c r="H137" s="226">
        <f t="shared" si="31"/>
        <v>-9.2039106145251251E-2</v>
      </c>
      <c r="I137" s="10"/>
      <c r="J137" s="39">
        <v>-642</v>
      </c>
    </row>
    <row r="138" spans="1:10" x14ac:dyDescent="0.25">
      <c r="A138">
        <v>200</v>
      </c>
      <c r="B138" s="188">
        <v>42865</v>
      </c>
      <c r="C138" s="10">
        <v>300</v>
      </c>
      <c r="D138" s="39">
        <v>69.02</v>
      </c>
      <c r="E138" s="39">
        <v>63.04</v>
      </c>
      <c r="F138" s="39">
        <f t="shared" si="29"/>
        <v>-1793.9999999999991</v>
      </c>
      <c r="G138" s="39">
        <f t="shared" si="30"/>
        <v>20706</v>
      </c>
      <c r="H138" s="226">
        <f t="shared" si="31"/>
        <v>-8.6641553172993296E-2</v>
      </c>
      <c r="I138" s="10"/>
      <c r="J138" s="39">
        <v>-1117</v>
      </c>
    </row>
    <row r="139" spans="1:10" x14ac:dyDescent="0.25">
      <c r="A139">
        <v>200</v>
      </c>
      <c r="B139" s="188">
        <v>42866</v>
      </c>
      <c r="C139" s="10">
        <v>350</v>
      </c>
      <c r="D139" s="39">
        <v>67.884799999999998</v>
      </c>
      <c r="E139" s="39">
        <v>61.68</v>
      </c>
      <c r="F139" s="39">
        <f t="shared" si="29"/>
        <v>-2171.6799999999994</v>
      </c>
      <c r="G139" s="39">
        <f t="shared" si="30"/>
        <v>23759.68</v>
      </c>
      <c r="H139" s="226">
        <f t="shared" si="31"/>
        <v>-9.1401904402752879E-2</v>
      </c>
      <c r="I139" s="10"/>
      <c r="J139" s="39">
        <v>-1496</v>
      </c>
    </row>
    <row r="140" spans="1:10" x14ac:dyDescent="0.25">
      <c r="A140">
        <v>200</v>
      </c>
      <c r="B140" s="188">
        <v>42887</v>
      </c>
      <c r="C140" s="10">
        <v>400</v>
      </c>
      <c r="D140" s="39">
        <v>65.906700000000001</v>
      </c>
      <c r="E140" s="39">
        <v>52.41</v>
      </c>
      <c r="F140" s="39">
        <f t="shared" si="29"/>
        <v>-5398.6800000000021</v>
      </c>
      <c r="G140" s="39">
        <f t="shared" si="30"/>
        <v>26362.68</v>
      </c>
      <c r="H140" s="226">
        <f t="shared" si="31"/>
        <v>-0.20478494599183397</v>
      </c>
      <c r="I140" s="10"/>
      <c r="J140" s="39">
        <v>-4723</v>
      </c>
    </row>
    <row r="141" spans="1:10" x14ac:dyDescent="0.25">
      <c r="A141">
        <v>150</v>
      </c>
      <c r="B141" s="188">
        <v>42894</v>
      </c>
      <c r="C141" s="10">
        <v>350</v>
      </c>
      <c r="D141" s="39">
        <v>67.179299999999998</v>
      </c>
      <c r="E141" s="39">
        <v>56.97</v>
      </c>
      <c r="F141" s="39">
        <f t="shared" si="29"/>
        <v>-3573.2549999999997</v>
      </c>
      <c r="G141" s="39">
        <f t="shared" si="30"/>
        <v>23512.755000000001</v>
      </c>
      <c r="H141" s="226">
        <f t="shared" si="31"/>
        <v>-0.15197091961363096</v>
      </c>
      <c r="I141" s="10"/>
      <c r="J141" s="39">
        <v>-2897</v>
      </c>
    </row>
    <row r="142" spans="1:10" x14ac:dyDescent="0.25">
      <c r="A142">
        <v>250</v>
      </c>
      <c r="B142" s="188">
        <v>42917</v>
      </c>
      <c r="C142" s="10">
        <v>250</v>
      </c>
      <c r="D142" s="39">
        <v>68.349999999999994</v>
      </c>
      <c r="E142" s="39">
        <v>63.24</v>
      </c>
      <c r="F142" s="39">
        <f t="shared" si="29"/>
        <v>-1277.4999999999982</v>
      </c>
      <c r="G142" s="39">
        <f t="shared" si="30"/>
        <v>17087.5</v>
      </c>
      <c r="H142" s="226">
        <f t="shared" si="31"/>
        <v>-7.47622531089977E-2</v>
      </c>
      <c r="I142" s="10"/>
      <c r="J142" s="39">
        <v>-602</v>
      </c>
    </row>
    <row r="143" spans="1:10" x14ac:dyDescent="0.25">
      <c r="A143">
        <v>250</v>
      </c>
      <c r="B143" s="188">
        <v>42949</v>
      </c>
      <c r="C143" s="10">
        <v>300</v>
      </c>
      <c r="D143" s="39">
        <v>66.836299999999994</v>
      </c>
      <c r="E143" s="39">
        <v>58.88</v>
      </c>
      <c r="F143" s="39">
        <f t="shared" si="29"/>
        <v>-2386.8899999999976</v>
      </c>
      <c r="G143" s="39">
        <f t="shared" si="30"/>
        <v>20050.89</v>
      </c>
      <c r="H143" s="226">
        <f t="shared" si="31"/>
        <v>-0.11904159865222928</v>
      </c>
      <c r="I143" s="10"/>
      <c r="J143" s="39">
        <v>-1711</v>
      </c>
    </row>
    <row r="144" spans="1:10" x14ac:dyDescent="0.25">
      <c r="A144">
        <v>250</v>
      </c>
      <c r="B144" s="188">
        <v>42957</v>
      </c>
      <c r="C144" s="10">
        <v>350</v>
      </c>
      <c r="D144" s="39">
        <v>65.256900000000002</v>
      </c>
      <c r="E144" s="39">
        <v>55.65</v>
      </c>
      <c r="F144" s="39">
        <f t="shared" si="29"/>
        <v>-3362.4150000000009</v>
      </c>
      <c r="G144" s="39">
        <f t="shared" si="30"/>
        <v>22839.915000000001</v>
      </c>
      <c r="H144" s="226">
        <f t="shared" si="31"/>
        <v>-0.14721661617392187</v>
      </c>
      <c r="I144" s="10"/>
      <c r="J144" s="39">
        <v>-2686</v>
      </c>
    </row>
    <row r="145" spans="1:10" x14ac:dyDescent="0.25">
      <c r="A145">
        <v>150</v>
      </c>
      <c r="B145" s="188">
        <v>42972</v>
      </c>
      <c r="C145" s="10">
        <v>350</v>
      </c>
      <c r="D145" s="39">
        <v>64.94</v>
      </c>
      <c r="E145" s="39">
        <v>62.68</v>
      </c>
      <c r="F145" s="39">
        <f t="shared" si="29"/>
        <v>-790.99999999999932</v>
      </c>
      <c r="G145" s="39">
        <f t="shared" si="30"/>
        <v>22729</v>
      </c>
      <c r="H145" s="226">
        <f t="shared" si="31"/>
        <v>-3.4801355097012598E-2</v>
      </c>
      <c r="I145" s="10"/>
      <c r="J145" s="39">
        <v>-114</v>
      </c>
    </row>
    <row r="146" spans="1:10" x14ac:dyDescent="0.25">
      <c r="A146">
        <v>150</v>
      </c>
      <c r="B146" s="188">
        <v>42978</v>
      </c>
      <c r="C146" s="10">
        <v>350</v>
      </c>
      <c r="D146" s="39">
        <v>64.715999999999994</v>
      </c>
      <c r="E146" s="39">
        <v>62.68</v>
      </c>
      <c r="F146" s="39">
        <f t="shared" si="29"/>
        <v>-712.59999999999798</v>
      </c>
      <c r="G146" s="39">
        <f t="shared" si="30"/>
        <v>22650.6</v>
      </c>
      <c r="H146" s="226">
        <f t="shared" si="31"/>
        <v>-3.1460535261758987E-2</v>
      </c>
      <c r="I146" s="10"/>
      <c r="J146" s="39">
        <v>-576</v>
      </c>
    </row>
    <row r="147" spans="1:10" x14ac:dyDescent="0.25">
      <c r="A147">
        <v>200</v>
      </c>
      <c r="B147" s="188">
        <v>42980</v>
      </c>
      <c r="C147" s="10">
        <v>350</v>
      </c>
      <c r="D147" s="39">
        <v>64.715999999999994</v>
      </c>
      <c r="E147" s="39">
        <v>64.36</v>
      </c>
      <c r="F147" s="39">
        <f t="shared" si="29"/>
        <v>-124.59999999999809</v>
      </c>
      <c r="G147" s="39">
        <f t="shared" si="30"/>
        <v>22650.6</v>
      </c>
      <c r="H147" s="226">
        <f t="shared" si="31"/>
        <v>-5.500958032016728E-3</v>
      </c>
      <c r="I147" s="10"/>
      <c r="J147" s="39">
        <v>551</v>
      </c>
    </row>
    <row r="148" spans="1:10" x14ac:dyDescent="0.25">
      <c r="A148">
        <v>50</v>
      </c>
      <c r="B148" s="188">
        <v>42984</v>
      </c>
      <c r="C148" s="7">
        <v>200</v>
      </c>
      <c r="D148" s="43">
        <v>64.218900000000005</v>
      </c>
      <c r="E148" s="39">
        <v>65.2</v>
      </c>
      <c r="F148" s="39">
        <f t="shared" si="29"/>
        <v>196.21999999999957</v>
      </c>
      <c r="G148" s="39">
        <f t="shared" si="30"/>
        <v>12843.78</v>
      </c>
      <c r="H148" s="226">
        <f t="shared" si="31"/>
        <v>1.5277433901857519E-2</v>
      </c>
      <c r="I148" s="10"/>
      <c r="J148" s="39">
        <v>872</v>
      </c>
    </row>
    <row r="149" spans="1:10" x14ac:dyDescent="0.25">
      <c r="A149">
        <v>0</v>
      </c>
      <c r="B149" s="188">
        <v>42989</v>
      </c>
      <c r="C149" s="232">
        <v>100</v>
      </c>
      <c r="D149" s="233">
        <v>61.66</v>
      </c>
      <c r="E149" s="39">
        <v>66.239999999999995</v>
      </c>
      <c r="F149" s="39">
        <f t="shared" si="29"/>
        <v>457.99999999999983</v>
      </c>
      <c r="G149" s="39">
        <f t="shared" si="30"/>
        <v>6166</v>
      </c>
      <c r="H149" s="226">
        <f t="shared" si="31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8">
        <v>42998</v>
      </c>
      <c r="C150" s="7">
        <v>200</v>
      </c>
      <c r="D150" s="43">
        <v>63.494700000000002</v>
      </c>
      <c r="E150" s="39">
        <v>64.91</v>
      </c>
      <c r="F150" s="39">
        <f t="shared" si="29"/>
        <v>283.05999999999898</v>
      </c>
      <c r="G150" s="39">
        <f t="shared" si="30"/>
        <v>12698.94</v>
      </c>
      <c r="H150" s="226">
        <f t="shared" si="31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6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6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6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6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6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6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6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6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6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6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6" t="s">
        <v>1</v>
      </c>
      <c r="B178" s="256" t="s">
        <v>2</v>
      </c>
      <c r="C178" s="256" t="s">
        <v>4</v>
      </c>
      <c r="D178" s="257" t="s">
        <v>5</v>
      </c>
      <c r="E178" s="257" t="s">
        <v>94</v>
      </c>
      <c r="F178" s="257" t="s">
        <v>60</v>
      </c>
      <c r="G178" s="256" t="s">
        <v>3</v>
      </c>
      <c r="H178" s="256" t="s">
        <v>6</v>
      </c>
      <c r="I178" s="256" t="s">
        <v>7</v>
      </c>
      <c r="J178" s="256" t="s">
        <v>95</v>
      </c>
      <c r="K178" s="257" t="s">
        <v>61</v>
      </c>
      <c r="L178" s="256" t="s">
        <v>77</v>
      </c>
      <c r="M178" s="256" t="s">
        <v>38</v>
      </c>
    </row>
    <row r="179" spans="1:13" x14ac:dyDescent="0.25">
      <c r="A179" s="258" t="s">
        <v>215</v>
      </c>
      <c r="B179" s="259">
        <v>42516</v>
      </c>
      <c r="C179" s="254">
        <v>20</v>
      </c>
      <c r="D179" s="255">
        <v>96.2</v>
      </c>
      <c r="E179" s="255">
        <v>0</v>
      </c>
      <c r="F179" s="255">
        <f t="shared" ref="F179:F184" si="32">C179*D179 + E179</f>
        <v>1924</v>
      </c>
      <c r="G179" s="259">
        <v>42516</v>
      </c>
      <c r="H179" s="254">
        <v>20</v>
      </c>
      <c r="I179" s="255">
        <v>88.99</v>
      </c>
      <c r="J179" s="255">
        <v>0.04</v>
      </c>
      <c r="K179" s="255">
        <f t="shared" ref="K179:K184" si="33">H179*I179 - J179</f>
        <v>1779.76</v>
      </c>
      <c r="L179" s="259">
        <v>42608</v>
      </c>
      <c r="M179" s="254">
        <v>13</v>
      </c>
    </row>
    <row r="180" spans="1:13" x14ac:dyDescent="0.25">
      <c r="A180" s="261" t="s">
        <v>71</v>
      </c>
      <c r="B180" s="448">
        <v>42527</v>
      </c>
      <c r="C180" s="254">
        <v>25</v>
      </c>
      <c r="D180" s="255">
        <v>85.59</v>
      </c>
      <c r="E180" s="255">
        <v>0</v>
      </c>
      <c r="F180" s="255">
        <f t="shared" si="32"/>
        <v>2139.75</v>
      </c>
      <c r="G180" s="259">
        <v>42541</v>
      </c>
      <c r="H180" s="260">
        <v>25</v>
      </c>
      <c r="I180" s="255">
        <v>86.59</v>
      </c>
      <c r="J180" s="255">
        <v>0.05</v>
      </c>
      <c r="K180" s="255">
        <f t="shared" si="33"/>
        <v>2164.6999999999998</v>
      </c>
      <c r="L180" s="259">
        <v>42702</v>
      </c>
      <c r="M180" s="254">
        <v>7.8</v>
      </c>
    </row>
    <row r="181" spans="1:13" x14ac:dyDescent="0.25">
      <c r="A181" s="254"/>
      <c r="B181" s="448">
        <v>42535</v>
      </c>
      <c r="C181" s="254">
        <v>20</v>
      </c>
      <c r="D181" s="255">
        <v>82.75</v>
      </c>
      <c r="E181" s="255">
        <v>0</v>
      </c>
      <c r="F181" s="255">
        <f t="shared" si="32"/>
        <v>1655</v>
      </c>
      <c r="G181" s="259">
        <v>42552</v>
      </c>
      <c r="H181" s="260">
        <v>20</v>
      </c>
      <c r="I181" s="255">
        <v>83.98</v>
      </c>
      <c r="J181" s="255">
        <v>0.04</v>
      </c>
      <c r="K181" s="255">
        <f t="shared" si="33"/>
        <v>1679.5600000000002</v>
      </c>
      <c r="L181" s="254"/>
      <c r="M181" s="254"/>
    </row>
    <row r="182" spans="1:13" x14ac:dyDescent="0.25">
      <c r="A182" s="254"/>
      <c r="B182" s="259">
        <v>42535</v>
      </c>
      <c r="C182" s="254">
        <v>5</v>
      </c>
      <c r="D182" s="255">
        <v>82.75</v>
      </c>
      <c r="E182" s="255">
        <v>0</v>
      </c>
      <c r="F182" s="255">
        <f t="shared" si="32"/>
        <v>413.75</v>
      </c>
      <c r="G182" s="259">
        <v>42569</v>
      </c>
      <c r="H182" s="260">
        <v>5</v>
      </c>
      <c r="I182" s="255">
        <v>92</v>
      </c>
      <c r="J182" s="255">
        <v>0.01</v>
      </c>
      <c r="K182" s="255">
        <f t="shared" si="33"/>
        <v>459.99</v>
      </c>
      <c r="L182" s="254"/>
      <c r="M182" s="254"/>
    </row>
    <row r="183" spans="1:13" x14ac:dyDescent="0.25">
      <c r="A183" s="254"/>
      <c r="B183" s="259">
        <v>42548</v>
      </c>
      <c r="C183" s="254">
        <v>20</v>
      </c>
      <c r="D183" s="255">
        <v>78.48</v>
      </c>
      <c r="E183" s="255">
        <v>0</v>
      </c>
      <c r="F183" s="255">
        <f t="shared" si="32"/>
        <v>1569.6000000000001</v>
      </c>
      <c r="G183" s="259">
        <v>42580</v>
      </c>
      <c r="H183" s="260">
        <v>20</v>
      </c>
      <c r="I183" s="255">
        <v>87.72</v>
      </c>
      <c r="J183" s="255">
        <v>0.04</v>
      </c>
      <c r="K183" s="255">
        <f t="shared" si="33"/>
        <v>1754.3600000000001</v>
      </c>
      <c r="L183" s="254"/>
      <c r="M183" s="254"/>
    </row>
    <row r="184" spans="1:13" x14ac:dyDescent="0.25">
      <c r="A184" s="254"/>
      <c r="B184" s="259">
        <v>42548</v>
      </c>
      <c r="C184" s="254">
        <v>30</v>
      </c>
      <c r="D184" s="255">
        <v>78.48</v>
      </c>
      <c r="E184" s="255">
        <v>0</v>
      </c>
      <c r="F184" s="255">
        <f t="shared" si="32"/>
        <v>2354.4</v>
      </c>
      <c r="G184" s="259">
        <v>42580</v>
      </c>
      <c r="H184" s="260">
        <v>30</v>
      </c>
      <c r="I184" s="255">
        <v>87.97</v>
      </c>
      <c r="J184" s="255">
        <v>-0.02</v>
      </c>
      <c r="K184" s="255">
        <f t="shared" si="33"/>
        <v>2639.12</v>
      </c>
      <c r="L184" s="254"/>
      <c r="M184" s="254"/>
    </row>
    <row r="185" spans="1:13" x14ac:dyDescent="0.25">
      <c r="A185" s="254"/>
      <c r="B185" s="259">
        <v>42608</v>
      </c>
      <c r="C185" s="254">
        <v>25</v>
      </c>
      <c r="D185" s="255">
        <v>78.95</v>
      </c>
      <c r="E185" s="255">
        <v>0</v>
      </c>
      <c r="F185" s="255">
        <v>1973.75</v>
      </c>
      <c r="G185" s="259">
        <v>42648</v>
      </c>
      <c r="H185" s="260">
        <v>25</v>
      </c>
      <c r="I185" s="255">
        <v>78.959999999999994</v>
      </c>
      <c r="J185" s="255">
        <v>0.04</v>
      </c>
      <c r="K185" s="255">
        <v>1973.9599999999998</v>
      </c>
      <c r="L185" s="254"/>
      <c r="M185" s="254"/>
    </row>
    <row r="186" spans="1:13" x14ac:dyDescent="0.25">
      <c r="A186" s="254"/>
      <c r="B186" s="259">
        <v>42640</v>
      </c>
      <c r="C186" s="254">
        <v>30</v>
      </c>
      <c r="D186" s="255">
        <v>74.28</v>
      </c>
      <c r="E186" s="255">
        <v>0</v>
      </c>
      <c r="F186" s="255">
        <v>2228.4</v>
      </c>
      <c r="G186" s="259">
        <v>42671</v>
      </c>
      <c r="H186" s="260">
        <v>30</v>
      </c>
      <c r="I186" s="255">
        <v>82.08</v>
      </c>
      <c r="J186" s="255">
        <v>0.05</v>
      </c>
      <c r="K186" s="255">
        <v>2462.35</v>
      </c>
      <c r="L186" s="254"/>
      <c r="M186" s="254"/>
    </row>
    <row r="187" spans="1:13" x14ac:dyDescent="0.25">
      <c r="A187" s="254"/>
      <c r="B187" s="259"/>
      <c r="C187" s="254"/>
      <c r="D187" s="255"/>
      <c r="E187" s="255"/>
      <c r="F187" s="255"/>
      <c r="G187" s="259"/>
      <c r="H187" s="260"/>
      <c r="I187" s="254"/>
      <c r="J187" s="254"/>
      <c r="K187" s="255"/>
      <c r="L187" s="254"/>
      <c r="M187" s="254"/>
    </row>
    <row r="188" spans="1:13" x14ac:dyDescent="0.25">
      <c r="A188" s="254"/>
      <c r="B188" s="650">
        <v>42746</v>
      </c>
      <c r="C188" s="649">
        <v>30</v>
      </c>
      <c r="D188" s="651">
        <v>81.81</v>
      </c>
      <c r="E188" s="651">
        <v>0</v>
      </c>
      <c r="F188" s="651">
        <f t="shared" ref="F188:F203" si="34">C188*D188+E188</f>
        <v>2454.3000000000002</v>
      </c>
      <c r="G188" s="650">
        <v>42746</v>
      </c>
      <c r="H188" s="649">
        <v>30</v>
      </c>
      <c r="I188" s="651">
        <v>81.599999999999994</v>
      </c>
      <c r="J188" s="651">
        <v>0.05</v>
      </c>
      <c r="K188" s="651">
        <f t="shared" ref="K188:K196" si="35">H188*I188-J188</f>
        <v>2447.9499999999998</v>
      </c>
      <c r="L188" s="650">
        <v>42794</v>
      </c>
      <c r="M188" s="651">
        <v>13</v>
      </c>
    </row>
    <row r="189" spans="1:13" x14ac:dyDescent="0.25">
      <c r="A189" s="254"/>
      <c r="B189" s="740">
        <v>42748</v>
      </c>
      <c r="C189" s="649">
        <v>20</v>
      </c>
      <c r="D189" s="651">
        <v>80.010000000000005</v>
      </c>
      <c r="E189" s="651">
        <v>0</v>
      </c>
      <c r="F189" s="651">
        <f t="shared" si="34"/>
        <v>1600.2</v>
      </c>
      <c r="G189" s="650">
        <v>42803</v>
      </c>
      <c r="H189" s="741">
        <v>100</v>
      </c>
      <c r="I189" s="651">
        <v>69.58</v>
      </c>
      <c r="J189" s="651">
        <v>0.15</v>
      </c>
      <c r="K189" s="651">
        <f t="shared" si="35"/>
        <v>6957.85</v>
      </c>
      <c r="L189" s="650">
        <v>42887</v>
      </c>
      <c r="M189" s="651">
        <v>62</v>
      </c>
    </row>
    <row r="190" spans="1:13" x14ac:dyDescent="0.25">
      <c r="A190" s="254"/>
      <c r="B190" s="740">
        <v>42754</v>
      </c>
      <c r="C190" s="649">
        <v>30</v>
      </c>
      <c r="D190" s="651">
        <v>80.88</v>
      </c>
      <c r="E190" s="651">
        <v>0</v>
      </c>
      <c r="F190" s="651">
        <f t="shared" si="34"/>
        <v>2426.3999999999996</v>
      </c>
      <c r="G190" s="650">
        <v>42804</v>
      </c>
      <c r="H190" s="741">
        <v>25</v>
      </c>
      <c r="I190" s="651">
        <v>72.58</v>
      </c>
      <c r="J190" s="651">
        <v>0.04</v>
      </c>
      <c r="K190" s="651">
        <f t="shared" si="35"/>
        <v>1814.46</v>
      </c>
      <c r="L190" s="650">
        <v>42978</v>
      </c>
      <c r="M190" s="651">
        <v>77.5</v>
      </c>
    </row>
    <row r="191" spans="1:13" x14ac:dyDescent="0.25">
      <c r="A191" s="254"/>
      <c r="B191" s="650">
        <v>42766</v>
      </c>
      <c r="C191" s="649">
        <v>25</v>
      </c>
      <c r="D191" s="651">
        <v>77</v>
      </c>
      <c r="E191" s="651">
        <v>0</v>
      </c>
      <c r="F191" s="651">
        <f t="shared" si="34"/>
        <v>1925</v>
      </c>
      <c r="G191" s="650">
        <v>42894</v>
      </c>
      <c r="H191" s="741">
        <v>50</v>
      </c>
      <c r="I191" s="651">
        <v>57</v>
      </c>
      <c r="J191" s="651">
        <v>0.06</v>
      </c>
      <c r="K191" s="651">
        <f t="shared" si="35"/>
        <v>2849.94</v>
      </c>
      <c r="L191" s="649"/>
      <c r="M191" s="649"/>
    </row>
    <row r="192" spans="1:13" x14ac:dyDescent="0.25">
      <c r="A192" s="254"/>
      <c r="B192" s="650">
        <v>42772</v>
      </c>
      <c r="C192" s="649">
        <v>25</v>
      </c>
      <c r="D192" s="651">
        <v>75.25</v>
      </c>
      <c r="E192" s="651">
        <v>0</v>
      </c>
      <c r="F192" s="651">
        <f t="shared" si="34"/>
        <v>1881.25</v>
      </c>
      <c r="G192" s="650">
        <v>42915</v>
      </c>
      <c r="H192" s="741">
        <v>100</v>
      </c>
      <c r="I192" s="651">
        <v>64.28</v>
      </c>
      <c r="J192" s="651">
        <v>0.15</v>
      </c>
      <c r="K192" s="651">
        <f t="shared" si="35"/>
        <v>6427.85</v>
      </c>
      <c r="L192" s="649"/>
      <c r="M192" s="649"/>
    </row>
    <row r="193" spans="1:13" x14ac:dyDescent="0.25">
      <c r="A193" s="254"/>
      <c r="B193" s="650">
        <v>42773</v>
      </c>
      <c r="C193" s="649">
        <v>25</v>
      </c>
      <c r="D193" s="651">
        <v>73.08</v>
      </c>
      <c r="E193" s="651">
        <v>0</v>
      </c>
      <c r="F193" s="651">
        <f t="shared" si="34"/>
        <v>1827</v>
      </c>
      <c r="G193" s="650">
        <v>42972</v>
      </c>
      <c r="H193" s="741">
        <v>100</v>
      </c>
      <c r="I193" s="651">
        <v>64</v>
      </c>
      <c r="J193" s="651">
        <v>0.15</v>
      </c>
      <c r="K193" s="651">
        <f t="shared" si="35"/>
        <v>6399.85</v>
      </c>
      <c r="L193" s="649"/>
      <c r="M193" s="649"/>
    </row>
    <row r="194" spans="1:13" x14ac:dyDescent="0.25">
      <c r="A194" s="254"/>
      <c r="B194" s="650">
        <v>42794</v>
      </c>
      <c r="C194" s="649">
        <v>50</v>
      </c>
      <c r="D194" s="651">
        <v>69.05</v>
      </c>
      <c r="E194" s="651">
        <v>0</v>
      </c>
      <c r="F194" s="651">
        <f t="shared" si="34"/>
        <v>3452.5</v>
      </c>
      <c r="G194" s="650">
        <v>42984</v>
      </c>
      <c r="H194" s="741">
        <v>150</v>
      </c>
      <c r="I194" s="651">
        <v>65.38</v>
      </c>
      <c r="J194" s="651">
        <v>0.23</v>
      </c>
      <c r="K194" s="651">
        <f t="shared" si="35"/>
        <v>9806.77</v>
      </c>
      <c r="L194" s="649"/>
      <c r="M194" s="649"/>
    </row>
    <row r="195" spans="1:13" x14ac:dyDescent="0.25">
      <c r="A195" s="254"/>
      <c r="B195" s="650">
        <v>42794</v>
      </c>
      <c r="C195" s="649">
        <v>50</v>
      </c>
      <c r="D195" s="651">
        <v>68.77</v>
      </c>
      <c r="E195" s="651">
        <v>0</v>
      </c>
      <c r="F195" s="651">
        <f t="shared" si="34"/>
        <v>3438.5</v>
      </c>
      <c r="G195" s="650">
        <v>42989</v>
      </c>
      <c r="H195" s="741">
        <v>100</v>
      </c>
      <c r="I195" s="651">
        <v>66.78</v>
      </c>
      <c r="J195" s="651">
        <v>0.15</v>
      </c>
      <c r="K195" s="651">
        <f t="shared" si="35"/>
        <v>6677.85</v>
      </c>
      <c r="L195" s="649"/>
      <c r="M195" s="649"/>
    </row>
    <row r="196" spans="1:13" x14ac:dyDescent="0.25">
      <c r="A196" s="254"/>
      <c r="B196" s="650">
        <v>42794</v>
      </c>
      <c r="C196" s="649">
        <v>50</v>
      </c>
      <c r="D196" s="651">
        <v>65.38</v>
      </c>
      <c r="E196" s="651">
        <v>0</v>
      </c>
      <c r="F196" s="651">
        <f t="shared" si="34"/>
        <v>3269</v>
      </c>
      <c r="G196" s="650">
        <v>43005</v>
      </c>
      <c r="H196" s="741">
        <v>100</v>
      </c>
      <c r="I196" s="651">
        <v>66.48</v>
      </c>
      <c r="J196" s="651">
        <v>0.15</v>
      </c>
      <c r="K196" s="651">
        <f t="shared" si="35"/>
        <v>6647.85</v>
      </c>
      <c r="L196" s="649"/>
      <c r="M196" s="649"/>
    </row>
    <row r="197" spans="1:13" x14ac:dyDescent="0.25">
      <c r="A197" s="254"/>
      <c r="B197" s="650">
        <v>42794</v>
      </c>
      <c r="C197" s="649">
        <v>25</v>
      </c>
      <c r="D197" s="651">
        <v>63.28</v>
      </c>
      <c r="E197" s="651">
        <v>0</v>
      </c>
      <c r="F197" s="651">
        <f t="shared" si="34"/>
        <v>1582</v>
      </c>
      <c r="G197" s="650"/>
      <c r="H197" s="741"/>
      <c r="I197" s="649"/>
      <c r="J197" s="649"/>
      <c r="K197" s="651"/>
      <c r="L197" s="649"/>
      <c r="M197" s="649"/>
    </row>
    <row r="198" spans="1:13" x14ac:dyDescent="0.25">
      <c r="A198" s="254"/>
      <c r="B198" s="650">
        <v>42808</v>
      </c>
      <c r="C198" s="649">
        <v>25</v>
      </c>
      <c r="D198" s="651">
        <v>67.88</v>
      </c>
      <c r="E198" s="651">
        <v>0</v>
      </c>
      <c r="F198" s="651">
        <f t="shared" si="34"/>
        <v>1697</v>
      </c>
      <c r="G198" s="650"/>
      <c r="H198" s="741"/>
      <c r="I198" s="649"/>
      <c r="J198" s="649"/>
      <c r="K198" s="651"/>
      <c r="L198" s="649"/>
      <c r="M198" s="649"/>
    </row>
    <row r="199" spans="1:13" x14ac:dyDescent="0.25">
      <c r="A199" s="254"/>
      <c r="B199" s="650">
        <v>42865</v>
      </c>
      <c r="C199" s="649">
        <v>100</v>
      </c>
      <c r="D199" s="651">
        <v>63.85</v>
      </c>
      <c r="E199" s="651">
        <v>0</v>
      </c>
      <c r="F199" s="651">
        <f t="shared" si="34"/>
        <v>6385</v>
      </c>
      <c r="G199" s="650"/>
      <c r="H199" s="741"/>
      <c r="I199" s="651"/>
      <c r="J199" s="649"/>
      <c r="K199" s="651"/>
      <c r="L199" s="649"/>
      <c r="M199" s="649"/>
    </row>
    <row r="200" spans="1:13" x14ac:dyDescent="0.25">
      <c r="A200" s="254"/>
      <c r="B200" s="650">
        <v>42866</v>
      </c>
      <c r="C200" s="649">
        <v>50</v>
      </c>
      <c r="D200" s="651">
        <v>61.1</v>
      </c>
      <c r="E200" s="651">
        <v>-0.2</v>
      </c>
      <c r="F200" s="651">
        <f t="shared" si="34"/>
        <v>3054.8</v>
      </c>
      <c r="G200" s="650"/>
      <c r="H200" s="741"/>
      <c r="I200" s="649"/>
      <c r="J200" s="649"/>
      <c r="K200" s="651"/>
      <c r="L200" s="649"/>
      <c r="M200" s="649"/>
    </row>
    <row r="201" spans="1:13" x14ac:dyDescent="0.25">
      <c r="A201" s="254"/>
      <c r="B201" s="650">
        <v>42879</v>
      </c>
      <c r="C201" s="649">
        <v>50</v>
      </c>
      <c r="D201" s="651">
        <v>53.3</v>
      </c>
      <c r="E201" s="651">
        <v>0</v>
      </c>
      <c r="F201" s="651">
        <f t="shared" si="34"/>
        <v>2665</v>
      </c>
      <c r="G201" s="650"/>
      <c r="H201" s="741"/>
      <c r="I201" s="649"/>
      <c r="J201" s="649"/>
      <c r="K201" s="651"/>
      <c r="L201" s="649"/>
      <c r="M201" s="649"/>
    </row>
    <row r="202" spans="1:13" x14ac:dyDescent="0.25">
      <c r="A202" s="254"/>
      <c r="B202" s="650">
        <v>42949</v>
      </c>
      <c r="C202" s="649">
        <v>50</v>
      </c>
      <c r="D202" s="651">
        <v>59.32</v>
      </c>
      <c r="E202" s="651">
        <v>0</v>
      </c>
      <c r="F202" s="651">
        <f t="shared" si="34"/>
        <v>2966</v>
      </c>
      <c r="G202" s="650"/>
      <c r="H202" s="741"/>
      <c r="I202" s="649"/>
      <c r="J202" s="649"/>
      <c r="K202" s="651"/>
      <c r="L202" s="649"/>
      <c r="M202" s="649"/>
    </row>
    <row r="203" spans="1:13" x14ac:dyDescent="0.25">
      <c r="A203" s="254"/>
      <c r="B203" s="650">
        <v>42957</v>
      </c>
      <c r="C203" s="649">
        <v>50</v>
      </c>
      <c r="D203" s="651">
        <v>55.78</v>
      </c>
      <c r="E203" s="651">
        <v>0</v>
      </c>
      <c r="F203" s="651">
        <f t="shared" si="34"/>
        <v>2789</v>
      </c>
      <c r="G203" s="649"/>
      <c r="H203" s="649"/>
      <c r="I203" s="649"/>
      <c r="J203" s="649"/>
      <c r="K203" s="651"/>
      <c r="L203" s="649"/>
      <c r="M203" s="649"/>
    </row>
    <row r="204" spans="1:13" x14ac:dyDescent="0.25">
      <c r="A204" s="254"/>
      <c r="B204" s="650">
        <v>42972</v>
      </c>
      <c r="C204" s="649">
        <v>100</v>
      </c>
      <c r="D204" s="651">
        <v>62.88</v>
      </c>
      <c r="E204" s="651">
        <v>0</v>
      </c>
      <c r="F204" s="651">
        <f>C204*D204+E204</f>
        <v>6288</v>
      </c>
      <c r="G204" s="650"/>
      <c r="H204" s="741"/>
      <c r="I204" s="649"/>
      <c r="J204" s="649"/>
      <c r="K204" s="651"/>
      <c r="L204" s="649"/>
      <c r="M204" s="649"/>
    </row>
    <row r="205" spans="1:13" x14ac:dyDescent="0.25">
      <c r="A205" s="254"/>
      <c r="B205" s="259"/>
      <c r="C205" s="254"/>
      <c r="D205" s="255"/>
      <c r="E205" s="255"/>
      <c r="F205" s="255"/>
      <c r="G205" s="259"/>
      <c r="H205" s="260"/>
      <c r="I205" s="255"/>
      <c r="J205" s="254"/>
      <c r="K205" s="255"/>
      <c r="L205" s="254"/>
      <c r="M205" s="254"/>
    </row>
    <row r="206" spans="1:13" x14ac:dyDescent="0.25">
      <c r="A206" s="254"/>
      <c r="B206" s="259"/>
      <c r="C206" s="254"/>
      <c r="D206" s="255"/>
      <c r="E206" s="255"/>
      <c r="F206" s="255"/>
      <c r="G206" s="259"/>
      <c r="H206" s="260"/>
      <c r="I206" s="254"/>
      <c r="J206" s="254"/>
      <c r="K206" s="255"/>
      <c r="L206" s="254"/>
      <c r="M206" s="254"/>
    </row>
    <row r="207" spans="1:13" x14ac:dyDescent="0.25">
      <c r="A207" s="254"/>
      <c r="B207" s="254"/>
      <c r="C207" s="254"/>
      <c r="D207" s="255"/>
      <c r="E207" s="255"/>
      <c r="F207" s="255"/>
      <c r="G207" s="259"/>
      <c r="H207" s="260"/>
      <c r="I207" s="254"/>
      <c r="J207" s="254"/>
      <c r="K207" s="255"/>
      <c r="L207" s="254"/>
      <c r="M207" s="254"/>
    </row>
    <row r="208" spans="1:13" x14ac:dyDescent="0.25">
      <c r="A208" s="254"/>
      <c r="B208" s="259"/>
      <c r="C208" s="254"/>
      <c r="D208" s="255"/>
      <c r="E208" s="255"/>
      <c r="F208" s="255"/>
      <c r="G208" s="259"/>
      <c r="H208" s="260"/>
      <c r="I208" s="255"/>
      <c r="J208" s="254"/>
      <c r="K208" s="255"/>
      <c r="L208" s="254"/>
      <c r="M208" s="254"/>
    </row>
    <row r="209" spans="1:13" x14ac:dyDescent="0.25">
      <c r="A209" s="254"/>
      <c r="B209" s="259"/>
      <c r="C209" s="254"/>
      <c r="D209" s="255"/>
      <c r="E209" s="255"/>
      <c r="F209" s="255"/>
      <c r="G209" s="259"/>
      <c r="H209" s="260"/>
      <c r="I209" s="254"/>
      <c r="J209" s="254"/>
      <c r="K209" s="255"/>
      <c r="L209" s="254"/>
      <c r="M209" s="254"/>
    </row>
    <row r="210" spans="1:13" x14ac:dyDescent="0.25">
      <c r="A210" s="254"/>
      <c r="B210" s="254"/>
      <c r="C210" s="254"/>
      <c r="D210" s="255"/>
      <c r="E210" s="255"/>
      <c r="F210" s="255"/>
      <c r="G210" s="259"/>
      <c r="H210" s="260"/>
      <c r="I210" s="254"/>
      <c r="J210" s="254"/>
      <c r="K210" s="255"/>
      <c r="L210" s="254"/>
      <c r="M210" s="254"/>
    </row>
    <row r="211" spans="1:13" x14ac:dyDescent="0.25">
      <c r="A211" s="254"/>
      <c r="B211" s="254"/>
      <c r="C211" s="254"/>
      <c r="D211" s="255"/>
      <c r="E211" s="255"/>
      <c r="F211" s="255"/>
      <c r="G211" s="259"/>
      <c r="H211" s="260"/>
      <c r="I211" s="254"/>
      <c r="J211" s="254"/>
      <c r="K211" s="255"/>
      <c r="L211" s="254"/>
      <c r="M211" s="254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50" t="s">
        <v>194</v>
      </c>
      <c r="B213" s="451"/>
      <c r="C213" s="452">
        <f>SumByColor($A$23,C179:C211)</f>
        <v>0</v>
      </c>
      <c r="D213" s="452"/>
      <c r="E213" s="452"/>
      <c r="F213" s="453">
        <f>SumByColor($A$23,F179:F211)</f>
        <v>0</v>
      </c>
      <c r="G213" s="452"/>
      <c r="H213" s="452">
        <f>SumByColor($A$23,H179:H211)</f>
        <v>0</v>
      </c>
      <c r="I213" s="452"/>
      <c r="J213" s="452"/>
      <c r="K213" s="453">
        <f>SumByColor($A$23,K179:K211)</f>
        <v>0</v>
      </c>
      <c r="L213" s="452"/>
      <c r="M213" s="453">
        <f>SumByColor($A$23,M179:M211)</f>
        <v>0</v>
      </c>
    </row>
  </sheetData>
  <conditionalFormatting sqref="N23">
    <cfRule type="expression" dxfId="1967" priority="54">
      <formula>N23&gt;0</formula>
    </cfRule>
    <cfRule type="expression" dxfId="1966" priority="55">
      <formula>N23&lt;0</formula>
    </cfRule>
  </conditionalFormatting>
  <conditionalFormatting sqref="O40:O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1965" priority="48">
      <formula>F79&gt;0</formula>
    </cfRule>
    <cfRule type="expression" dxfId="1964" priority="49">
      <formula>F79&lt;0</formula>
    </cfRule>
  </conditionalFormatting>
  <conditionalFormatting sqref="H79:H97 H101:H118">
    <cfRule type="expression" dxfId="1963" priority="46">
      <formula>H79&gt;0</formula>
    </cfRule>
    <cfRule type="expression" dxfId="1962" priority="47">
      <formula>H79&lt;0</formula>
    </cfRule>
  </conditionalFormatting>
  <conditionalFormatting sqref="I75:I97 I100:I118">
    <cfRule type="expression" dxfId="1961" priority="44">
      <formula>I75&gt;0</formula>
    </cfRule>
    <cfRule type="expression" dxfId="1960" priority="45">
      <formula>I75&lt;0</formula>
    </cfRule>
  </conditionalFormatting>
  <conditionalFormatting sqref="Q7">
    <cfRule type="expression" dxfId="1959" priority="42">
      <formula>Q7&gt;0</formula>
    </cfRule>
    <cfRule type="expression" dxfId="1958" priority="43">
      <formula>Q7&lt;0</formula>
    </cfRule>
  </conditionalFormatting>
  <conditionalFormatting sqref="Q8">
    <cfRule type="expression" dxfId="1957" priority="40">
      <formula>Q8&gt;0</formula>
    </cfRule>
    <cfRule type="expression" dxfId="1956" priority="41">
      <formula>Q8&lt;0</formula>
    </cfRule>
  </conditionalFormatting>
  <conditionalFormatting sqref="F75:F78">
    <cfRule type="expression" dxfId="1955" priority="38">
      <formula>F75&gt;0</formula>
    </cfRule>
    <cfRule type="expression" dxfId="1954" priority="39">
      <formula>F75&lt;0</formula>
    </cfRule>
  </conditionalFormatting>
  <conditionalFormatting sqref="H75:H78">
    <cfRule type="expression" dxfId="1953" priority="36">
      <formula>H75&gt;0</formula>
    </cfRule>
    <cfRule type="expression" dxfId="1952" priority="37">
      <formula>H75&lt;0</formula>
    </cfRule>
  </conditionalFormatting>
  <conditionalFormatting sqref="F100:F114">
    <cfRule type="expression" dxfId="1951" priority="30">
      <formula>F100&gt;0</formula>
    </cfRule>
    <cfRule type="expression" dxfId="1950" priority="31">
      <formula>F100&lt;0</formula>
    </cfRule>
  </conditionalFormatting>
  <conditionalFormatting sqref="H100:H114">
    <cfRule type="expression" dxfId="1949" priority="28">
      <formula>H100&gt;0</formula>
    </cfRule>
    <cfRule type="expression" dxfId="1948" priority="29">
      <formula>H100&lt;0</formula>
    </cfRule>
  </conditionalFormatting>
  <conditionalFormatting sqref="F29:F61">
    <cfRule type="expression" dxfId="1947" priority="26">
      <formula>F29&gt;0</formula>
    </cfRule>
    <cfRule type="expression" dxfId="1946" priority="27">
      <formula>F29&lt;0</formula>
    </cfRule>
  </conditionalFormatting>
  <conditionalFormatting sqref="H29:H61">
    <cfRule type="expression" dxfId="1945" priority="24">
      <formula>H29&gt;0</formula>
    </cfRule>
    <cfRule type="expression" dxfId="1944" priority="25">
      <formula>H29&lt;0</formula>
    </cfRule>
  </conditionalFormatting>
  <conditionalFormatting sqref="J38:J68">
    <cfRule type="expression" dxfId="1943" priority="22">
      <formula>J38&gt;0</formula>
    </cfRule>
    <cfRule type="expression" dxfId="1942" priority="23">
      <formula>J38&lt;0</formula>
    </cfRule>
  </conditionalFormatting>
  <conditionalFormatting sqref="J43">
    <cfRule type="expression" dxfId="1941" priority="20">
      <formula>J43&gt;0</formula>
    </cfRule>
    <cfRule type="expression" dxfId="1940" priority="21">
      <formula>J43&lt;0</formula>
    </cfRule>
  </conditionalFormatting>
  <conditionalFormatting sqref="Q9">
    <cfRule type="expression" dxfId="1939" priority="14">
      <formula>Q9&gt;0</formula>
    </cfRule>
    <cfRule type="expression" dxfId="1938" priority="15">
      <formula>Q9&lt;0</formula>
    </cfRule>
  </conditionalFormatting>
  <conditionalFormatting sqref="R4">
    <cfRule type="expression" dxfId="1937" priority="16">
      <formula>R4&gt;0</formula>
    </cfRule>
    <cfRule type="expression" dxfId="1936" priority="17">
      <formula>R4&lt;0</formula>
    </cfRule>
  </conditionalFormatting>
  <conditionalFormatting sqref="W15:W2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1935" priority="11">
      <formula>F120&gt;0</formula>
    </cfRule>
    <cfRule type="expression" dxfId="1934" priority="12">
      <formula>F120&lt;0</formula>
    </cfRule>
  </conditionalFormatting>
  <conditionalFormatting sqref="H120:H160">
    <cfRule type="expression" dxfId="1933" priority="9">
      <formula>H120&gt;0</formula>
    </cfRule>
    <cfRule type="expression" dxfId="1932" priority="10">
      <formula>H120&lt;0</formula>
    </cfRule>
  </conditionalFormatting>
  <conditionalFormatting sqref="J129:J160">
    <cfRule type="expression" dxfId="1931" priority="7">
      <formula>J129&gt;0</formula>
    </cfRule>
    <cfRule type="expression" dxfId="1930" priority="8">
      <formula>J129&lt;0</formula>
    </cfRule>
  </conditionalFormatting>
  <conditionalFormatting sqref="J134">
    <cfRule type="expression" dxfId="1929" priority="5">
      <formula>J134&gt;0</formula>
    </cfRule>
    <cfRule type="expression" dxfId="1928" priority="6">
      <formula>J134&lt;0</formula>
    </cfRule>
  </conditionalFormatting>
  <conditionalFormatting sqref="J31:J40">
    <cfRule type="expression" dxfId="1927" priority="3">
      <formula>J31&gt;0</formula>
    </cfRule>
    <cfRule type="expression" dxfId="1926" priority="4">
      <formula>J31&lt;0</formula>
    </cfRule>
  </conditionalFormatting>
  <conditionalFormatting sqref="J36:J37">
    <cfRule type="expression" dxfId="1925" priority="1">
      <formula>J36&gt;0</formula>
    </cfRule>
    <cfRule type="expression" dxfId="1924" priority="2">
      <formula>J36&lt;0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7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156.41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9"/>
      <c r="AN3" s="229"/>
    </row>
    <row r="4" spans="1:40" x14ac:dyDescent="0.25">
      <c r="B4" s="357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156.41</v>
      </c>
      <c r="R4" s="504">
        <v>1.2200000000000001E-2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9"/>
      <c r="AN5" s="229"/>
    </row>
    <row r="6" spans="1:40" x14ac:dyDescent="0.25">
      <c r="B6" s="160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9"/>
      <c r="AN6" s="229"/>
    </row>
    <row r="7" spans="1:40" x14ac:dyDescent="0.25">
      <c r="B7" s="160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9"/>
      <c r="AN7" s="229"/>
    </row>
    <row r="8" spans="1:40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9"/>
      <c r="AN8" s="229"/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154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80"/>
      <c r="I10" s="4"/>
      <c r="J10" s="4"/>
      <c r="K10" s="3"/>
      <c r="L10" s="4"/>
      <c r="O10" s="11" t="s">
        <v>209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80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80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80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90" t="s">
        <v>65</v>
      </c>
      <c r="G24" s="224" t="s">
        <v>151</v>
      </c>
      <c r="H24" s="190" t="s">
        <v>88</v>
      </c>
      <c r="I24" s="190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8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6">
        <f t="shared" ref="H25:H34" si="4">(E25-D25)/D25</f>
        <v>-1.238225799318918E-3</v>
      </c>
      <c r="I25" s="226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8">
        <v>42506</v>
      </c>
      <c r="C26" s="232">
        <v>25</v>
      </c>
      <c r="D26" s="233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6">
        <f t="shared" si="4"/>
        <v>3.7898553929155768E-2</v>
      </c>
      <c r="I26" s="226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8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6">
        <f t="shared" si="4"/>
        <v>0.10135762614425338</v>
      </c>
      <c r="I27" s="227" t="s">
        <v>214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8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6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8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6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8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6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8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6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8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6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8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6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8">
        <v>42552</v>
      </c>
      <c r="C34" s="232">
        <v>25</v>
      </c>
      <c r="D34" s="233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6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8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6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8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6">
        <f t="shared" si="7"/>
        <v>0.14518090256269062</v>
      </c>
      <c r="I36" s="231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8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6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8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6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8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6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8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6">
        <f t="shared" si="7"/>
        <v>0.11661734003257848</v>
      </c>
      <c r="I40" s="39"/>
      <c r="T40" s="135" t="s">
        <v>97</v>
      </c>
      <c r="U40" s="358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8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6">
        <f t="shared" si="7"/>
        <v>0.44132995377963341</v>
      </c>
      <c r="I41" s="39" t="s">
        <v>252</v>
      </c>
      <c r="T41" s="106" t="s">
        <v>98</v>
      </c>
      <c r="U41" s="359">
        <v>144.63999999999999</v>
      </c>
      <c r="W41" s="130">
        <v>42775</v>
      </c>
      <c r="X41" s="10" t="s">
        <v>206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8">
        <v>42577</v>
      </c>
      <c r="C42" s="10">
        <v>0</v>
      </c>
      <c r="D42" s="39"/>
      <c r="E42" s="39"/>
      <c r="F42" s="39">
        <v>363.1</v>
      </c>
      <c r="G42" s="39"/>
      <c r="H42" s="226"/>
      <c r="I42" s="39"/>
      <c r="O42" s="804" t="s">
        <v>78</v>
      </c>
      <c r="P42" s="804"/>
      <c r="T42" s="106" t="s">
        <v>99</v>
      </c>
      <c r="U42" s="359" t="s">
        <v>594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172.05100000000002</v>
      </c>
      <c r="Q43" s="2"/>
      <c r="T43" s="106" t="s">
        <v>100</v>
      </c>
      <c r="U43" s="359" t="s">
        <v>595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8">O44*$Q$4</f>
        <v>170.48690000000002</v>
      </c>
      <c r="Q44" s="2"/>
      <c r="T44" s="106" t="s">
        <v>101</v>
      </c>
      <c r="U44" s="359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8"/>
        <v>168.9228</v>
      </c>
      <c r="Q45" s="2"/>
      <c r="T45" s="106" t="s">
        <v>102</v>
      </c>
      <c r="U45" s="359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8"/>
        <v>167.3587</v>
      </c>
      <c r="Q46" s="2"/>
      <c r="T46" s="106" t="s">
        <v>121</v>
      </c>
      <c r="U46" s="359" t="s">
        <v>399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8"/>
        <v>165.7946</v>
      </c>
      <c r="Q47" s="2"/>
      <c r="T47" s="106"/>
      <c r="U47" s="359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164.23050000000001</v>
      </c>
      <c r="Q48" s="2"/>
      <c r="T48" s="106" t="s">
        <v>104</v>
      </c>
      <c r="U48" s="359" t="s">
        <v>596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162.66640000000001</v>
      </c>
      <c r="Q49" s="2"/>
      <c r="T49" s="106" t="s">
        <v>105</v>
      </c>
      <c r="U49" s="359" t="s">
        <v>597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161.10230000000001</v>
      </c>
      <c r="Q50" s="2"/>
      <c r="T50" s="106" t="s">
        <v>106</v>
      </c>
      <c r="U50" s="360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159.53819999999999</v>
      </c>
      <c r="Q51" s="2"/>
      <c r="T51" s="106" t="s">
        <v>109</v>
      </c>
      <c r="U51" s="360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157.97409999999999</v>
      </c>
      <c r="Q52" s="2"/>
      <c r="T52" s="106" t="s">
        <v>107</v>
      </c>
      <c r="U52" s="359" t="s">
        <v>598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156.41</v>
      </c>
      <c r="Q53" s="2"/>
      <c r="T53" s="106" t="s">
        <v>110</v>
      </c>
      <c r="U53" s="359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154.8459</v>
      </c>
      <c r="Q54" s="2"/>
      <c r="T54" s="106" t="s">
        <v>111</v>
      </c>
      <c r="U54" s="359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153.2818</v>
      </c>
      <c r="Q55" s="2"/>
      <c r="T55" s="106" t="s">
        <v>108</v>
      </c>
      <c r="U55" s="359" t="s">
        <v>549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6" t="s">
        <v>1</v>
      </c>
      <c r="B56" s="256" t="s">
        <v>2</v>
      </c>
      <c r="C56" s="256" t="s">
        <v>4</v>
      </c>
      <c r="D56" s="257" t="s">
        <v>5</v>
      </c>
      <c r="E56" s="257" t="s">
        <v>94</v>
      </c>
      <c r="F56" s="257" t="s">
        <v>60</v>
      </c>
      <c r="G56" s="256" t="s">
        <v>3</v>
      </c>
      <c r="H56" s="256" t="s">
        <v>6</v>
      </c>
      <c r="I56" s="256" t="s">
        <v>7</v>
      </c>
      <c r="J56" s="256" t="s">
        <v>95</v>
      </c>
      <c r="K56" s="257" t="s">
        <v>61</v>
      </c>
      <c r="L56" s="256" t="s">
        <v>77</v>
      </c>
      <c r="M56" s="256" t="s">
        <v>38</v>
      </c>
      <c r="O56" s="81">
        <v>0.97</v>
      </c>
      <c r="P56" s="81">
        <f t="shared" si="8"/>
        <v>151.71769999999998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8" t="s">
        <v>203</v>
      </c>
      <c r="B57" s="259">
        <v>42502</v>
      </c>
      <c r="C57" s="254">
        <v>25</v>
      </c>
      <c r="D57" s="255">
        <v>90.65</v>
      </c>
      <c r="E57" s="255">
        <v>0</v>
      </c>
      <c r="F57" s="255">
        <f>C57*D57 + E57</f>
        <v>2266.25</v>
      </c>
      <c r="G57" s="259">
        <v>42502</v>
      </c>
      <c r="H57" s="260">
        <v>25</v>
      </c>
      <c r="I57" s="255">
        <v>90.64</v>
      </c>
      <c r="J57" s="255">
        <v>0.05</v>
      </c>
      <c r="K57" s="255">
        <f>H57*I57-J57</f>
        <v>2265.9499999999998</v>
      </c>
      <c r="L57" s="259">
        <v>42588</v>
      </c>
      <c r="M57" s="254"/>
      <c r="O57" s="81">
        <v>0.96</v>
      </c>
      <c r="P57" s="81">
        <f t="shared" si="8"/>
        <v>150.15359999999998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61" t="s">
        <v>71</v>
      </c>
      <c r="B58" s="448">
        <v>42502</v>
      </c>
      <c r="C58" s="254">
        <v>25</v>
      </c>
      <c r="D58" s="255">
        <v>90.44</v>
      </c>
      <c r="E58" s="255">
        <v>0</v>
      </c>
      <c r="F58" s="255">
        <f>C58*D58 + E58</f>
        <v>2261</v>
      </c>
      <c r="G58" s="259">
        <v>42552</v>
      </c>
      <c r="H58" s="260">
        <v>25</v>
      </c>
      <c r="I58" s="255">
        <v>96.28</v>
      </c>
      <c r="J58" s="255">
        <v>0.05</v>
      </c>
      <c r="K58" s="255">
        <f>H58*I58-J58</f>
        <v>2406.9499999999998</v>
      </c>
      <c r="L58" s="254"/>
      <c r="M58" s="254"/>
      <c r="O58" s="81">
        <v>0.95</v>
      </c>
      <c r="P58" s="81">
        <f t="shared" si="8"/>
        <v>148.58949999999999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4"/>
      <c r="B59" s="448">
        <v>42545</v>
      </c>
      <c r="C59" s="254">
        <v>25</v>
      </c>
      <c r="D59" s="255">
        <v>93</v>
      </c>
      <c r="E59" s="255">
        <v>0</v>
      </c>
      <c r="F59" s="255">
        <f>C59*D59 + E59</f>
        <v>2325</v>
      </c>
      <c r="G59" s="259">
        <v>42577</v>
      </c>
      <c r="H59" s="260">
        <v>15</v>
      </c>
      <c r="I59" s="255">
        <v>100.58</v>
      </c>
      <c r="J59" s="255">
        <v>0.03</v>
      </c>
      <c r="K59" s="255">
        <f>H59*I59-J59</f>
        <v>1508.67</v>
      </c>
      <c r="L59" s="254"/>
      <c r="M59" s="254"/>
      <c r="O59" s="81">
        <v>0.94</v>
      </c>
      <c r="P59" s="81">
        <f t="shared" si="8"/>
        <v>147.02539999999999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4"/>
      <c r="B60" s="259"/>
      <c r="C60" s="254"/>
      <c r="D60" s="255"/>
      <c r="E60" s="255"/>
      <c r="F60" s="255"/>
      <c r="G60" s="259">
        <v>42577</v>
      </c>
      <c r="H60" s="260">
        <v>10</v>
      </c>
      <c r="I60" s="255">
        <v>103.38</v>
      </c>
      <c r="J60" s="255">
        <v>0.02</v>
      </c>
      <c r="K60" s="255">
        <f>H60*I60-J60</f>
        <v>1033.78</v>
      </c>
      <c r="L60" s="254"/>
      <c r="M60" s="254"/>
      <c r="O60" s="81">
        <v>0.93</v>
      </c>
      <c r="P60" s="81">
        <f t="shared" si="8"/>
        <v>145.46129999999999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4"/>
      <c r="B61" s="449"/>
      <c r="C61" s="254"/>
      <c r="D61" s="255"/>
      <c r="E61" s="255"/>
      <c r="F61" s="255"/>
      <c r="G61" s="259"/>
      <c r="H61" s="260"/>
      <c r="I61" s="255"/>
      <c r="J61" s="255"/>
      <c r="K61" s="255"/>
      <c r="L61" s="254"/>
      <c r="M61" s="254"/>
      <c r="O61" s="81">
        <v>0.92</v>
      </c>
      <c r="P61" s="81">
        <f t="shared" si="8"/>
        <v>143.8972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4"/>
      <c r="B62" s="44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O62" s="81">
        <v>0.91</v>
      </c>
      <c r="P62" s="81">
        <f t="shared" si="8"/>
        <v>142.3331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O63" s="81">
        <v>0.9</v>
      </c>
      <c r="P63" s="81">
        <f t="shared" si="8"/>
        <v>140.76900000000001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260"/>
      <c r="I64" s="255"/>
      <c r="J64" s="255"/>
      <c r="K64" s="255"/>
      <c r="L64" s="254"/>
      <c r="M64" s="254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4"/>
      <c r="B65" s="259"/>
      <c r="C65" s="254"/>
      <c r="D65" s="255"/>
      <c r="E65" s="255"/>
      <c r="F65" s="255"/>
      <c r="G65" s="259"/>
      <c r="H65" s="260"/>
      <c r="I65" s="254"/>
      <c r="J65" s="254"/>
      <c r="K65" s="255"/>
      <c r="L65" s="254"/>
      <c r="M65" s="254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4"/>
      <c r="B66" s="259"/>
      <c r="C66" s="254"/>
      <c r="D66" s="255"/>
      <c r="E66" s="255"/>
      <c r="F66" s="255"/>
      <c r="G66" s="259"/>
      <c r="H66" s="260"/>
      <c r="I66" s="254"/>
      <c r="J66" s="254"/>
      <c r="K66" s="255"/>
      <c r="L66" s="254"/>
      <c r="M66" s="254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4"/>
      <c r="B67" s="259"/>
      <c r="C67" s="254"/>
      <c r="D67" s="255"/>
      <c r="E67" s="255"/>
      <c r="F67" s="255"/>
      <c r="G67" s="259"/>
      <c r="H67" s="260"/>
      <c r="I67" s="254"/>
      <c r="J67" s="254"/>
      <c r="K67" s="255"/>
      <c r="L67" s="254"/>
      <c r="M67" s="254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4"/>
      <c r="K68" s="255"/>
      <c r="L68" s="254"/>
      <c r="M68" s="254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4"/>
      <c r="B69" s="259"/>
      <c r="C69" s="254"/>
      <c r="D69" s="255"/>
      <c r="E69" s="255"/>
      <c r="F69" s="255"/>
      <c r="G69" s="259"/>
      <c r="H69" s="260"/>
      <c r="I69" s="254"/>
      <c r="J69" s="254"/>
      <c r="K69" s="255"/>
      <c r="L69" s="254"/>
      <c r="M69" s="254"/>
      <c r="W69" s="277" t="s">
        <v>120</v>
      </c>
      <c r="AB69" s="230"/>
    </row>
    <row r="70" spans="1:31" x14ac:dyDescent="0.25">
      <c r="A70" s="254"/>
      <c r="B70" s="254"/>
      <c r="C70" s="254"/>
      <c r="D70" s="255"/>
      <c r="E70" s="255"/>
      <c r="F70" s="255"/>
      <c r="G70" s="259"/>
      <c r="H70" s="260"/>
      <c r="I70" s="254"/>
      <c r="J70" s="254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9"/>
      <c r="H71" s="260"/>
      <c r="I71" s="254"/>
      <c r="J71" s="254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9"/>
      <c r="H72" s="260"/>
      <c r="I72" s="254"/>
      <c r="J72" s="254"/>
      <c r="K72" s="255"/>
      <c r="L72" s="254"/>
      <c r="M72" s="254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50"/>
      <c r="B74" s="451"/>
      <c r="C74" s="452"/>
      <c r="D74" s="452"/>
      <c r="E74" s="452"/>
      <c r="F74" s="453"/>
      <c r="G74" s="452"/>
      <c r="H74" s="452"/>
      <c r="I74" s="452"/>
      <c r="J74" s="452"/>
      <c r="K74" s="453"/>
      <c r="L74" s="452"/>
      <c r="M74" s="453"/>
    </row>
  </sheetData>
  <mergeCells count="1">
    <mergeCell ref="O42:P42"/>
  </mergeCells>
  <conditionalFormatting sqref="N19">
    <cfRule type="expression" dxfId="1923" priority="35">
      <formula>N19&gt;0</formula>
    </cfRule>
    <cfRule type="expression" dxfId="192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921" priority="21">
      <formula>F25&gt;0</formula>
    </cfRule>
    <cfRule type="expression" dxfId="1920" priority="22">
      <formula>F25&lt;0</formula>
    </cfRule>
  </conditionalFormatting>
  <conditionalFormatting sqref="H25:H47">
    <cfRule type="expression" dxfId="1919" priority="19">
      <formula>H25&gt;0</formula>
    </cfRule>
    <cfRule type="expression" dxfId="1918" priority="20">
      <formula>H25&lt;0</formula>
    </cfRule>
  </conditionalFormatting>
  <conditionalFormatting sqref="I25:I27">
    <cfRule type="expression" dxfId="1917" priority="15">
      <formula>I25&gt;0</formula>
    </cfRule>
    <cfRule type="expression" dxfId="1916" priority="16">
      <formula>I25&lt;0</formula>
    </cfRule>
  </conditionalFormatting>
  <conditionalFormatting sqref="Q7">
    <cfRule type="expression" dxfId="1915" priority="5">
      <formula>Q7&gt;0</formula>
    </cfRule>
    <cfRule type="expression" dxfId="1914" priority="6">
      <formula>Q7&lt;0</formula>
    </cfRule>
  </conditionalFormatting>
  <conditionalFormatting sqref="Q8">
    <cfRule type="expression" dxfId="1913" priority="3">
      <formula>Q8&gt;0</formula>
    </cfRule>
    <cfRule type="expression" dxfId="191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247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80"/>
      <c r="I3" s="3"/>
      <c r="J3" s="3"/>
      <c r="K3" s="3"/>
      <c r="L3" s="4"/>
      <c r="O3" s="11" t="s">
        <v>58</v>
      </c>
      <c r="Q3" s="225">
        <f>IF(Q2=0, Q4, (F18-K18-M18)/Q2)</f>
        <v>91.72</v>
      </c>
      <c r="T3" s="1">
        <v>42572</v>
      </c>
      <c r="U3" t="s">
        <v>238</v>
      </c>
      <c r="W3" s="130">
        <v>42830</v>
      </c>
      <c r="X3" s="10" t="s">
        <v>297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91.72</v>
      </c>
      <c r="R4" s="487">
        <v>3.8300000000000001E-2</v>
      </c>
      <c r="T4" s="159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209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8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6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8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6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8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6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8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6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8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6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8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6">
        <f t="shared" si="4"/>
        <v>8.3107650643195738E-2</v>
      </c>
      <c r="I30" s="231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8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6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8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6">
        <f t="shared" si="4"/>
        <v>9.140148950575501E-2</v>
      </c>
      <c r="I32" s="39" t="s">
        <v>246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8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6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8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6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8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6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8">
        <v>42593</v>
      </c>
      <c r="C36" s="10">
        <v>0</v>
      </c>
      <c r="D36" s="39"/>
      <c r="E36" s="39"/>
      <c r="F36" s="39">
        <v>231.54</v>
      </c>
      <c r="G36" s="39"/>
      <c r="H36" s="226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4" t="s">
        <v>78</v>
      </c>
      <c r="P40" s="80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100.89200000000001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99.974800000000002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99.057600000000008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98.1404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97.223200000000006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96.305999999999997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95.388800000000003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94.471599999999995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77" t="s">
        <v>1</v>
      </c>
      <c r="B49" s="377" t="s">
        <v>2</v>
      </c>
      <c r="C49" s="377" t="s">
        <v>4</v>
      </c>
      <c r="D49" s="379" t="s">
        <v>5</v>
      </c>
      <c r="E49" s="379" t="s">
        <v>94</v>
      </c>
      <c r="F49" s="379" t="s">
        <v>60</v>
      </c>
      <c r="G49" s="377" t="s">
        <v>3</v>
      </c>
      <c r="H49" s="377" t="s">
        <v>6</v>
      </c>
      <c r="I49" s="379" t="s">
        <v>7</v>
      </c>
      <c r="J49" s="379" t="s">
        <v>95</v>
      </c>
      <c r="K49" s="379" t="s">
        <v>61</v>
      </c>
      <c r="L49" s="377" t="s">
        <v>37</v>
      </c>
      <c r="M49" s="377" t="s">
        <v>38</v>
      </c>
      <c r="O49" s="81">
        <v>1.02</v>
      </c>
      <c r="P49" s="81">
        <f t="shared" si="5"/>
        <v>93.554400000000001</v>
      </c>
      <c r="Q49" s="2"/>
      <c r="T49" s="91" t="s">
        <v>103</v>
      </c>
      <c r="U49" s="127" t="s">
        <v>529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80" t="s">
        <v>226</v>
      </c>
      <c r="B50" s="370">
        <v>42548</v>
      </c>
      <c r="C50" s="371">
        <v>40</v>
      </c>
      <c r="D50" s="372">
        <v>59.08</v>
      </c>
      <c r="E50" s="372">
        <v>0</v>
      </c>
      <c r="F50" s="372">
        <f>D50*C50+E50</f>
        <v>2363.1999999999998</v>
      </c>
      <c r="G50" s="370">
        <v>42580</v>
      </c>
      <c r="H50" s="375">
        <v>40</v>
      </c>
      <c r="I50" s="372">
        <v>64.58</v>
      </c>
      <c r="J50" s="372">
        <v>0.06</v>
      </c>
      <c r="K50" s="372">
        <f>I50*H50-J50</f>
        <v>2583.14</v>
      </c>
      <c r="L50" s="370">
        <v>42592</v>
      </c>
      <c r="M50" s="371">
        <v>11.6</v>
      </c>
      <c r="O50" s="81">
        <v>1.01</v>
      </c>
      <c r="P50" s="81">
        <f t="shared" si="5"/>
        <v>92.637199999999993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81" t="s">
        <v>71</v>
      </c>
      <c r="B51" s="370"/>
      <c r="C51" s="371"/>
      <c r="D51" s="372"/>
      <c r="E51" s="372"/>
      <c r="F51" s="372"/>
      <c r="G51" s="371"/>
      <c r="H51" s="375"/>
      <c r="I51" s="372"/>
      <c r="J51" s="372"/>
      <c r="K51" s="372"/>
      <c r="L51" s="371"/>
      <c r="M51" s="371"/>
      <c r="O51" s="81">
        <v>1</v>
      </c>
      <c r="P51" s="81">
        <f t="shared" si="5"/>
        <v>91.72</v>
      </c>
      <c r="Q51" s="2"/>
      <c r="T51" s="91" t="s">
        <v>104</v>
      </c>
      <c r="U51" s="127" t="s">
        <v>599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71"/>
      <c r="B52" s="370"/>
      <c r="C52" s="371"/>
      <c r="D52" s="372"/>
      <c r="E52" s="372"/>
      <c r="F52" s="372"/>
      <c r="G52" s="371"/>
      <c r="H52" s="375"/>
      <c r="I52" s="372"/>
      <c r="J52" s="372"/>
      <c r="K52" s="372"/>
      <c r="L52" s="371"/>
      <c r="M52" s="371"/>
      <c r="O52" s="81">
        <v>0.99</v>
      </c>
      <c r="P52" s="81">
        <f t="shared" si="5"/>
        <v>90.802800000000005</v>
      </c>
      <c r="Q52" s="2"/>
      <c r="T52" s="91" t="s">
        <v>105</v>
      </c>
      <c r="U52" s="127" t="s">
        <v>484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71"/>
      <c r="B53" s="370"/>
      <c r="C53" s="371"/>
      <c r="D53" s="372"/>
      <c r="E53" s="372"/>
      <c r="F53" s="372"/>
      <c r="G53" s="371"/>
      <c r="H53" s="375"/>
      <c r="I53" s="372"/>
      <c r="J53" s="372"/>
      <c r="K53" s="372"/>
      <c r="L53" s="371"/>
      <c r="M53" s="371"/>
      <c r="O53" s="81">
        <v>0.98</v>
      </c>
      <c r="P53" s="81">
        <f t="shared" si="5"/>
        <v>89.885599999999997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71"/>
      <c r="B54" s="370"/>
      <c r="C54" s="371"/>
      <c r="D54" s="372"/>
      <c r="E54" s="372"/>
      <c r="F54" s="372"/>
      <c r="G54" s="371"/>
      <c r="H54" s="375"/>
      <c r="I54" s="372"/>
      <c r="J54" s="372"/>
      <c r="K54" s="372"/>
      <c r="L54" s="371"/>
      <c r="M54" s="371"/>
      <c r="O54" s="81">
        <v>0.97</v>
      </c>
      <c r="P54" s="81">
        <f t="shared" si="5"/>
        <v>88.968400000000003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5"/>
        <v>88.051199999999994</v>
      </c>
      <c r="T55" s="91" t="s">
        <v>107</v>
      </c>
      <c r="U55" s="127" t="s">
        <v>600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5"/>
        <v>87.134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5"/>
        <v>86.216799999999992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5"/>
        <v>85.299599999999998</v>
      </c>
      <c r="T58" s="91" t="s">
        <v>108</v>
      </c>
      <c r="U58" s="127" t="s">
        <v>557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5"/>
        <v>84.382400000000004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5"/>
        <v>83.465199999999996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5"/>
        <v>82.548000000000002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1"/>
      <c r="I65" s="372"/>
      <c r="J65" s="372"/>
      <c r="K65" s="372"/>
      <c r="L65" s="371"/>
      <c r="M65" s="371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55" t="s">
        <v>194</v>
      </c>
      <c r="B67" s="456"/>
      <c r="C67" s="457">
        <f>SumByColor($A$19,C50:C65)</f>
        <v>0</v>
      </c>
      <c r="D67" s="457"/>
      <c r="E67" s="457"/>
      <c r="F67" s="458">
        <f>SumByColor($A$19,F50:F65)</f>
        <v>0</v>
      </c>
      <c r="G67" s="457"/>
      <c r="H67" s="457">
        <f>SumByColor($A$19,H50:H65)</f>
        <v>0</v>
      </c>
      <c r="I67" s="457"/>
      <c r="J67" s="457"/>
      <c r="K67" s="458">
        <f>SumByColor($A$19,K50:K65)</f>
        <v>0</v>
      </c>
      <c r="L67" s="457"/>
      <c r="M67" s="458">
        <f>SumByColor($A$19,M50:M65)</f>
        <v>0</v>
      </c>
      <c r="W67" s="130">
        <v>42739</v>
      </c>
      <c r="X67" s="10" t="s">
        <v>297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911" priority="9">
      <formula>F36&gt;0</formula>
    </cfRule>
    <cfRule type="expression" dxfId="1910" priority="10">
      <formula>F36&lt;0</formula>
    </cfRule>
  </conditionalFormatting>
  <conditionalFormatting sqref="F25:F35">
    <cfRule type="expression" dxfId="1909" priority="7">
      <formula>F25&gt;0</formula>
    </cfRule>
    <cfRule type="expression" dxfId="1908" priority="8">
      <formula>F25&lt;0</formula>
    </cfRule>
  </conditionalFormatting>
  <conditionalFormatting sqref="H25:H35">
    <cfRule type="expression" dxfId="1907" priority="5">
      <formula>H25&gt;0</formula>
    </cfRule>
    <cfRule type="expression" dxfId="1906" priority="6">
      <formula>H25&lt;0</formula>
    </cfRule>
  </conditionalFormatting>
  <conditionalFormatting sqref="Q7">
    <cfRule type="expression" dxfId="1905" priority="3">
      <formula>Q7&gt;0</formula>
    </cfRule>
    <cfRule type="expression" dxfId="1904" priority="4">
      <formula>Q7&lt;0</formula>
    </cfRule>
  </conditionalFormatting>
  <conditionalFormatting sqref="Q8">
    <cfRule type="expression" dxfId="1903" priority="1">
      <formula>Q8&gt;0</formula>
    </cfRule>
    <cfRule type="expression" dxfId="190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269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1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98.26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98.26</v>
      </c>
      <c r="R4" s="509">
        <v>3.32E-2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1857.7799999999988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O20" s="7" t="s">
        <v>743</v>
      </c>
      <c r="P20" s="7" t="s">
        <v>744</v>
      </c>
      <c r="Q20" s="7" t="s">
        <v>745</v>
      </c>
      <c r="R20" s="7"/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O21" s="7" t="s">
        <v>746</v>
      </c>
      <c r="P21" s="7">
        <v>1.095</v>
      </c>
      <c r="Q21" s="698">
        <v>5828.3050000000003</v>
      </c>
      <c r="R21" s="7"/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O22" s="7" t="s">
        <v>747</v>
      </c>
      <c r="P22" s="7">
        <v>1.0920000000000001</v>
      </c>
      <c r="Q22" s="698">
        <v>5801.9129999999996</v>
      </c>
      <c r="R22" s="7"/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O23" s="7" t="s">
        <v>748</v>
      </c>
      <c r="P23" s="7" t="s">
        <v>749</v>
      </c>
      <c r="Q23" s="7">
        <v>0.30499999999999999</v>
      </c>
      <c r="R23" s="7">
        <v>0.45500000000000002</v>
      </c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7" t="s">
        <v>730</v>
      </c>
      <c r="P24" s="7" t="s">
        <v>750</v>
      </c>
      <c r="Q24" s="7" t="s">
        <v>750</v>
      </c>
      <c r="R24" s="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6">
        <f t="shared" ref="H25" si="2">(E25-D25)/D25</f>
        <v>6.062276109120939E-3</v>
      </c>
      <c r="I25" s="39"/>
      <c r="J25" s="39"/>
      <c r="K25" s="39"/>
      <c r="L25" s="39"/>
      <c r="O25" s="7" t="s">
        <v>748</v>
      </c>
      <c r="P25" s="7" t="s">
        <v>751</v>
      </c>
      <c r="Q25" s="7">
        <v>1.42</v>
      </c>
      <c r="R25" s="7">
        <v>8.0939999999999994</v>
      </c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6">
        <f t="shared" ref="H26" si="5">(E26-D26)/D26</f>
        <v>1.0608983190961643E-2</v>
      </c>
      <c r="I26" s="39"/>
      <c r="J26" s="39"/>
      <c r="K26" s="39"/>
      <c r="L26" s="39"/>
      <c r="O26" s="7" t="s">
        <v>752</v>
      </c>
      <c r="P26" s="7" t="s">
        <v>744</v>
      </c>
      <c r="Q26" s="7" t="s">
        <v>745</v>
      </c>
      <c r="R26" s="7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A27">
        <v>0</v>
      </c>
      <c r="B27" s="188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6">
        <f t="shared" ref="H27" si="8">(E27-D27)/D27</f>
        <v>3.1689170570405618E-3</v>
      </c>
      <c r="I27" s="39"/>
      <c r="J27" s="39">
        <v>169.8</v>
      </c>
      <c r="K27" s="39"/>
      <c r="L27" s="158"/>
      <c r="O27" s="7"/>
      <c r="P27" s="7"/>
      <c r="Q27" s="7"/>
      <c r="R27" s="7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6">
        <f t="shared" ref="H28:H35" si="11">(E28-D28)/D28</f>
        <v>-2.3297991071428593E-2</v>
      </c>
      <c r="I28" s="39">
        <v>71.5</v>
      </c>
      <c r="J28" s="39">
        <v>-9</v>
      </c>
      <c r="K28" s="39"/>
      <c r="L28" s="158"/>
      <c r="O28" s="7" t="s">
        <v>747</v>
      </c>
      <c r="P28" s="7">
        <v>0.92200000000000004</v>
      </c>
      <c r="Q28" s="698">
        <v>5782.2860000000001</v>
      </c>
      <c r="R28" s="7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A29">
        <v>100</v>
      </c>
      <c r="B29" s="188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6">
        <f t="shared" si="11"/>
        <v>1.8202184262110816E-3</v>
      </c>
      <c r="I29" s="39"/>
      <c r="J29" s="39"/>
      <c r="K29" s="39"/>
      <c r="L29" s="158"/>
      <c r="O29" s="7" t="s">
        <v>730</v>
      </c>
      <c r="P29" s="7" t="s">
        <v>750</v>
      </c>
      <c r="Q29" s="7" t="s">
        <v>750</v>
      </c>
      <c r="R29" s="7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A30">
        <v>50</v>
      </c>
      <c r="B30" s="188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6">
        <f t="shared" si="11"/>
        <v>3.3869920366382984E-2</v>
      </c>
      <c r="I30" s="39"/>
      <c r="J30" s="39">
        <v>277.22000000000003</v>
      </c>
      <c r="K30" s="39"/>
      <c r="L30" s="158"/>
      <c r="O30" s="7" t="s">
        <v>753</v>
      </c>
      <c r="P30" s="7" t="s">
        <v>744</v>
      </c>
      <c r="Q30" s="7" t="s">
        <v>745</v>
      </c>
      <c r="R30" s="7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A31">
        <v>50</v>
      </c>
      <c r="B31" s="188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6">
        <f t="shared" si="11"/>
        <v>2.6179978809938925E-2</v>
      </c>
      <c r="I31" s="39"/>
      <c r="J31" s="39">
        <v>250</v>
      </c>
      <c r="K31" s="39"/>
      <c r="L31" s="158"/>
      <c r="O31" s="7"/>
      <c r="P31" s="7"/>
      <c r="Q31" s="7"/>
      <c r="R31" s="7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A32">
        <v>50</v>
      </c>
      <c r="B32" s="188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6">
        <f t="shared" si="11"/>
        <v>5.5165922994495093E-3</v>
      </c>
      <c r="I32" s="39"/>
      <c r="J32" s="39">
        <v>197.22</v>
      </c>
      <c r="K32" s="39"/>
      <c r="L32" s="158"/>
      <c r="O32" s="7" t="s">
        <v>746</v>
      </c>
      <c r="P32" s="7">
        <v>1.026</v>
      </c>
      <c r="Q32" s="698">
        <v>5609.625</v>
      </c>
      <c r="R32" s="7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>
        <v>42902</v>
      </c>
      <c r="B33" s="188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6">
        <f t="shared" si="11"/>
        <v>3.8941160841665018E-2</v>
      </c>
      <c r="I33" s="39"/>
      <c r="J33" s="39">
        <v>198.22</v>
      </c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6">
        <f t="shared" si="11"/>
        <v>0.12234557162255651</v>
      </c>
      <c r="I34" s="39"/>
      <c r="J34" s="39">
        <v>1010.64</v>
      </c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A35">
        <v>100</v>
      </c>
      <c r="B35" s="188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6">
        <f t="shared" si="11"/>
        <v>7.4825737033653819E-2</v>
      </c>
      <c r="I35" s="39"/>
      <c r="J35" s="39">
        <v>678</v>
      </c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A36">
        <v>50</v>
      </c>
      <c r="B36" s="188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6">
        <f t="shared" ref="H36:H37" si="14">(E36-D36)/D36</f>
        <v>8.144269924374628E-2</v>
      </c>
      <c r="I36" s="434">
        <v>68</v>
      </c>
      <c r="J36" s="39">
        <v>718.56</v>
      </c>
      <c r="K36" s="39"/>
      <c r="L36" s="158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A37">
        <v>0</v>
      </c>
      <c r="B37" s="188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6">
        <f t="shared" si="14"/>
        <v>0.22185586434291091</v>
      </c>
      <c r="I37" s="39">
        <v>63</v>
      </c>
      <c r="J37" s="39">
        <v>1097</v>
      </c>
      <c r="K37" s="39"/>
      <c r="L37" s="158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A38">
        <v>0</v>
      </c>
      <c r="B38" s="188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6">
        <f t="shared" ref="H38" si="17">(E38-D38)/D38</f>
        <v>9.9291792792278163E-2</v>
      </c>
      <c r="I38" s="39">
        <v>68</v>
      </c>
      <c r="J38" s="39">
        <v>1086</v>
      </c>
      <c r="K38" s="39"/>
      <c r="L38" s="158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158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A40">
        <v>0</v>
      </c>
      <c r="B40" s="188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6">
        <f>(E40-D40)/D40</f>
        <v>4.6207732722618786E-2</v>
      </c>
      <c r="I40" s="39">
        <v>73.5</v>
      </c>
      <c r="J40" s="39">
        <v>1153</v>
      </c>
      <c r="K40" s="39"/>
      <c r="L40" s="39"/>
      <c r="O40" s="804" t="s">
        <v>78</v>
      </c>
      <c r="P40" s="80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A41">
        <v>50</v>
      </c>
      <c r="B41" s="188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6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108.08600000000001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107.10340000000001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A43">
        <v>50</v>
      </c>
      <c r="B43" s="188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6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106.12080000000002</v>
      </c>
      <c r="Q43" s="2"/>
      <c r="T43" s="125" t="s">
        <v>97</v>
      </c>
      <c r="U43" s="126">
        <v>68.349999999999994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>
        <v>43060</v>
      </c>
      <c r="C44" s="10">
        <v>0</v>
      </c>
      <c r="D44" s="39"/>
      <c r="E44" s="39"/>
      <c r="F44" s="39">
        <v>592.9</v>
      </c>
      <c r="G44" s="39"/>
      <c r="H44" s="226"/>
      <c r="I44" s="39"/>
      <c r="J44" s="39">
        <v>1857.78</v>
      </c>
      <c r="K44" s="39"/>
      <c r="L44" s="39"/>
      <c r="O44" s="81">
        <v>1.07</v>
      </c>
      <c r="P44" s="81">
        <f t="shared" si="18"/>
        <v>105.13820000000001</v>
      </c>
      <c r="Q44" s="2"/>
      <c r="T44" s="91" t="s">
        <v>98</v>
      </c>
      <c r="U44" s="127">
        <v>68.5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8"/>
        <v>104.15560000000001</v>
      </c>
      <c r="Q45" s="2"/>
      <c r="T45" s="91" t="s">
        <v>99</v>
      </c>
      <c r="U45" s="127" t="s">
        <v>128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8"/>
        <v>103.17300000000002</v>
      </c>
      <c r="Q46" s="2"/>
      <c r="T46" s="91" t="s">
        <v>100</v>
      </c>
      <c r="U46" s="127" t="s">
        <v>128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8"/>
        <v>102.19040000000001</v>
      </c>
      <c r="Q47" s="2"/>
      <c r="T47" s="91" t="s">
        <v>101</v>
      </c>
      <c r="U47" s="127">
        <v>79.16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8"/>
        <v>101.20780000000001</v>
      </c>
      <c r="Q48" s="2"/>
      <c r="T48" s="91" t="s">
        <v>102</v>
      </c>
      <c r="U48" s="127">
        <v>0.71672999999999998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8"/>
        <v>100.2252</v>
      </c>
      <c r="Q49" s="2"/>
      <c r="T49" s="91" t="s">
        <v>121</v>
      </c>
      <c r="U49" s="127" t="s">
        <v>521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8"/>
        <v>99.24260000000001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8"/>
        <v>98.26</v>
      </c>
      <c r="Q51" s="2"/>
      <c r="T51" s="91" t="s">
        <v>104</v>
      </c>
      <c r="U51" s="127" t="s">
        <v>601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8"/>
        <v>97.2774</v>
      </c>
      <c r="Q52" s="2"/>
      <c r="T52" s="91" t="s">
        <v>105</v>
      </c>
      <c r="U52" s="127" t="s">
        <v>315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8"/>
        <v>96.294800000000009</v>
      </c>
      <c r="Q53" s="2"/>
      <c r="T53" s="91" t="s">
        <v>106</v>
      </c>
      <c r="U53" s="128">
        <v>3269613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8"/>
        <v>95.312200000000004</v>
      </c>
      <c r="T54" s="91" t="s">
        <v>109</v>
      </c>
      <c r="U54" s="128">
        <v>2991540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8"/>
        <v>94.329599999999999</v>
      </c>
      <c r="T55" s="91" t="s">
        <v>107</v>
      </c>
      <c r="U55" s="127" t="s">
        <v>602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8"/>
        <v>93.346999999999994</v>
      </c>
      <c r="T56" s="91" t="s">
        <v>110</v>
      </c>
      <c r="U56" s="127">
        <v>15.46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8"/>
        <v>92.364400000000003</v>
      </c>
      <c r="T57" s="91" t="s">
        <v>111</v>
      </c>
      <c r="U57" s="127">
        <v>4.43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8"/>
        <v>91.381800000000013</v>
      </c>
      <c r="T58" s="91" t="s">
        <v>108</v>
      </c>
      <c r="U58" s="127" t="s">
        <v>558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8"/>
        <v>90.399200000000008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8"/>
        <v>89.416600000000003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8"/>
        <v>88.434000000000012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269</v>
      </c>
      <c r="B68" s="510">
        <v>42619</v>
      </c>
      <c r="C68" s="511">
        <v>20</v>
      </c>
      <c r="D68" s="513">
        <v>72.08</v>
      </c>
      <c r="E68" s="513">
        <v>0</v>
      </c>
      <c r="F68" s="513">
        <f>C68*D68+E68</f>
        <v>1441.6</v>
      </c>
      <c r="G68" s="510">
        <v>42683</v>
      </c>
      <c r="H68" s="528">
        <v>35</v>
      </c>
      <c r="I68" s="513">
        <v>71.36</v>
      </c>
      <c r="J68" s="513">
        <v>0.05</v>
      </c>
      <c r="K68" s="513">
        <f>H68*I68-J68</f>
        <v>2497.5499999999997</v>
      </c>
      <c r="L68" s="510">
        <v>42642</v>
      </c>
      <c r="M68" s="513">
        <v>10</v>
      </c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>
        <v>42621</v>
      </c>
      <c r="C69" s="511">
        <v>20</v>
      </c>
      <c r="D69" s="513">
        <v>70.45</v>
      </c>
      <c r="E69" s="513">
        <v>0</v>
      </c>
      <c r="F69" s="513">
        <f>C69*D69+E69</f>
        <v>1409</v>
      </c>
      <c r="G69" s="510">
        <v>42684</v>
      </c>
      <c r="H69" s="528">
        <v>30</v>
      </c>
      <c r="I69" s="513">
        <v>73.28</v>
      </c>
      <c r="J69" s="513">
        <v>0.05</v>
      </c>
      <c r="K69" s="513">
        <f>H69*I69-J69</f>
        <v>2198.35</v>
      </c>
      <c r="L69" s="511"/>
      <c r="M69" s="511"/>
      <c r="AD69" s="2"/>
      <c r="AE69" s="134"/>
    </row>
    <row r="70" spans="1:31" x14ac:dyDescent="0.25">
      <c r="A70" s="511"/>
      <c r="B70" s="510">
        <v>42648</v>
      </c>
      <c r="C70" s="511">
        <v>25</v>
      </c>
      <c r="D70" s="513">
        <v>67.88</v>
      </c>
      <c r="E70" s="513">
        <v>0</v>
      </c>
      <c r="F70" s="513">
        <f>C70*D70+E70</f>
        <v>1697</v>
      </c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445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45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31" x14ac:dyDescent="0.25">
      <c r="A73" s="511"/>
      <c r="B73" s="445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45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31" x14ac:dyDescent="0.25">
      <c r="A74" s="511"/>
      <c r="B74" s="445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45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445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45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445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45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SUM(C68:C83)</f>
        <v>365</v>
      </c>
      <c r="D84" s="532"/>
      <c r="E84" s="532"/>
      <c r="F84" s="532">
        <f>SUM(F68:F83)</f>
        <v>26186.6</v>
      </c>
      <c r="G84" s="531"/>
      <c r="H84" s="553">
        <f>SUM(H68:H83)</f>
        <v>365</v>
      </c>
      <c r="I84" s="532"/>
      <c r="J84" s="532"/>
      <c r="K84" s="532">
        <f>SUM(K68:K83)</f>
        <v>27969.379999999997</v>
      </c>
      <c r="L84" s="531"/>
      <c r="M84" s="532">
        <f>SUM(M68:M83)</f>
        <v>75</v>
      </c>
    </row>
    <row r="85" spans="1:13" ht="15.75" thickBot="1" x14ac:dyDescent="0.3">
      <c r="A85" s="533" t="s">
        <v>194</v>
      </c>
      <c r="B85" s="534"/>
      <c r="C85" s="535">
        <f>SumByColor($A$19,C68:C83)</f>
        <v>250</v>
      </c>
      <c r="D85" s="535"/>
      <c r="E85" s="535"/>
      <c r="F85" s="536">
        <f>SumByColor($A$19,F68:F83)</f>
        <v>17820</v>
      </c>
      <c r="G85" s="535"/>
      <c r="H85" s="535">
        <f>SumByColor($A$19,H68:H83)</f>
        <v>250</v>
      </c>
      <c r="I85" s="535"/>
      <c r="J85" s="535"/>
      <c r="K85" s="536">
        <f>SumByColor($A$19,K68:K83)</f>
        <v>18894</v>
      </c>
      <c r="L85" s="535"/>
      <c r="M85" s="536">
        <f>SumByColor($A$19,M68:M83)</f>
        <v>65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6">
        <f t="shared" ref="H89:H100" si="21">(E89-D89)/D89</f>
        <v>-1.1098779134294991E-3</v>
      </c>
      <c r="I89" s="39"/>
    </row>
    <row r="90" spans="1:13" x14ac:dyDescent="0.25">
      <c r="B90" s="188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6">
        <f t="shared" si="21"/>
        <v>-4.5782463928967579E-3</v>
      </c>
      <c r="I90" s="39"/>
    </row>
    <row r="91" spans="1:13" x14ac:dyDescent="0.25">
      <c r="B91" s="188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6">
        <f t="shared" si="21"/>
        <v>-8.3491194836174676E-3</v>
      </c>
      <c r="I91" s="39"/>
    </row>
    <row r="92" spans="1:13" x14ac:dyDescent="0.25">
      <c r="B92" s="188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6">
        <f t="shared" si="21"/>
        <v>3.4378727285484397E-3</v>
      </c>
      <c r="I92" s="39"/>
    </row>
    <row r="93" spans="1:13" x14ac:dyDescent="0.25">
      <c r="B93" s="188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6">
        <f t="shared" si="21"/>
        <v>1.7750648986178355E-2</v>
      </c>
      <c r="I93" s="39"/>
    </row>
    <row r="94" spans="1:13" x14ac:dyDescent="0.25">
      <c r="B94" s="188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6">
        <f t="shared" si="21"/>
        <v>-1.0734582193222488E-2</v>
      </c>
      <c r="I94" s="39"/>
    </row>
    <row r="95" spans="1:13" x14ac:dyDescent="0.25">
      <c r="B95" s="188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6">
        <f t="shared" si="21"/>
        <v>-4.5113309478706287E-2</v>
      </c>
      <c r="I95" s="39"/>
    </row>
    <row r="96" spans="1:13" x14ac:dyDescent="0.25">
      <c r="B96" s="188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6">
        <f t="shared" si="21"/>
        <v>-4.0670857136308754E-2</v>
      </c>
      <c r="I96" s="39"/>
    </row>
    <row r="97" spans="2:9" x14ac:dyDescent="0.25">
      <c r="B97" s="188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6">
        <f t="shared" si="21"/>
        <v>-1.0875357402749307E-2</v>
      </c>
      <c r="I97" s="39"/>
    </row>
    <row r="98" spans="2:9" x14ac:dyDescent="0.25">
      <c r="B98" s="188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6">
        <f t="shared" si="21"/>
        <v>-2.1372541155035086E-3</v>
      </c>
      <c r="I98" s="39"/>
    </row>
    <row r="99" spans="2:9" x14ac:dyDescent="0.25">
      <c r="B99" s="188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6">
        <f t="shared" si="21"/>
        <v>-1.0302367023257689E-2</v>
      </c>
      <c r="I99" s="39"/>
    </row>
    <row r="100" spans="2:9" x14ac:dyDescent="0.25">
      <c r="B100" s="188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6">
        <f t="shared" si="21"/>
        <v>-2.9967396847408339E-3</v>
      </c>
      <c r="I100" s="39"/>
    </row>
    <row r="101" spans="2:9" x14ac:dyDescent="0.25">
      <c r="B101" s="188">
        <v>42701</v>
      </c>
      <c r="C101" s="10">
        <v>0</v>
      </c>
      <c r="D101" s="39"/>
      <c r="E101" s="39"/>
      <c r="F101" s="39">
        <v>158.30000000000001</v>
      </c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1901" priority="37">
      <formula>F25&gt;0</formula>
    </cfRule>
    <cfRule type="expression" dxfId="1900" priority="38">
      <formula>F25&lt;0</formula>
    </cfRule>
  </conditionalFormatting>
  <conditionalFormatting sqref="Q7">
    <cfRule type="expression" dxfId="1899" priority="35">
      <formula>Q7&gt;0</formula>
    </cfRule>
    <cfRule type="expression" dxfId="1898" priority="36">
      <formula>Q7&lt;0</formula>
    </cfRule>
  </conditionalFormatting>
  <conditionalFormatting sqref="Q8">
    <cfRule type="expression" dxfId="1897" priority="33">
      <formula>Q8&gt;0</formula>
    </cfRule>
    <cfRule type="expression" dxfId="1896" priority="34">
      <formula>Q8&lt;0</formula>
    </cfRule>
  </conditionalFormatting>
  <conditionalFormatting sqref="F44:F46">
    <cfRule type="expression" dxfId="1895" priority="31">
      <formula>F44&gt;0</formula>
    </cfRule>
    <cfRule type="expression" dxfId="1894" priority="32">
      <formula>F44&lt;0</formula>
    </cfRule>
  </conditionalFormatting>
  <conditionalFormatting sqref="H44:H46">
    <cfRule type="expression" dxfId="1893" priority="29">
      <formula>H44&gt;0</formula>
    </cfRule>
    <cfRule type="expression" dxfId="1892" priority="30">
      <formula>H44&lt;0</formula>
    </cfRule>
  </conditionalFormatting>
  <conditionalFormatting sqref="F89:F110">
    <cfRule type="expression" dxfId="1891" priority="27">
      <formula>F89&gt;0</formula>
    </cfRule>
    <cfRule type="expression" dxfId="1890" priority="28">
      <formula>F89&lt;0</formula>
    </cfRule>
  </conditionalFormatting>
  <conditionalFormatting sqref="H89:H110">
    <cfRule type="expression" dxfId="1889" priority="25">
      <formula>H89&gt;0</formula>
    </cfRule>
    <cfRule type="expression" dxfId="1888" priority="26">
      <formula>H89&lt;0</formula>
    </cfRule>
  </conditionalFormatting>
  <conditionalFormatting sqref="Q10">
    <cfRule type="expression" dxfId="1887" priority="23">
      <formula>Q10&gt;0</formula>
    </cfRule>
    <cfRule type="expression" dxfId="1886" priority="24">
      <formula>Q10&lt;0</formula>
    </cfRule>
  </conditionalFormatting>
  <conditionalFormatting sqref="J25:J38">
    <cfRule type="expression" dxfId="1885" priority="21">
      <formula>J25&gt;0</formula>
    </cfRule>
    <cfRule type="expression" dxfId="1884" priority="22">
      <formula>J25&lt;0</formula>
    </cfRule>
  </conditionalFormatting>
  <conditionalFormatting sqref="K25:K38">
    <cfRule type="expression" dxfId="1883" priority="19">
      <formula>K25&gt;0</formula>
    </cfRule>
    <cfRule type="expression" dxfId="1882" priority="20">
      <formula>K25&lt;0</formula>
    </cfRule>
  </conditionalFormatting>
  <conditionalFormatting sqref="L25:L38">
    <cfRule type="expression" dxfId="1881" priority="17">
      <formula>L25&gt;0</formula>
    </cfRule>
    <cfRule type="expression" dxfId="1880" priority="18">
      <formula>L25&lt;0</formula>
    </cfRule>
  </conditionalFormatting>
  <conditionalFormatting sqref="J40">
    <cfRule type="expression" dxfId="1879" priority="15">
      <formula>J40&gt;0</formula>
    </cfRule>
    <cfRule type="expression" dxfId="1878" priority="16">
      <formula>J40&lt;0</formula>
    </cfRule>
  </conditionalFormatting>
  <conditionalFormatting sqref="L39">
    <cfRule type="expression" dxfId="1877" priority="11">
      <formula>L39&gt;0</formula>
    </cfRule>
    <cfRule type="expression" dxfId="1876" priority="12">
      <formula>L39&lt;0</formula>
    </cfRule>
  </conditionalFormatting>
  <conditionalFormatting sqref="F39">
    <cfRule type="expression" dxfId="1875" priority="9">
      <formula>F39&gt;0</formula>
    </cfRule>
    <cfRule type="expression" dxfId="1874" priority="10">
      <formula>F39&lt;0</formula>
    </cfRule>
  </conditionalFormatting>
  <conditionalFormatting sqref="H39">
    <cfRule type="expression" dxfId="1873" priority="7">
      <formula>H39&gt;0</formula>
    </cfRule>
    <cfRule type="expression" dxfId="1872" priority="8">
      <formula>H39&lt;0</formula>
    </cfRule>
  </conditionalFormatting>
  <conditionalFormatting sqref="J41">
    <cfRule type="expression" dxfId="1871" priority="5">
      <formula>J41&gt;0</formula>
    </cfRule>
    <cfRule type="expression" dxfId="1870" priority="6">
      <formula>J41&lt;0</formula>
    </cfRule>
  </conditionalFormatting>
  <conditionalFormatting sqref="J43">
    <cfRule type="expression" dxfId="1869" priority="3">
      <formula>J43&gt;0</formula>
    </cfRule>
    <cfRule type="expression" dxfId="1868" priority="4">
      <formula>J43&lt;0</formula>
    </cfRule>
  </conditionalFormatting>
  <conditionalFormatting sqref="J44">
    <cfRule type="expression" dxfId="1867" priority="1">
      <formula>J44&gt;0</formula>
    </cfRule>
    <cfRule type="expression" dxfId="186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31.9</v>
      </c>
      <c r="Y2" s="39">
        <v>32.130000000000003</v>
      </c>
      <c r="Z2" s="39">
        <v>31.57</v>
      </c>
      <c r="AA2" s="356">
        <v>31.67</v>
      </c>
      <c r="AB2" s="93">
        <v>341300</v>
      </c>
      <c r="AC2" s="238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31.6</v>
      </c>
      <c r="T3" s="118"/>
      <c r="W3" s="92">
        <v>42829</v>
      </c>
      <c r="X3" s="356">
        <v>32.1</v>
      </c>
      <c r="Y3" s="39">
        <v>32.1</v>
      </c>
      <c r="Z3" s="39">
        <v>31.67</v>
      </c>
      <c r="AA3" s="356">
        <v>31.79</v>
      </c>
      <c r="AB3" s="93">
        <v>466600</v>
      </c>
      <c r="AC3" s="238">
        <v>31.79</v>
      </c>
      <c r="AD3" s="2">
        <f>Y3-Z3</f>
        <v>0.42999999999999972</v>
      </c>
      <c r="AE3" s="134">
        <f>AC3/AC4-1</f>
        <v>-9.6573208722742221E-3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31.6</v>
      </c>
      <c r="R4" s="487">
        <v>1.0200000000000001E-2</v>
      </c>
      <c r="T4" s="118"/>
      <c r="W4" s="92">
        <v>42828</v>
      </c>
      <c r="X4" s="356">
        <v>31.84</v>
      </c>
      <c r="Y4" s="39">
        <v>32.200000000000003</v>
      </c>
      <c r="Z4" s="39">
        <v>31.82</v>
      </c>
      <c r="AA4" s="356">
        <v>32.1</v>
      </c>
      <c r="AB4" s="93">
        <v>472300</v>
      </c>
      <c r="AC4" s="238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31.85</v>
      </c>
      <c r="Y5" s="39">
        <v>32.090000000000003</v>
      </c>
      <c r="Z5" s="39">
        <v>31.76</v>
      </c>
      <c r="AA5" s="356">
        <v>31.83</v>
      </c>
      <c r="AB5" s="93">
        <v>318100</v>
      </c>
      <c r="AC5" s="238">
        <v>31.83</v>
      </c>
      <c r="AD5" s="2">
        <f t="shared" si="0"/>
        <v>0.33000000000000185</v>
      </c>
      <c r="AE5" s="134">
        <f t="shared" si="1"/>
        <v>-1.5683814303638632E-3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31.52</v>
      </c>
      <c r="Y6" s="39">
        <v>31.92</v>
      </c>
      <c r="Z6" s="39">
        <v>31.46</v>
      </c>
      <c r="AA6" s="356">
        <v>31.88</v>
      </c>
      <c r="AB6" s="93">
        <v>261900</v>
      </c>
      <c r="AC6" s="238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56">
        <v>31.87</v>
      </c>
      <c r="Y7" s="39">
        <v>31.88</v>
      </c>
      <c r="Z7" s="39">
        <v>31.46</v>
      </c>
      <c r="AA7" s="356">
        <v>31.68</v>
      </c>
      <c r="AB7" s="93">
        <v>462100</v>
      </c>
      <c r="AC7" s="238">
        <v>31.68</v>
      </c>
      <c r="AD7" s="2">
        <f t="shared" si="0"/>
        <v>0.41999999999999815</v>
      </c>
      <c r="AE7" s="134">
        <f t="shared" si="1"/>
        <v>-5.3375196232339217E-3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31.14</v>
      </c>
      <c r="Y8" s="39">
        <v>31.89</v>
      </c>
      <c r="Z8" s="39">
        <v>30.82</v>
      </c>
      <c r="AA8" s="356">
        <v>31.85</v>
      </c>
      <c r="AB8" s="93">
        <v>888100</v>
      </c>
      <c r="AC8" s="238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29.99</v>
      </c>
      <c r="Y9" s="39">
        <v>30.37</v>
      </c>
      <c r="Z9" s="39">
        <v>29.99</v>
      </c>
      <c r="AA9" s="356">
        <v>30.25</v>
      </c>
      <c r="AB9" s="93">
        <v>320000</v>
      </c>
      <c r="AC9" s="238">
        <v>30.25</v>
      </c>
      <c r="AD9" s="2">
        <f t="shared" si="0"/>
        <v>0.38000000000000256</v>
      </c>
      <c r="AE9" s="134">
        <f t="shared" si="1"/>
        <v>4.983388704318914E-3</v>
      </c>
      <c r="AK9" s="229"/>
      <c r="AN9" s="229"/>
    </row>
    <row r="10" spans="1:40" ht="12.75" customHeight="1" x14ac:dyDescent="0.25">
      <c r="O10" s="11" t="s">
        <v>209</v>
      </c>
      <c r="Q10" s="2">
        <f>M37</f>
        <v>171.89999999999964</v>
      </c>
      <c r="W10" s="92">
        <v>42818</v>
      </c>
      <c r="X10" s="356">
        <v>29.9</v>
      </c>
      <c r="Y10" s="39">
        <v>30.3</v>
      </c>
      <c r="Z10" s="39">
        <v>29.8</v>
      </c>
      <c r="AA10" s="356">
        <v>30.1</v>
      </c>
      <c r="AB10" s="93">
        <v>528400</v>
      </c>
      <c r="AC10" s="238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30.09</v>
      </c>
      <c r="Y11" s="39">
        <v>30.2</v>
      </c>
      <c r="Z11" s="39">
        <v>29.79</v>
      </c>
      <c r="AA11" s="356">
        <v>29.85</v>
      </c>
      <c r="AB11" s="93">
        <v>276500</v>
      </c>
      <c r="AC11" s="238">
        <v>29.85</v>
      </c>
      <c r="AD11" s="2">
        <f t="shared" si="0"/>
        <v>0.41000000000000014</v>
      </c>
      <c r="AE11" s="134">
        <f t="shared" si="1"/>
        <v>-8.3056478405315604E-3</v>
      </c>
      <c r="AK11" s="229"/>
      <c r="AN11" s="229"/>
    </row>
    <row r="12" spans="1:40" x14ac:dyDescent="0.25">
      <c r="W12" s="92">
        <v>42816</v>
      </c>
      <c r="X12" s="356">
        <v>30.32</v>
      </c>
      <c r="Y12" s="39">
        <v>30.42</v>
      </c>
      <c r="Z12" s="39">
        <v>29.93</v>
      </c>
      <c r="AA12" s="356">
        <v>30.1</v>
      </c>
      <c r="AB12" s="93">
        <v>235400</v>
      </c>
      <c r="AC12" s="238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56">
        <v>30.91</v>
      </c>
      <c r="Y13" s="39">
        <v>31.31</v>
      </c>
      <c r="Z13" s="39">
        <v>30.28</v>
      </c>
      <c r="AA13" s="356">
        <v>30.35</v>
      </c>
      <c r="AB13" s="93">
        <v>607200</v>
      </c>
      <c r="AC13" s="238">
        <v>30.35</v>
      </c>
      <c r="AD13" s="2">
        <f t="shared" si="0"/>
        <v>1.0299999999999976</v>
      </c>
      <c r="AE13" s="134">
        <f t="shared" si="1"/>
        <v>-1.3970110461338558E-2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31.09</v>
      </c>
      <c r="Y14" s="39">
        <v>31.38</v>
      </c>
      <c r="Z14" s="39">
        <v>30.62</v>
      </c>
      <c r="AA14" s="356">
        <v>30.78</v>
      </c>
      <c r="AB14" s="93">
        <v>1149200</v>
      </c>
      <c r="AC14" s="238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56">
        <v>31.19</v>
      </c>
      <c r="Y15" s="39">
        <v>31.23</v>
      </c>
      <c r="Z15" s="39">
        <v>30.79</v>
      </c>
      <c r="AA15" s="356">
        <v>31.1</v>
      </c>
      <c r="AB15" s="93">
        <v>314400</v>
      </c>
      <c r="AC15" s="238">
        <v>31.1</v>
      </c>
      <c r="AD15" s="2">
        <f t="shared" si="0"/>
        <v>0.44000000000000128</v>
      </c>
      <c r="AE15" s="134">
        <f t="shared" si="1"/>
        <v>-2.8855402372555128E-3</v>
      </c>
      <c r="AK15" s="229"/>
      <c r="AN15" s="229"/>
    </row>
    <row r="16" spans="1:40" x14ac:dyDescent="0.25">
      <c r="W16" s="92">
        <v>42810</v>
      </c>
      <c r="X16" s="356">
        <v>31.31</v>
      </c>
      <c r="Y16" s="39">
        <v>31.51</v>
      </c>
      <c r="Z16" s="39">
        <v>31.02</v>
      </c>
      <c r="AA16" s="356">
        <v>31.19</v>
      </c>
      <c r="AB16" s="93">
        <v>345600</v>
      </c>
      <c r="AC16" s="238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56">
        <v>30.8</v>
      </c>
      <c r="Y17" s="39">
        <v>31.58</v>
      </c>
      <c r="Z17" s="39">
        <v>30.8</v>
      </c>
      <c r="AA17" s="356">
        <v>31.3</v>
      </c>
      <c r="AB17" s="93">
        <v>598800</v>
      </c>
      <c r="AC17" s="238">
        <v>31.3</v>
      </c>
      <c r="AD17" s="2">
        <f t="shared" si="0"/>
        <v>0.77999999999999758</v>
      </c>
      <c r="AE17" s="134">
        <f t="shared" si="1"/>
        <v>1.065547303842429E-2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31</v>
      </c>
      <c r="Y18" s="39">
        <v>31.02</v>
      </c>
      <c r="Z18" s="39">
        <v>30.66</v>
      </c>
      <c r="AA18" s="356">
        <v>30.97</v>
      </c>
      <c r="AB18" s="93">
        <v>236500</v>
      </c>
      <c r="AC18" s="238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56">
        <v>30.56</v>
      </c>
      <c r="Y19" s="39">
        <v>31.14</v>
      </c>
      <c r="Z19" s="39">
        <v>30.56</v>
      </c>
      <c r="AA19" s="356">
        <v>31.06</v>
      </c>
      <c r="AB19" s="93">
        <v>348200</v>
      </c>
      <c r="AC19" s="238">
        <v>31.06</v>
      </c>
      <c r="AD19" s="2">
        <f t="shared" si="0"/>
        <v>0.58000000000000185</v>
      </c>
      <c r="AE19" s="134">
        <f t="shared" si="1"/>
        <v>6.8071312803887896E-3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30.96</v>
      </c>
      <c r="Y20" s="39">
        <v>30.98</v>
      </c>
      <c r="Z20" s="39">
        <v>30.6</v>
      </c>
      <c r="AA20" s="356">
        <v>30.85</v>
      </c>
      <c r="AB20" s="93">
        <v>256300</v>
      </c>
      <c r="AC20" s="238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8"/>
      <c r="C21" s="10"/>
      <c r="D21" s="39"/>
      <c r="E21" s="39"/>
      <c r="F21" s="39"/>
      <c r="G21" s="39"/>
      <c r="H21" s="226"/>
      <c r="I21" s="39"/>
      <c r="W21" s="92">
        <v>42803</v>
      </c>
      <c r="X21" s="356">
        <v>30.79</v>
      </c>
      <c r="Y21" s="39">
        <v>30.9</v>
      </c>
      <c r="Z21" s="39">
        <v>30.61</v>
      </c>
      <c r="AA21" s="356">
        <v>30.79</v>
      </c>
      <c r="AB21" s="93">
        <v>235100</v>
      </c>
      <c r="AC21" s="238">
        <v>30.79</v>
      </c>
      <c r="AD21" s="2">
        <f t="shared" si="0"/>
        <v>0.28999999999999915</v>
      </c>
      <c r="AE21" s="134">
        <f t="shared" si="1"/>
        <v>-3.2467532467539417E-4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356">
        <v>30.76</v>
      </c>
      <c r="Y22" s="39">
        <v>30.88</v>
      </c>
      <c r="Z22" s="39">
        <v>30.63</v>
      </c>
      <c r="AA22" s="356">
        <v>30.8</v>
      </c>
      <c r="AB22" s="93">
        <v>254700</v>
      </c>
      <c r="AC22" s="238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356">
        <v>31.07</v>
      </c>
      <c r="Y23" s="39">
        <v>31.09</v>
      </c>
      <c r="Z23" s="39">
        <v>30.67</v>
      </c>
      <c r="AA23" s="356">
        <v>30.73</v>
      </c>
      <c r="AB23" s="93">
        <v>319300</v>
      </c>
      <c r="AC23" s="238">
        <v>30.73</v>
      </c>
      <c r="AD23" s="2">
        <f t="shared" si="0"/>
        <v>0.41999999999999815</v>
      </c>
      <c r="AE23" s="134">
        <f t="shared" si="1"/>
        <v>-1.1261261261261146E-2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356">
        <v>31.01</v>
      </c>
      <c r="Y24" s="39">
        <v>31.24</v>
      </c>
      <c r="Z24" s="39">
        <v>30.93</v>
      </c>
      <c r="AA24" s="356">
        <v>31.08</v>
      </c>
      <c r="AB24" s="93">
        <v>348500</v>
      </c>
      <c r="AC24" s="238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356">
        <v>31.1</v>
      </c>
      <c r="Y25" s="39">
        <v>31.36</v>
      </c>
      <c r="Z25" s="39">
        <v>31.03</v>
      </c>
      <c r="AA25" s="356">
        <v>31.15</v>
      </c>
      <c r="AB25" s="93">
        <v>706300</v>
      </c>
      <c r="AC25" s="238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356">
        <v>31.54</v>
      </c>
      <c r="Y26" s="39">
        <v>31.54</v>
      </c>
      <c r="Z26" s="39">
        <v>31.24</v>
      </c>
      <c r="AA26" s="356">
        <v>31.4</v>
      </c>
      <c r="AB26" s="93">
        <v>283100</v>
      </c>
      <c r="AC26" s="238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356">
        <v>31.49</v>
      </c>
      <c r="Y27" s="39">
        <v>31.77</v>
      </c>
      <c r="Z27" s="39">
        <v>31.3</v>
      </c>
      <c r="AA27" s="356">
        <v>31.49</v>
      </c>
      <c r="AB27" s="93">
        <v>375800</v>
      </c>
      <c r="AC27" s="238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356">
        <v>31.82</v>
      </c>
      <c r="Y28" s="39">
        <v>32.03</v>
      </c>
      <c r="Z28" s="39">
        <v>31.29</v>
      </c>
      <c r="AA28" s="356">
        <v>31.43</v>
      </c>
      <c r="AB28" s="93">
        <v>613700</v>
      </c>
      <c r="AC28" s="238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356">
        <v>31.32</v>
      </c>
      <c r="Y29" s="39">
        <v>32.07</v>
      </c>
      <c r="Z29" s="39">
        <v>31.18</v>
      </c>
      <c r="AA29" s="356">
        <v>32.049999999999997</v>
      </c>
      <c r="AB29" s="93">
        <v>922800</v>
      </c>
      <c r="AC29" s="238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356">
        <v>31.28</v>
      </c>
      <c r="Y30" s="39">
        <v>31.45</v>
      </c>
      <c r="Z30" s="39">
        <v>31.25</v>
      </c>
      <c r="AA30" s="356">
        <v>31.34</v>
      </c>
      <c r="AB30" s="93">
        <v>561000</v>
      </c>
      <c r="AC30" s="238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39"/>
      <c r="W31" s="92">
        <v>42789</v>
      </c>
      <c r="X31" s="356">
        <v>31.69</v>
      </c>
      <c r="Y31" s="39">
        <v>31.82</v>
      </c>
      <c r="Z31" s="39">
        <v>31.39</v>
      </c>
      <c r="AA31" s="356">
        <v>31.44</v>
      </c>
      <c r="AB31" s="93">
        <v>553200</v>
      </c>
      <c r="AC31" s="238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356">
        <v>31.5</v>
      </c>
      <c r="Y32" s="39">
        <v>31.98</v>
      </c>
      <c r="Z32" s="39">
        <v>31.5</v>
      </c>
      <c r="AA32" s="356">
        <v>31.73</v>
      </c>
      <c r="AB32" s="93">
        <v>467100</v>
      </c>
      <c r="AC32" s="238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356">
        <v>31.27</v>
      </c>
      <c r="Y33" s="39">
        <v>31.74</v>
      </c>
      <c r="Z33" s="39">
        <v>31.08</v>
      </c>
      <c r="AA33" s="356">
        <v>31.61</v>
      </c>
      <c r="AB33" s="93">
        <v>358700</v>
      </c>
      <c r="AC33" s="238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31.19</v>
      </c>
      <c r="Y34" s="39">
        <v>31.41</v>
      </c>
      <c r="Z34" s="39">
        <v>30.97</v>
      </c>
      <c r="AA34" s="356">
        <v>31.35</v>
      </c>
      <c r="AB34" s="93">
        <v>416000</v>
      </c>
      <c r="AC34" s="238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31.56</v>
      </c>
      <c r="Y35" s="39">
        <v>31.61</v>
      </c>
      <c r="Z35" s="39">
        <v>31.06</v>
      </c>
      <c r="AA35" s="356">
        <v>31.2</v>
      </c>
      <c r="AB35" s="93">
        <v>459800</v>
      </c>
      <c r="AC35" s="238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56">
        <v>31.84</v>
      </c>
      <c r="Y36" s="39">
        <v>31.92</v>
      </c>
      <c r="Z36" s="39">
        <v>31.42</v>
      </c>
      <c r="AA36" s="356">
        <v>31.44</v>
      </c>
      <c r="AB36" s="93">
        <v>501300</v>
      </c>
      <c r="AC36" s="238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209</v>
      </c>
      <c r="M37" s="2">
        <f>M55+K55-F55</f>
        <v>171.89999999999964</v>
      </c>
      <c r="W37" s="92">
        <v>42780</v>
      </c>
      <c r="X37" s="356">
        <v>31.56</v>
      </c>
      <c r="Y37" s="39">
        <v>31.98</v>
      </c>
      <c r="Z37" s="39">
        <v>31.56</v>
      </c>
      <c r="AA37" s="356">
        <v>31.95</v>
      </c>
      <c r="AB37" s="93">
        <v>367800</v>
      </c>
      <c r="AC37" s="238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31.4</v>
      </c>
      <c r="Y38" s="39">
        <v>31.59</v>
      </c>
      <c r="Z38" s="39">
        <v>31.2</v>
      </c>
      <c r="AA38" s="356">
        <v>31.55</v>
      </c>
      <c r="AB38" s="93">
        <v>608400</v>
      </c>
      <c r="AC38" s="238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8" t="s">
        <v>23</v>
      </c>
      <c r="B39" s="259">
        <v>42619</v>
      </c>
      <c r="C39" s="254">
        <v>50</v>
      </c>
      <c r="D39" s="255">
        <v>31.18</v>
      </c>
      <c r="E39" s="255">
        <v>0</v>
      </c>
      <c r="F39" s="255">
        <f>D39*C39+E39</f>
        <v>1559</v>
      </c>
      <c r="G39" s="259">
        <v>42741</v>
      </c>
      <c r="H39" s="254">
        <v>50</v>
      </c>
      <c r="I39" s="255">
        <v>31.62</v>
      </c>
      <c r="J39" s="255">
        <v>0.03</v>
      </c>
      <c r="K39" s="255">
        <f>I39*H39-J39</f>
        <v>1580.97</v>
      </c>
      <c r="L39" s="259"/>
      <c r="M39" s="255"/>
      <c r="O39" s="11"/>
      <c r="P39" s="804" t="s">
        <v>78</v>
      </c>
      <c r="Q39" s="804"/>
      <c r="R39" s="33"/>
      <c r="T39" s="89" t="s">
        <v>112</v>
      </c>
      <c r="W39" s="92">
        <v>42776</v>
      </c>
      <c r="X39" s="356">
        <v>31.47</v>
      </c>
      <c r="Y39" s="39">
        <v>31.64</v>
      </c>
      <c r="Z39" s="39">
        <v>31.04</v>
      </c>
      <c r="AA39" s="356">
        <v>31.33</v>
      </c>
      <c r="AB39" s="93">
        <v>491100</v>
      </c>
      <c r="AC39" s="238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61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4"/>
      <c r="O40" s="2"/>
      <c r="P40" s="81">
        <v>1.1000000000000001</v>
      </c>
      <c r="Q40" s="81">
        <f>P40*$Q$4</f>
        <v>34.760000000000005</v>
      </c>
      <c r="R40" s="33"/>
      <c r="T40" s="95" t="s">
        <v>97</v>
      </c>
      <c r="U40" s="126">
        <v>31.79</v>
      </c>
      <c r="W40" s="92">
        <v>42775</v>
      </c>
      <c r="X40" s="356">
        <v>31.14</v>
      </c>
      <c r="Y40" s="39">
        <v>31.56</v>
      </c>
      <c r="Z40" s="39">
        <v>31.02</v>
      </c>
      <c r="AA40" s="356">
        <v>31.47</v>
      </c>
      <c r="AB40" s="93">
        <v>597900</v>
      </c>
      <c r="AC40" s="238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2">P41*$Q$4</f>
        <v>34.444000000000003</v>
      </c>
      <c r="R41" s="33"/>
      <c r="T41" s="85" t="s">
        <v>98</v>
      </c>
      <c r="U41" s="127">
        <v>31.9</v>
      </c>
      <c r="W41" s="92">
        <v>42774</v>
      </c>
      <c r="X41" s="356">
        <v>30.82</v>
      </c>
      <c r="Y41" s="39">
        <v>31.19</v>
      </c>
      <c r="Z41" s="39">
        <v>30.72</v>
      </c>
      <c r="AA41" s="356">
        <v>31.08</v>
      </c>
      <c r="AB41" s="93">
        <v>950100</v>
      </c>
      <c r="AC41" s="238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2"/>
        <v>34.128000000000007</v>
      </c>
      <c r="R42" s="33"/>
      <c r="T42" s="85" t="s">
        <v>99</v>
      </c>
      <c r="U42" s="127" t="s">
        <v>128</v>
      </c>
      <c r="W42" s="92">
        <v>42773</v>
      </c>
      <c r="X42" s="356">
        <v>31.54</v>
      </c>
      <c r="Y42" s="39">
        <v>31.9</v>
      </c>
      <c r="Z42" s="39">
        <v>29.15</v>
      </c>
      <c r="AA42" s="356">
        <v>30.75</v>
      </c>
      <c r="AB42" s="93">
        <v>2003200</v>
      </c>
      <c r="AC42" s="238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2"/>
        <v>33.812000000000005</v>
      </c>
      <c r="R43" s="81"/>
      <c r="T43" s="85" t="s">
        <v>100</v>
      </c>
      <c r="U43" s="127" t="s">
        <v>544</v>
      </c>
      <c r="W43" s="92">
        <v>42772</v>
      </c>
      <c r="X43" s="356">
        <v>31.72</v>
      </c>
      <c r="Y43" s="39">
        <v>32.26</v>
      </c>
      <c r="Z43" s="39">
        <v>31.58</v>
      </c>
      <c r="AA43" s="356">
        <v>32.18</v>
      </c>
      <c r="AB43" s="93">
        <v>704900</v>
      </c>
      <c r="AC43" s="238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2"/>
        <v>33.496000000000002</v>
      </c>
      <c r="R44" s="81"/>
      <c r="T44" s="85" t="s">
        <v>101</v>
      </c>
      <c r="U44" s="127">
        <v>37.67</v>
      </c>
      <c r="W44" s="92">
        <v>42769</v>
      </c>
      <c r="X44" s="356">
        <v>31.43</v>
      </c>
      <c r="Y44" s="39">
        <v>32.03</v>
      </c>
      <c r="Z44" s="39">
        <v>31.37</v>
      </c>
      <c r="AA44" s="356">
        <v>31.84</v>
      </c>
      <c r="AB44" s="93">
        <v>503400</v>
      </c>
      <c r="AC44" s="238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2"/>
        <v>33.18</v>
      </c>
      <c r="R45" s="81"/>
      <c r="T45" s="85" t="s">
        <v>102</v>
      </c>
      <c r="U45" s="127">
        <v>0.445183</v>
      </c>
      <c r="W45" s="92">
        <v>42768</v>
      </c>
      <c r="X45" s="356">
        <v>31.7</v>
      </c>
      <c r="Y45" s="39">
        <v>31.83</v>
      </c>
      <c r="Z45" s="39">
        <v>31.37</v>
      </c>
      <c r="AA45" s="356">
        <v>31.48</v>
      </c>
      <c r="AB45" s="93">
        <v>417200</v>
      </c>
      <c r="AC45" s="238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2"/>
        <v>32.864000000000004</v>
      </c>
      <c r="R46" s="81"/>
      <c r="T46" s="85" t="s">
        <v>121</v>
      </c>
      <c r="U46" s="227" t="s">
        <v>434</v>
      </c>
      <c r="W46" s="92">
        <v>42767</v>
      </c>
      <c r="X46" s="356">
        <v>31.89</v>
      </c>
      <c r="Y46" s="39">
        <v>32.17</v>
      </c>
      <c r="Z46" s="39">
        <v>31.47</v>
      </c>
      <c r="AA46" s="356">
        <v>31.65</v>
      </c>
      <c r="AB46" s="93">
        <v>357500</v>
      </c>
      <c r="AC46" s="238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2"/>
        <v>32.548000000000002</v>
      </c>
      <c r="R47" s="81"/>
      <c r="T47" s="85"/>
      <c r="U47" s="127"/>
      <c r="W47" s="92">
        <v>42766</v>
      </c>
      <c r="X47" s="356">
        <v>31.04</v>
      </c>
      <c r="Y47" s="39">
        <v>31.87</v>
      </c>
      <c r="Z47" s="39">
        <v>30.97</v>
      </c>
      <c r="AA47" s="356">
        <v>31.86</v>
      </c>
      <c r="AB47" s="93">
        <v>623000</v>
      </c>
      <c r="AC47" s="238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2"/>
        <v>32.231999999999999</v>
      </c>
      <c r="R48" s="81"/>
      <c r="T48" s="85" t="s">
        <v>104</v>
      </c>
      <c r="U48" s="127" t="s">
        <v>603</v>
      </c>
      <c r="W48" s="92">
        <v>42765</v>
      </c>
      <c r="X48" s="356">
        <v>31.05</v>
      </c>
      <c r="Y48" s="39">
        <v>31.15</v>
      </c>
      <c r="Z48" s="39">
        <v>30.82</v>
      </c>
      <c r="AA48" s="356">
        <v>31</v>
      </c>
      <c r="AB48" s="93">
        <v>453200</v>
      </c>
      <c r="AC48" s="238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2"/>
        <v>31.916</v>
      </c>
      <c r="R49" s="81"/>
      <c r="T49" s="85" t="s">
        <v>105</v>
      </c>
      <c r="U49" s="127" t="s">
        <v>337</v>
      </c>
      <c r="W49" s="92">
        <v>42762</v>
      </c>
      <c r="X49" s="356">
        <v>31.63</v>
      </c>
      <c r="Y49" s="39">
        <v>31.63</v>
      </c>
      <c r="Z49" s="39">
        <v>31.03</v>
      </c>
      <c r="AA49" s="356">
        <v>31.22</v>
      </c>
      <c r="AB49" s="93">
        <v>809200</v>
      </c>
      <c r="AC49" s="238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2"/>
        <v>31.6</v>
      </c>
      <c r="R50" s="81"/>
      <c r="T50" s="85" t="s">
        <v>106</v>
      </c>
      <c r="U50" s="128">
        <v>349106</v>
      </c>
      <c r="W50" s="92">
        <v>42761</v>
      </c>
      <c r="X50" s="356">
        <v>31.42</v>
      </c>
      <c r="Y50" s="39">
        <v>31.8</v>
      </c>
      <c r="Z50" s="39">
        <v>31.27</v>
      </c>
      <c r="AA50" s="356">
        <v>31.51</v>
      </c>
      <c r="AB50" s="93">
        <v>839400</v>
      </c>
      <c r="AC50" s="238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2"/>
        <v>31.284000000000002</v>
      </c>
      <c r="R51" s="81"/>
      <c r="T51" s="85" t="s">
        <v>109</v>
      </c>
      <c r="U51" s="128">
        <v>511145</v>
      </c>
      <c r="W51" s="92">
        <v>42760</v>
      </c>
      <c r="X51" s="356">
        <v>31.65</v>
      </c>
      <c r="Y51" s="39">
        <v>31.83</v>
      </c>
      <c r="Z51" s="39">
        <v>31.38</v>
      </c>
      <c r="AA51" s="356">
        <v>31.4</v>
      </c>
      <c r="AB51" s="93">
        <v>807700</v>
      </c>
      <c r="AC51" s="238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2"/>
        <v>30.968</v>
      </c>
      <c r="R52" s="81"/>
      <c r="T52" s="85" t="s">
        <v>107</v>
      </c>
      <c r="U52" s="127" t="s">
        <v>604</v>
      </c>
      <c r="W52" s="92">
        <v>42759</v>
      </c>
      <c r="X52" s="356">
        <v>31.76</v>
      </c>
      <c r="Y52" s="39">
        <v>31.84</v>
      </c>
      <c r="Z52" s="39">
        <v>31.32</v>
      </c>
      <c r="AA52" s="356">
        <v>31.67</v>
      </c>
      <c r="AB52" s="93">
        <v>1254600</v>
      </c>
      <c r="AC52" s="238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2"/>
        <v>30.652000000000001</v>
      </c>
      <c r="R53" s="81"/>
      <c r="T53" s="85" t="s">
        <v>110</v>
      </c>
      <c r="U53" s="127">
        <v>15.28</v>
      </c>
      <c r="W53" s="92">
        <v>42758</v>
      </c>
      <c r="X53" s="356">
        <v>32.340000000000003</v>
      </c>
      <c r="Y53" s="39">
        <v>32.340000000000003</v>
      </c>
      <c r="Z53" s="39">
        <v>31.79</v>
      </c>
      <c r="AA53" s="356">
        <v>31.8</v>
      </c>
      <c r="AB53" s="93">
        <v>430400</v>
      </c>
      <c r="AC53" s="238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2"/>
        <v>30.335999999999999</v>
      </c>
      <c r="R54" s="81"/>
      <c r="T54" s="85" t="s">
        <v>111</v>
      </c>
      <c r="U54" s="127">
        <v>2.0699999999999998</v>
      </c>
      <c r="W54" s="92">
        <v>42755</v>
      </c>
      <c r="X54" s="356">
        <v>32.5</v>
      </c>
      <c r="Y54" s="39">
        <v>32.56</v>
      </c>
      <c r="Z54" s="39">
        <v>32.29</v>
      </c>
      <c r="AA54" s="356">
        <v>32.39</v>
      </c>
      <c r="AB54" s="93">
        <v>214600</v>
      </c>
      <c r="AC54" s="238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30.02</v>
      </c>
      <c r="R55" s="81"/>
      <c r="T55" s="85" t="s">
        <v>108</v>
      </c>
      <c r="U55" s="127" t="s">
        <v>122</v>
      </c>
      <c r="W55" s="92">
        <v>42754</v>
      </c>
      <c r="X55" s="356">
        <v>32.69</v>
      </c>
      <c r="Y55" s="39">
        <v>32.79</v>
      </c>
      <c r="Z55" s="39">
        <v>32.33</v>
      </c>
      <c r="AA55" s="356">
        <v>32.35</v>
      </c>
      <c r="AB55" s="93">
        <v>347500</v>
      </c>
      <c r="AC55" s="238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29.704000000000001</v>
      </c>
      <c r="R56" s="81"/>
      <c r="W56" s="92">
        <v>42753</v>
      </c>
      <c r="X56" s="356">
        <v>32.75</v>
      </c>
      <c r="Y56" s="39">
        <v>32.86</v>
      </c>
      <c r="Z56" s="39">
        <v>32.4</v>
      </c>
      <c r="AA56" s="356">
        <v>32.770000000000003</v>
      </c>
      <c r="AB56" s="93">
        <v>353000</v>
      </c>
      <c r="AC56" s="238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29.388000000000002</v>
      </c>
      <c r="R57" s="81"/>
      <c r="W57" s="92">
        <v>42752</v>
      </c>
      <c r="X57" s="356">
        <v>32.46</v>
      </c>
      <c r="Y57" s="39">
        <v>32.67</v>
      </c>
      <c r="Z57" s="39">
        <v>32.159999999999997</v>
      </c>
      <c r="AA57" s="356">
        <v>32.64</v>
      </c>
      <c r="AB57" s="93">
        <v>283300</v>
      </c>
      <c r="AC57" s="238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29.072000000000003</v>
      </c>
      <c r="R58" s="81"/>
      <c r="W58" s="92">
        <v>42748</v>
      </c>
      <c r="X58" s="356">
        <v>32.15</v>
      </c>
      <c r="Y58" s="39">
        <v>32.54</v>
      </c>
      <c r="Z58" s="39">
        <v>32.04</v>
      </c>
      <c r="AA58" s="356">
        <v>32.520000000000003</v>
      </c>
      <c r="AB58" s="93">
        <v>257000</v>
      </c>
      <c r="AC58" s="238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6" t="s">
        <v>113</v>
      </c>
      <c r="C59" s="186" t="s">
        <v>146</v>
      </c>
      <c r="D59" s="187" t="s">
        <v>145</v>
      </c>
      <c r="E59" s="189" t="s">
        <v>147</v>
      </c>
      <c r="F59" s="189" t="s">
        <v>65</v>
      </c>
      <c r="G59" s="224" t="s">
        <v>151</v>
      </c>
      <c r="H59" s="224" t="s">
        <v>88</v>
      </c>
      <c r="I59" s="224" t="s">
        <v>154</v>
      </c>
      <c r="O59" s="2"/>
      <c r="P59" s="81">
        <v>0.91</v>
      </c>
      <c r="Q59" s="81">
        <f t="shared" si="2"/>
        <v>28.756000000000004</v>
      </c>
      <c r="R59" s="81"/>
      <c r="W59" s="92">
        <v>42747</v>
      </c>
      <c r="X59" s="356">
        <v>31.7</v>
      </c>
      <c r="Y59" s="39">
        <v>32.15</v>
      </c>
      <c r="Z59" s="39">
        <v>31.61</v>
      </c>
      <c r="AA59" s="356">
        <v>32.11</v>
      </c>
      <c r="AB59" s="93">
        <v>244700</v>
      </c>
      <c r="AC59" s="238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9">
        <v>42619</v>
      </c>
      <c r="C60" s="254">
        <v>50</v>
      </c>
      <c r="D60" s="255">
        <v>31.18</v>
      </c>
      <c r="E60" s="255">
        <v>31.29</v>
      </c>
      <c r="F60" s="255">
        <f t="shared" ref="F60:F65" si="3">C60*(E60-D60)</f>
        <v>5.4999999999999716</v>
      </c>
      <c r="G60" s="255">
        <f t="shared" ref="G60:G65" si="4">D60*C60</f>
        <v>1559</v>
      </c>
      <c r="H60" s="269">
        <f t="shared" ref="H60:H65" si="5">(E60-D60)/D60</f>
        <v>3.5279025016035736E-3</v>
      </c>
      <c r="I60" s="255"/>
      <c r="O60" s="2"/>
      <c r="P60" s="81">
        <v>0.9</v>
      </c>
      <c r="Q60" s="81">
        <f t="shared" si="2"/>
        <v>28.44</v>
      </c>
      <c r="R60" s="81"/>
      <c r="W60" s="92">
        <v>42746</v>
      </c>
      <c r="X60" s="356">
        <v>32.090000000000003</v>
      </c>
      <c r="Y60" s="39">
        <v>32.24</v>
      </c>
      <c r="Z60" s="39">
        <v>31.69</v>
      </c>
      <c r="AA60" s="356">
        <v>31.85</v>
      </c>
      <c r="AB60" s="93">
        <v>292300</v>
      </c>
      <c r="AC60" s="238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9">
        <v>42620</v>
      </c>
      <c r="C61" s="254">
        <v>50</v>
      </c>
      <c r="D61" s="255">
        <v>31.18</v>
      </c>
      <c r="E61" s="255">
        <v>31.51</v>
      </c>
      <c r="F61" s="255">
        <f t="shared" si="3"/>
        <v>16.500000000000092</v>
      </c>
      <c r="G61" s="255">
        <f t="shared" si="4"/>
        <v>1559</v>
      </c>
      <c r="H61" s="269">
        <f t="shared" si="5"/>
        <v>1.0583707504810835E-2</v>
      </c>
      <c r="I61" s="255"/>
      <c r="W61" s="92">
        <v>42745</v>
      </c>
      <c r="X61" s="356">
        <v>31.82</v>
      </c>
      <c r="Y61" s="39">
        <v>32.340000000000003</v>
      </c>
      <c r="Z61" s="39">
        <v>31.66</v>
      </c>
      <c r="AA61" s="356">
        <v>32.1</v>
      </c>
      <c r="AB61" s="93">
        <v>581000</v>
      </c>
      <c r="AC61" s="238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9">
        <v>42621</v>
      </c>
      <c r="C62" s="254">
        <v>50</v>
      </c>
      <c r="D62" s="255">
        <v>31.18</v>
      </c>
      <c r="E62" s="255">
        <v>31.65</v>
      </c>
      <c r="F62" s="255">
        <f t="shared" si="3"/>
        <v>23.499999999999943</v>
      </c>
      <c r="G62" s="255">
        <f t="shared" si="4"/>
        <v>1559</v>
      </c>
      <c r="H62" s="269">
        <f t="shared" si="5"/>
        <v>1.5073765234124403E-2</v>
      </c>
      <c r="I62" s="255"/>
      <c r="W62" s="92">
        <v>42744</v>
      </c>
      <c r="X62" s="356">
        <v>31.86</v>
      </c>
      <c r="Y62" s="39">
        <v>31.97</v>
      </c>
      <c r="Z62" s="39">
        <v>31.62</v>
      </c>
      <c r="AA62" s="356">
        <v>31.79</v>
      </c>
      <c r="AB62" s="93">
        <v>678600</v>
      </c>
      <c r="AC62" s="238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9">
        <v>42622</v>
      </c>
      <c r="C63" s="254">
        <v>50</v>
      </c>
      <c r="D63" s="255">
        <v>31.18</v>
      </c>
      <c r="E63" s="255">
        <v>31.5</v>
      </c>
      <c r="F63" s="255">
        <f t="shared" si="3"/>
        <v>16.000000000000014</v>
      </c>
      <c r="G63" s="255">
        <f t="shared" si="4"/>
        <v>1559</v>
      </c>
      <c r="H63" s="269">
        <f t="shared" si="5"/>
        <v>1.0262989095574096E-2</v>
      </c>
      <c r="I63" s="255"/>
      <c r="W63" s="92">
        <v>42741</v>
      </c>
      <c r="X63" s="356">
        <v>31.12</v>
      </c>
      <c r="Y63" s="39">
        <v>31.82</v>
      </c>
      <c r="Z63" s="39">
        <v>31</v>
      </c>
      <c r="AA63" s="356">
        <v>31.81</v>
      </c>
      <c r="AB63" s="93">
        <v>376900</v>
      </c>
      <c r="AC63" s="238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9">
        <v>42634</v>
      </c>
      <c r="C64" s="254">
        <v>50</v>
      </c>
      <c r="D64" s="255">
        <v>31.18</v>
      </c>
      <c r="E64" s="255">
        <v>32.049999999999997</v>
      </c>
      <c r="F64" s="255">
        <f t="shared" si="3"/>
        <v>43.499999999999872</v>
      </c>
      <c r="G64" s="255">
        <f t="shared" si="4"/>
        <v>1559</v>
      </c>
      <c r="H64" s="269">
        <f t="shared" si="5"/>
        <v>2.7902501603591964E-2</v>
      </c>
      <c r="I64" s="255"/>
      <c r="W64" s="92">
        <v>42740</v>
      </c>
      <c r="X64" s="356">
        <v>31.12</v>
      </c>
      <c r="Y64" s="39">
        <v>31.55</v>
      </c>
      <c r="Z64" s="39">
        <v>31.03</v>
      </c>
      <c r="AA64" s="356">
        <v>31.12</v>
      </c>
      <c r="AB64" s="93">
        <v>871500</v>
      </c>
      <c r="AC64" s="238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9">
        <v>42648</v>
      </c>
      <c r="C65" s="254">
        <v>50</v>
      </c>
      <c r="D65" s="255">
        <v>31.18</v>
      </c>
      <c r="E65" s="255">
        <v>31.87</v>
      </c>
      <c r="F65" s="255">
        <f t="shared" si="3"/>
        <v>34.500000000000064</v>
      </c>
      <c r="G65" s="255">
        <f t="shared" si="4"/>
        <v>1559</v>
      </c>
      <c r="H65" s="269">
        <f t="shared" si="5"/>
        <v>2.2129570237331662E-2</v>
      </c>
      <c r="I65" s="255"/>
      <c r="W65" s="92">
        <v>42739</v>
      </c>
      <c r="X65" s="356">
        <v>31.05</v>
      </c>
      <c r="Y65" s="39">
        <v>31.65</v>
      </c>
      <c r="Z65" s="39">
        <v>30.96</v>
      </c>
      <c r="AA65" s="356">
        <v>31.11</v>
      </c>
      <c r="AB65" s="93">
        <v>895800</v>
      </c>
      <c r="AC65" s="238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9">
        <v>42649</v>
      </c>
      <c r="C66" s="254">
        <v>50</v>
      </c>
      <c r="D66" s="255">
        <v>31.18</v>
      </c>
      <c r="E66" s="255">
        <v>31.61</v>
      </c>
      <c r="F66" s="255">
        <f>C66*(E66-D66)</f>
        <v>21.499999999999986</v>
      </c>
      <c r="G66" s="255">
        <f>D66*C66</f>
        <v>1559</v>
      </c>
      <c r="H66" s="269">
        <f>(E66-D66)/D66</f>
        <v>1.379089159717767E-2</v>
      </c>
      <c r="I66" s="255"/>
      <c r="W66" s="92">
        <v>42738</v>
      </c>
      <c r="X66" s="356">
        <v>30.41</v>
      </c>
      <c r="Y66" s="39">
        <v>31.08</v>
      </c>
      <c r="Z66" s="39">
        <v>30.26</v>
      </c>
      <c r="AA66" s="356">
        <v>31.08</v>
      </c>
      <c r="AB66" s="93">
        <v>572200</v>
      </c>
      <c r="AC66" s="238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9">
        <v>42701</v>
      </c>
      <c r="C67" s="254">
        <v>50</v>
      </c>
      <c r="D67" s="255">
        <v>31.18</v>
      </c>
      <c r="E67" s="255">
        <v>29.98</v>
      </c>
      <c r="F67" s="255">
        <f>C67*(E67-D67)</f>
        <v>-59.999999999999964</v>
      </c>
      <c r="G67" s="255">
        <f>D67*C67</f>
        <v>1559</v>
      </c>
      <c r="H67" s="269">
        <f>(E67-D67)/D67</f>
        <v>-3.8486209108402801E-2</v>
      </c>
      <c r="I67" s="255"/>
      <c r="W67" s="92">
        <v>42734</v>
      </c>
      <c r="X67" s="356">
        <v>30.42</v>
      </c>
      <c r="Y67" s="39">
        <v>30.48</v>
      </c>
      <c r="Z67" s="39">
        <v>30.21</v>
      </c>
      <c r="AA67" s="356">
        <v>30.36</v>
      </c>
      <c r="AB67" s="93">
        <v>304700</v>
      </c>
      <c r="AC67" s="238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9">
        <v>42741</v>
      </c>
      <c r="C68" s="254">
        <v>0</v>
      </c>
      <c r="D68" s="255"/>
      <c r="E68" s="255">
        <v>21.97</v>
      </c>
      <c r="F68" s="255"/>
      <c r="G68" s="255"/>
      <c r="H68" s="269"/>
      <c r="I68" s="255"/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:31" x14ac:dyDescent="0.25">
      <c r="B69" s="188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6">
        <f>(E69-D69)/D69</f>
        <v>5.0204918032786844E-2</v>
      </c>
      <c r="I69" s="39"/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  <row r="70" spans="2:31" x14ac:dyDescent="0.25">
      <c r="B70" s="188">
        <v>42804</v>
      </c>
      <c r="C70" s="10">
        <v>0</v>
      </c>
      <c r="D70" s="39"/>
      <c r="E70" s="39">
        <v>30.85</v>
      </c>
      <c r="F70" s="39">
        <v>149.93</v>
      </c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865" priority="31">
      <formula>F29&gt;0</formula>
    </cfRule>
    <cfRule type="expression" dxfId="1864" priority="32">
      <formula>F29&lt;0</formula>
    </cfRule>
  </conditionalFormatting>
  <conditionalFormatting sqref="F29 F31:F35">
    <cfRule type="expression" dxfId="1863" priority="33">
      <formula>F29&gt;0</formula>
    </cfRule>
    <cfRule type="expression" dxfId="1862" priority="34">
      <formula>F29&lt;0</formula>
    </cfRule>
  </conditionalFormatting>
  <conditionalFormatting sqref="H29 H31:H35">
    <cfRule type="expression" dxfId="1861" priority="29">
      <formula>H29&gt;0</formula>
    </cfRule>
    <cfRule type="expression" dxfId="1860" priority="30">
      <formula>H29&lt;0</formula>
    </cfRule>
  </conditionalFormatting>
  <conditionalFormatting sqref="F21:F28">
    <cfRule type="expression" dxfId="1859" priority="27">
      <formula>F21&gt;0</formula>
    </cfRule>
    <cfRule type="expression" dxfId="1858" priority="28">
      <formula>F21&lt;0</formula>
    </cfRule>
  </conditionalFormatting>
  <conditionalFormatting sqref="H21:H28">
    <cfRule type="expression" dxfId="1857" priority="25">
      <formula>H21&gt;0</formula>
    </cfRule>
    <cfRule type="expression" dxfId="1856" priority="26">
      <formula>H21&lt;0</formula>
    </cfRule>
  </conditionalFormatting>
  <conditionalFormatting sqref="Q8">
    <cfRule type="expression" dxfId="1855" priority="21">
      <formula>Q8&gt;0</formula>
    </cfRule>
    <cfRule type="expression" dxfId="1854" priority="22">
      <formula>Q8&lt;0</formula>
    </cfRule>
  </conditionalFormatting>
  <conditionalFormatting sqref="Q7">
    <cfRule type="expression" dxfId="1853" priority="23">
      <formula>Q7&gt;0</formula>
    </cfRule>
    <cfRule type="expression" dxfId="1852" priority="24">
      <formula>Q7&lt;0</formula>
    </cfRule>
  </conditionalFormatting>
  <conditionalFormatting sqref="F30">
    <cfRule type="expression" dxfId="1851" priority="19">
      <formula>F30&gt;0</formula>
    </cfRule>
    <cfRule type="expression" dxfId="1850" priority="20">
      <formula>F30&lt;0</formula>
    </cfRule>
  </conditionalFormatting>
  <conditionalFormatting sqref="H30">
    <cfRule type="expression" dxfId="1849" priority="17">
      <formula>H30&gt;0</formula>
    </cfRule>
    <cfRule type="expression" dxfId="1848" priority="18">
      <formula>H30&lt;0</formula>
    </cfRule>
  </conditionalFormatting>
  <conditionalFormatting sqref="F68 F70:F74">
    <cfRule type="expression" dxfId="1847" priority="13">
      <formula>F68&gt;0</formula>
    </cfRule>
    <cfRule type="expression" dxfId="1846" priority="14">
      <formula>F68&lt;0</formula>
    </cfRule>
  </conditionalFormatting>
  <conditionalFormatting sqref="F68 F70:F74">
    <cfRule type="expression" dxfId="1845" priority="15">
      <formula>F68&gt;0</formula>
    </cfRule>
    <cfRule type="expression" dxfId="1844" priority="16">
      <formula>F68&lt;0</formula>
    </cfRule>
  </conditionalFormatting>
  <conditionalFormatting sqref="H68 H70:H74">
    <cfRule type="expression" dxfId="1843" priority="11">
      <formula>H68&gt;0</formula>
    </cfRule>
    <cfRule type="expression" dxfId="1842" priority="12">
      <formula>H68&lt;0</formula>
    </cfRule>
  </conditionalFormatting>
  <conditionalFormatting sqref="F60:F67">
    <cfRule type="expression" dxfId="1841" priority="9">
      <formula>F60&gt;0</formula>
    </cfRule>
    <cfRule type="expression" dxfId="1840" priority="10">
      <formula>F60&lt;0</formula>
    </cfRule>
  </conditionalFormatting>
  <conditionalFormatting sqref="H60:H67">
    <cfRule type="expression" dxfId="1839" priority="7">
      <formula>H60&gt;0</formula>
    </cfRule>
    <cfRule type="expression" dxfId="1838" priority="8">
      <formula>H60&lt;0</formula>
    </cfRule>
  </conditionalFormatting>
  <conditionalFormatting sqref="F69">
    <cfRule type="expression" dxfId="1837" priority="5">
      <formula>F69&gt;0</formula>
    </cfRule>
    <cfRule type="expression" dxfId="1836" priority="6">
      <formula>F69&lt;0</formula>
    </cfRule>
  </conditionalFormatting>
  <conditionalFormatting sqref="H69">
    <cfRule type="expression" dxfId="1835" priority="3">
      <formula>H69&gt;0</formula>
    </cfRule>
    <cfRule type="expression" dxfId="1834" priority="4">
      <formula>H69&lt;0</formula>
    </cfRule>
  </conditionalFormatting>
  <conditionalFormatting sqref="Q10">
    <cfRule type="expression" dxfId="1833" priority="1">
      <formula>Q10&gt;0</formula>
    </cfRule>
    <cfRule type="expression" dxfId="183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35.729999999999997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35.729999999999997</v>
      </c>
      <c r="R4" s="487">
        <v>3.39E-2</v>
      </c>
      <c r="T4" s="159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209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8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6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8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6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8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6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8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6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8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6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8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6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8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6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8">
        <v>42663</v>
      </c>
      <c r="C32" s="10">
        <v>0</v>
      </c>
      <c r="D32" s="39"/>
      <c r="E32" s="39"/>
      <c r="F32" s="39">
        <v>98.45</v>
      </c>
      <c r="G32" s="39"/>
      <c r="H32" s="226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231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73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73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290</v>
      </c>
      <c r="B39" s="72"/>
      <c r="C39" s="4"/>
      <c r="D39" s="3"/>
      <c r="E39" s="3"/>
      <c r="F39" s="3"/>
      <c r="G39" s="3"/>
      <c r="H39" s="273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73"/>
      <c r="I40" s="3"/>
      <c r="O40" s="804" t="s">
        <v>78</v>
      </c>
      <c r="P40" s="80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73"/>
      <c r="I41" s="3"/>
      <c r="O41" s="81">
        <v>1.1000000000000001</v>
      </c>
      <c r="P41" s="81">
        <f>O41*$Q$4</f>
        <v>39.302999999999997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73"/>
      <c r="I42" s="3"/>
      <c r="O42" s="81">
        <v>1.0900000000000001</v>
      </c>
      <c r="P42" s="81">
        <f t="shared" ref="P42:P61" si="5">O42*$Q$4</f>
        <v>38.945700000000002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73"/>
      <c r="I43" s="3"/>
      <c r="O43" s="81">
        <v>1.08</v>
      </c>
      <c r="P43" s="81">
        <f t="shared" si="5"/>
        <v>38.5884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73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38.231099999999998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6" t="s">
        <v>1</v>
      </c>
      <c r="B45" s="256" t="s">
        <v>2</v>
      </c>
      <c r="C45" s="256" t="s">
        <v>4</v>
      </c>
      <c r="D45" s="257" t="s">
        <v>5</v>
      </c>
      <c r="E45" s="257" t="s">
        <v>94</v>
      </c>
      <c r="F45" s="257" t="s">
        <v>60</v>
      </c>
      <c r="G45" s="256" t="s">
        <v>3</v>
      </c>
      <c r="H45" s="256" t="s">
        <v>6</v>
      </c>
      <c r="I45" s="257" t="s">
        <v>7</v>
      </c>
      <c r="J45" s="257" t="s">
        <v>95</v>
      </c>
      <c r="K45" s="257" t="s">
        <v>61</v>
      </c>
      <c r="L45" s="256" t="s">
        <v>37</v>
      </c>
      <c r="M45" s="256" t="s">
        <v>38</v>
      </c>
      <c r="O45" s="81">
        <v>1.06</v>
      </c>
      <c r="P45" s="81">
        <f t="shared" si="5"/>
        <v>37.873799999999996</v>
      </c>
      <c r="Q45" s="2"/>
      <c r="T45" s="91" t="s">
        <v>99</v>
      </c>
      <c r="U45" s="127" t="s">
        <v>605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8" t="s">
        <v>270</v>
      </c>
      <c r="B46" s="259">
        <v>42619</v>
      </c>
      <c r="C46" s="254">
        <v>100</v>
      </c>
      <c r="D46" s="255">
        <v>24.28</v>
      </c>
      <c r="E46" s="255">
        <v>0</v>
      </c>
      <c r="F46" s="255">
        <f>D46*C46+E46</f>
        <v>2428</v>
      </c>
      <c r="G46" s="259">
        <v>42663</v>
      </c>
      <c r="H46" s="260">
        <v>100</v>
      </c>
      <c r="I46" s="255">
        <v>25.09</v>
      </c>
      <c r="J46" s="255">
        <v>0.55000000000000004</v>
      </c>
      <c r="K46" s="255">
        <f>H46*I46-J46</f>
        <v>2508.4499999999998</v>
      </c>
      <c r="L46" s="259">
        <v>42662</v>
      </c>
      <c r="M46" s="255">
        <v>18</v>
      </c>
      <c r="O46" s="81">
        <v>1.05</v>
      </c>
      <c r="P46" s="81">
        <f t="shared" si="5"/>
        <v>37.516500000000001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61" t="s">
        <v>71</v>
      </c>
      <c r="B47" s="259"/>
      <c r="C47" s="254"/>
      <c r="D47" s="255"/>
      <c r="E47" s="255"/>
      <c r="F47" s="255"/>
      <c r="G47" s="259"/>
      <c r="H47" s="260"/>
      <c r="I47" s="255"/>
      <c r="J47" s="255"/>
      <c r="K47" s="255"/>
      <c r="L47" s="254"/>
      <c r="M47" s="254"/>
      <c r="O47" s="81">
        <v>1.04</v>
      </c>
      <c r="P47" s="81">
        <f t="shared" si="5"/>
        <v>37.159199999999998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4"/>
      <c r="B48" s="259"/>
      <c r="C48" s="254"/>
      <c r="D48" s="255"/>
      <c r="E48" s="255"/>
      <c r="F48" s="255"/>
      <c r="G48" s="259"/>
      <c r="H48" s="260"/>
      <c r="I48" s="255"/>
      <c r="J48" s="255"/>
      <c r="K48" s="255"/>
      <c r="L48" s="254"/>
      <c r="M48" s="254"/>
      <c r="O48" s="81">
        <v>1.03</v>
      </c>
      <c r="P48" s="81">
        <f t="shared" si="5"/>
        <v>36.801899999999996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4"/>
      <c r="B49" s="259"/>
      <c r="C49" s="254"/>
      <c r="D49" s="255"/>
      <c r="E49" s="255"/>
      <c r="F49" s="255"/>
      <c r="G49" s="254"/>
      <c r="H49" s="260"/>
      <c r="I49" s="255"/>
      <c r="J49" s="255"/>
      <c r="K49" s="255"/>
      <c r="L49" s="254"/>
      <c r="M49" s="254"/>
      <c r="O49" s="81">
        <v>1.02</v>
      </c>
      <c r="P49" s="81">
        <f t="shared" si="5"/>
        <v>36.444599999999994</v>
      </c>
      <c r="Q49" s="2"/>
      <c r="T49" s="91" t="s">
        <v>121</v>
      </c>
      <c r="U49" s="127" t="s">
        <v>435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4"/>
      <c r="B50" s="259"/>
      <c r="C50" s="254"/>
      <c r="D50" s="255"/>
      <c r="E50" s="255"/>
      <c r="F50" s="255"/>
      <c r="G50" s="254"/>
      <c r="H50" s="260"/>
      <c r="I50" s="255"/>
      <c r="J50" s="255"/>
      <c r="K50" s="255"/>
      <c r="L50" s="254"/>
      <c r="M50" s="254"/>
      <c r="O50" s="81">
        <v>1.01</v>
      </c>
      <c r="P50" s="81">
        <f t="shared" si="5"/>
        <v>36.087299999999999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5"/>
        <v>35.729999999999997</v>
      </c>
      <c r="Q51" s="2"/>
      <c r="T51" s="91" t="s">
        <v>104</v>
      </c>
      <c r="U51" s="127" t="s">
        <v>606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5"/>
        <v>35.372699999999995</v>
      </c>
      <c r="Q52" s="2"/>
      <c r="T52" s="91" t="s">
        <v>105</v>
      </c>
      <c r="U52" s="127" t="s">
        <v>550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5"/>
        <v>35.0154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5"/>
        <v>34.658099999999997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5"/>
        <v>34.300799999999995</v>
      </c>
      <c r="T55" s="91" t="s">
        <v>107</v>
      </c>
      <c r="U55" s="127" t="s">
        <v>607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5"/>
        <v>33.943499999999993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33.586199999999998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33.228899999999996</v>
      </c>
      <c r="T58" s="91" t="s">
        <v>108</v>
      </c>
      <c r="U58" s="127" t="s">
        <v>551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32.871600000000001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32.514299999999999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54"/>
      <c r="I61" s="255"/>
      <c r="J61" s="255"/>
      <c r="K61" s="255"/>
      <c r="L61" s="254"/>
      <c r="M61" s="254"/>
      <c r="O61" s="81">
        <v>0.9</v>
      </c>
      <c r="P61" s="81">
        <f t="shared" si="5"/>
        <v>32.156999999999996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50" t="s">
        <v>194</v>
      </c>
      <c r="B63" s="451"/>
      <c r="C63" s="452">
        <f>SumByColor($A$19,C46:C61)</f>
        <v>0</v>
      </c>
      <c r="D63" s="452"/>
      <c r="E63" s="452"/>
      <c r="F63" s="453">
        <f>SumByColor($A$19,F46:F61)</f>
        <v>0</v>
      </c>
      <c r="G63" s="452"/>
      <c r="H63" s="452">
        <f>SumByColor($A$19,H46:H61)</f>
        <v>0</v>
      </c>
      <c r="I63" s="452"/>
      <c r="J63" s="452"/>
      <c r="K63" s="453">
        <f>SumByColor($A$19,K46:K61)</f>
        <v>0</v>
      </c>
      <c r="L63" s="452"/>
      <c r="M63" s="453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831" priority="11">
      <formula>F33&gt;0</formula>
    </cfRule>
    <cfRule type="expression" dxfId="1830" priority="12">
      <formula>F33&lt;0</formula>
    </cfRule>
  </conditionalFormatting>
  <conditionalFormatting sqref="Q7">
    <cfRule type="expression" dxfId="1829" priority="9">
      <formula>Q7&gt;0</formula>
    </cfRule>
    <cfRule type="expression" dxfId="1828" priority="10">
      <formula>Q7&lt;0</formula>
    </cfRule>
  </conditionalFormatting>
  <conditionalFormatting sqref="Q8">
    <cfRule type="expression" dxfId="1827" priority="7">
      <formula>Q8&gt;0</formula>
    </cfRule>
    <cfRule type="expression" dxfId="1826" priority="8">
      <formula>Q8&lt;0</formula>
    </cfRule>
  </conditionalFormatting>
  <conditionalFormatting sqref="F25:F32">
    <cfRule type="expression" dxfId="1825" priority="5">
      <formula>F25&gt;0</formula>
    </cfRule>
    <cfRule type="expression" dxfId="1824" priority="6">
      <formula>F25&lt;0</formula>
    </cfRule>
  </conditionalFormatting>
  <conditionalFormatting sqref="H25:H32">
    <cfRule type="expression" dxfId="1823" priority="3">
      <formula>H25&gt;0</formula>
    </cfRule>
    <cfRule type="expression" dxfId="1822" priority="4">
      <formula>H25&lt;0</formula>
    </cfRule>
  </conditionalFormatting>
  <conditionalFormatting sqref="Q10">
    <cfRule type="expression" dxfId="1821" priority="1">
      <formula>Q10&gt;0</formula>
    </cfRule>
    <cfRule type="expression" dxfId="182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X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24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  <c r="X1" s="16"/>
    </row>
    <row r="2" spans="1:24" x14ac:dyDescent="0.25">
      <c r="A2" s="6" t="s">
        <v>334</v>
      </c>
      <c r="B2" s="445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45">
        <v>42984</v>
      </c>
      <c r="H2" s="7">
        <v>50</v>
      </c>
      <c r="I2" s="43">
        <v>16.899999999999999</v>
      </c>
      <c r="J2" s="43">
        <v>0.02</v>
      </c>
      <c r="K2" s="43">
        <f t="shared" ref="K2:K7" si="1">H2*I2-J2</f>
        <v>844.9799999999999</v>
      </c>
      <c r="L2" s="72"/>
      <c r="M2" s="3"/>
      <c r="O2" s="11" t="s">
        <v>57</v>
      </c>
      <c r="Q2">
        <f>C18-H18</f>
        <v>600</v>
      </c>
      <c r="T2" s="1" t="s">
        <v>466</v>
      </c>
      <c r="X2" s="134"/>
    </row>
    <row r="3" spans="1:24" x14ac:dyDescent="0.25">
      <c r="A3" s="22" t="s">
        <v>71</v>
      </c>
      <c r="B3" s="445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45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78">
        <f>IF(Q2=0, Q4, (F18-K18-M18)/Q2)</f>
        <v>13.059716666666667</v>
      </c>
      <c r="T3" s="582" t="s">
        <v>491</v>
      </c>
      <c r="X3" s="134"/>
    </row>
    <row r="4" spans="1:24" x14ac:dyDescent="0.25">
      <c r="B4" s="445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45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24">
        <v>10.35</v>
      </c>
      <c r="R4" s="487">
        <v>-3.9899999999999998E-2</v>
      </c>
      <c r="T4" s="159" t="s">
        <v>492</v>
      </c>
      <c r="U4" s="1"/>
      <c r="X4" s="134"/>
    </row>
    <row r="5" spans="1:24" x14ac:dyDescent="0.25">
      <c r="A5" s="1"/>
      <c r="B5" s="445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45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6210</v>
      </c>
      <c r="T5" t="s">
        <v>493</v>
      </c>
      <c r="X5" s="134"/>
    </row>
    <row r="6" spans="1:24" x14ac:dyDescent="0.25">
      <c r="B6" s="445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45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7835.83</v>
      </c>
      <c r="X6" s="134"/>
    </row>
    <row r="7" spans="1:24" x14ac:dyDescent="0.25">
      <c r="B7" s="445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45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-342.41000000000531</v>
      </c>
      <c r="R7">
        <v>300</v>
      </c>
      <c r="T7" s="1">
        <v>43453</v>
      </c>
      <c r="U7" t="s">
        <v>897</v>
      </c>
      <c r="X7" s="134"/>
    </row>
    <row r="8" spans="1:24" x14ac:dyDescent="0.25">
      <c r="B8" s="445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-1625.83</v>
      </c>
      <c r="X8" s="134"/>
    </row>
    <row r="9" spans="1:24" x14ac:dyDescent="0.25">
      <c r="B9" s="445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-0.20748663511076681</v>
      </c>
      <c r="T9" s="29">
        <v>43103</v>
      </c>
      <c r="U9" t="s">
        <v>887</v>
      </c>
      <c r="X9" s="134"/>
    </row>
    <row r="10" spans="1:24" x14ac:dyDescent="0.25">
      <c r="A10" t="s">
        <v>838</v>
      </c>
      <c r="B10" s="445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1283.4199999999946</v>
      </c>
      <c r="U10" t="s">
        <v>888</v>
      </c>
      <c r="X10" s="134"/>
    </row>
    <row r="11" spans="1:24" x14ac:dyDescent="0.25">
      <c r="B11" s="445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889</v>
      </c>
      <c r="X11" s="134"/>
    </row>
    <row r="12" spans="1:24" x14ac:dyDescent="0.25">
      <c r="B12" s="72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80"/>
      <c r="I12" s="3"/>
      <c r="J12" s="3"/>
      <c r="K12" s="3"/>
      <c r="L12" s="4"/>
      <c r="M12" s="4"/>
      <c r="X12" s="134"/>
    </row>
    <row r="13" spans="1:24" x14ac:dyDescent="0.25">
      <c r="B13" s="486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80"/>
      <c r="I13" s="3"/>
      <c r="J13" s="3"/>
      <c r="K13" s="3"/>
      <c r="L13" s="4"/>
      <c r="M13" s="4"/>
      <c r="U13" t="s">
        <v>898</v>
      </c>
      <c r="X13" s="134"/>
    </row>
    <row r="14" spans="1:24" x14ac:dyDescent="0.25">
      <c r="B14" s="486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80"/>
      <c r="I14" s="3"/>
      <c r="J14" s="3"/>
      <c r="K14" s="3"/>
      <c r="L14" s="4"/>
      <c r="M14" s="4"/>
      <c r="X14" s="134"/>
    </row>
    <row r="15" spans="1:24" ht="20.25" thickBot="1" x14ac:dyDescent="0.35">
      <c r="H15" s="70"/>
      <c r="O15" s="804" t="s">
        <v>78</v>
      </c>
      <c r="P15" s="804"/>
      <c r="T15" s="1">
        <v>43114</v>
      </c>
      <c r="U15" t="s">
        <v>930</v>
      </c>
      <c r="X15" s="134"/>
    </row>
    <row r="16" spans="1:24" ht="15.75" thickTop="1" x14ac:dyDescent="0.25">
      <c r="H16" s="70"/>
      <c r="O16" s="81">
        <v>1.1000000000000001</v>
      </c>
      <c r="P16" s="81">
        <f>O16*$Q$4</f>
        <v>11.385</v>
      </c>
      <c r="U16" s="487" t="s">
        <v>931</v>
      </c>
      <c r="X16" s="134"/>
    </row>
    <row r="17" spans="1:24" x14ac:dyDescent="0.25">
      <c r="O17" s="81">
        <v>1.0900000000000001</v>
      </c>
      <c r="P17" s="81">
        <f t="shared" ref="P17:P21" si="4">O17*$Q$4</f>
        <v>11.281500000000001</v>
      </c>
      <c r="X17" s="134"/>
    </row>
    <row r="18" spans="1:24" x14ac:dyDescent="0.25">
      <c r="A18" s="31" t="s">
        <v>81</v>
      </c>
      <c r="B18" s="14"/>
      <c r="C18" s="14">
        <f>SUM(C2:C14)</f>
        <v>1650</v>
      </c>
      <c r="D18" s="18"/>
      <c r="E18" s="18"/>
      <c r="F18" s="18">
        <f>SUM(F2:F14)</f>
        <v>22220.5</v>
      </c>
      <c r="G18" s="14"/>
      <c r="H18" s="14">
        <f>SUM(H2:H10)</f>
        <v>1050</v>
      </c>
      <c r="I18" s="18"/>
      <c r="J18" s="18"/>
      <c r="K18" s="18">
        <f>SUM(K2:K10)</f>
        <v>14384.67</v>
      </c>
      <c r="L18" s="14"/>
      <c r="M18" s="18">
        <f>SUM(M2:M10)</f>
        <v>0</v>
      </c>
      <c r="O18" s="81">
        <v>1.08</v>
      </c>
      <c r="P18" s="81">
        <f t="shared" si="4"/>
        <v>11.178000000000001</v>
      </c>
      <c r="T18" s="1">
        <v>43140</v>
      </c>
      <c r="U18" t="s">
        <v>989</v>
      </c>
      <c r="X18" s="134"/>
    </row>
    <row r="19" spans="1:24" ht="15.75" thickBot="1" x14ac:dyDescent="0.3">
      <c r="A19" s="347" t="s">
        <v>194</v>
      </c>
      <c r="B19" s="348"/>
      <c r="C19" s="349">
        <f>SumByColor($A$19,C2:C17)</f>
        <v>1050</v>
      </c>
      <c r="D19" s="349"/>
      <c r="E19" s="349"/>
      <c r="F19" s="350">
        <f>SumByColor($A$19,F2:F17)</f>
        <v>13793</v>
      </c>
      <c r="G19" s="349"/>
      <c r="H19" s="349">
        <f>SumByColor($A$19,H2:H17)</f>
        <v>1050</v>
      </c>
      <c r="I19" s="349"/>
      <c r="J19" s="349"/>
      <c r="K19" s="350">
        <f>SumByColor($A$19,K2:K17)</f>
        <v>14385</v>
      </c>
      <c r="L19" s="349"/>
      <c r="M19" s="350">
        <f>SumByColor($A$19,M2:M17)</f>
        <v>0</v>
      </c>
      <c r="O19" s="81">
        <v>1.07</v>
      </c>
      <c r="P19" s="81">
        <f t="shared" si="4"/>
        <v>11.0745</v>
      </c>
      <c r="X19" s="134"/>
    </row>
    <row r="20" spans="1:24" x14ac:dyDescent="0.25">
      <c r="O20" s="81">
        <v>1.06</v>
      </c>
      <c r="P20" s="81">
        <f t="shared" si="4"/>
        <v>10.971</v>
      </c>
      <c r="X20" s="134"/>
    </row>
    <row r="21" spans="1:24" x14ac:dyDescent="0.25">
      <c r="O21" s="81">
        <v>1.05</v>
      </c>
      <c r="P21" s="81">
        <f t="shared" si="4"/>
        <v>10.8675</v>
      </c>
      <c r="X21" s="134"/>
    </row>
    <row r="22" spans="1:24" x14ac:dyDescent="0.25">
      <c r="O22" s="81">
        <v>1.04</v>
      </c>
      <c r="P22" s="81">
        <f>O22*$Q$4</f>
        <v>10.763999999999999</v>
      </c>
      <c r="X22" s="134"/>
    </row>
    <row r="23" spans="1:24" x14ac:dyDescent="0.25">
      <c r="O23" s="81">
        <v>1.03</v>
      </c>
      <c r="P23" s="81">
        <f t="shared" ref="P23:P36" si="5">O23*$Q$4</f>
        <v>10.660500000000001</v>
      </c>
      <c r="X23" s="134"/>
    </row>
    <row r="24" spans="1:24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514</v>
      </c>
      <c r="O24" s="81">
        <v>1.02</v>
      </c>
      <c r="P24" s="81">
        <f t="shared" si="5"/>
        <v>10.557</v>
      </c>
      <c r="X24" s="134"/>
    </row>
    <row r="25" spans="1:24" x14ac:dyDescent="0.25">
      <c r="A25" s="4"/>
      <c r="B25" s="188">
        <v>42969</v>
      </c>
      <c r="C25" s="10">
        <v>150</v>
      </c>
      <c r="D25" s="195">
        <v>18.100000000000001</v>
      </c>
      <c r="E25" s="39">
        <v>18.010000000000002</v>
      </c>
      <c r="F25" s="39">
        <f t="shared" ref="F25" si="6">C25*(E25-D25)</f>
        <v>-13.499999999999979</v>
      </c>
      <c r="G25" s="39">
        <f t="shared" ref="G25" si="7">D25*C25</f>
        <v>2715</v>
      </c>
      <c r="H25" s="226">
        <f t="shared" ref="H25" si="8">(E25-D25)/D25</f>
        <v>-4.9723756906077266E-3</v>
      </c>
      <c r="I25" s="39"/>
      <c r="J25" s="39"/>
      <c r="K25" s="39"/>
      <c r="L25" s="4"/>
      <c r="O25" s="81">
        <v>1.01</v>
      </c>
      <c r="P25" s="81">
        <f t="shared" si="5"/>
        <v>10.4535</v>
      </c>
      <c r="X25" s="134"/>
    </row>
    <row r="26" spans="1:24" x14ac:dyDescent="0.25">
      <c r="A26" s="4"/>
      <c r="B26" s="188">
        <v>42977</v>
      </c>
      <c r="C26" s="10">
        <v>250</v>
      </c>
      <c r="D26" s="195">
        <v>17.474</v>
      </c>
      <c r="E26" s="39">
        <v>16.510000000000002</v>
      </c>
      <c r="F26" s="39">
        <f t="shared" ref="F26" si="9">C26*(E26-D26)</f>
        <v>-240.99999999999966</v>
      </c>
      <c r="G26" s="39">
        <f t="shared" ref="G26" si="10">D26*C26</f>
        <v>4368.5</v>
      </c>
      <c r="H26" s="226">
        <f t="shared" ref="H26" si="11">(E26-D26)/D26</f>
        <v>-5.5167677692571741E-2</v>
      </c>
      <c r="I26" s="39"/>
      <c r="J26" s="39"/>
      <c r="K26" s="39"/>
      <c r="L26" s="4"/>
      <c r="O26" s="81">
        <v>1</v>
      </c>
      <c r="P26" s="81">
        <f t="shared" si="5"/>
        <v>10.35</v>
      </c>
      <c r="X26" s="134"/>
    </row>
    <row r="27" spans="1:24" x14ac:dyDescent="0.25">
      <c r="A27" s="4"/>
      <c r="B27" s="188">
        <v>42983</v>
      </c>
      <c r="C27" s="10">
        <v>250</v>
      </c>
      <c r="D27" s="195">
        <v>17.474</v>
      </c>
      <c r="E27" s="39">
        <v>16.309999999999999</v>
      </c>
      <c r="F27" s="39">
        <f t="shared" ref="F27" si="12">C27*(E27-D27)</f>
        <v>-291.00000000000034</v>
      </c>
      <c r="G27" s="39">
        <f t="shared" ref="G27" si="13">D27*C27</f>
        <v>4368.5</v>
      </c>
      <c r="H27" s="226">
        <f t="shared" ref="H27" si="14">(E27-D27)/D27</f>
        <v>-6.6613253977337847E-2</v>
      </c>
      <c r="I27" s="39"/>
      <c r="J27" s="39">
        <v>992</v>
      </c>
      <c r="K27" s="39"/>
      <c r="L27" s="4"/>
      <c r="O27" s="81">
        <v>0.99</v>
      </c>
      <c r="P27" s="81">
        <f t="shared" si="5"/>
        <v>10.246499999999999</v>
      </c>
      <c r="X27" s="134"/>
    </row>
    <row r="28" spans="1:24" x14ac:dyDescent="0.25">
      <c r="A28" s="4"/>
      <c r="B28" s="188">
        <v>42984</v>
      </c>
      <c r="C28" s="10">
        <v>200</v>
      </c>
      <c r="D28" s="195">
        <v>17.617599999999999</v>
      </c>
      <c r="E28" s="39">
        <v>16.899999999999999</v>
      </c>
      <c r="F28" s="39">
        <f t="shared" ref="F28:F30" si="15">C28*(E28-D28)</f>
        <v>-143.52000000000018</v>
      </c>
      <c r="G28" s="39">
        <f t="shared" ref="G28:G30" si="16">D28*C28</f>
        <v>3523.52</v>
      </c>
      <c r="H28" s="226">
        <f t="shared" ref="H28:H30" si="17">(E28-D28)/D28</f>
        <v>-4.0731995277449876E-2</v>
      </c>
      <c r="I28" s="39"/>
      <c r="J28" s="39">
        <v>1082</v>
      </c>
      <c r="K28" s="39"/>
      <c r="L28" s="4"/>
      <c r="O28" s="81">
        <v>0.98</v>
      </c>
      <c r="P28" s="81">
        <f t="shared" si="5"/>
        <v>10.142999999999999</v>
      </c>
      <c r="X28" s="134"/>
    </row>
    <row r="29" spans="1:24" x14ac:dyDescent="0.25">
      <c r="A29" s="4"/>
      <c r="B29" s="188">
        <v>42986</v>
      </c>
      <c r="C29" s="10">
        <v>200</v>
      </c>
      <c r="D29" s="195">
        <v>16.857949999999999</v>
      </c>
      <c r="E29" s="39">
        <v>13.8</v>
      </c>
      <c r="F29" s="39">
        <f t="shared" si="15"/>
        <v>-611.58999999999969</v>
      </c>
      <c r="G29" s="39">
        <f t="shared" si="16"/>
        <v>3371.5899999999997</v>
      </c>
      <c r="H29" s="226">
        <f t="shared" si="17"/>
        <v>-0.18139512811462832</v>
      </c>
      <c r="I29" s="39"/>
      <c r="J29" s="39">
        <v>672</v>
      </c>
      <c r="K29" s="39"/>
      <c r="L29" s="4"/>
      <c r="O29" s="81">
        <v>0.97</v>
      </c>
      <c r="P29" s="81">
        <f t="shared" si="5"/>
        <v>10.039499999999999</v>
      </c>
      <c r="X29" s="134"/>
    </row>
    <row r="30" spans="1:24" x14ac:dyDescent="0.25">
      <c r="A30" s="4"/>
      <c r="B30" s="188">
        <v>42999</v>
      </c>
      <c r="C30" s="10">
        <v>200</v>
      </c>
      <c r="D30" s="195">
        <v>16.858000000000001</v>
      </c>
      <c r="E30" s="39">
        <v>15.16</v>
      </c>
      <c r="F30" s="39">
        <f t="shared" si="15"/>
        <v>-339.60000000000008</v>
      </c>
      <c r="G30" s="39">
        <f t="shared" si="16"/>
        <v>3371.6</v>
      </c>
      <c r="H30" s="226">
        <f t="shared" si="17"/>
        <v>-0.10072369201566024</v>
      </c>
      <c r="I30" s="39"/>
      <c r="J30" s="39">
        <v>944</v>
      </c>
      <c r="K30" s="39"/>
      <c r="L30" s="4"/>
      <c r="O30" s="81">
        <v>0.96</v>
      </c>
      <c r="P30" s="81">
        <f t="shared" si="5"/>
        <v>9.9359999999999999</v>
      </c>
      <c r="X30" s="134"/>
    </row>
    <row r="31" spans="1:24" x14ac:dyDescent="0.25">
      <c r="A31" s="4"/>
      <c r="B31" s="188">
        <v>43023</v>
      </c>
      <c r="C31" s="10">
        <v>200</v>
      </c>
      <c r="D31" s="195">
        <v>16.858000000000001</v>
      </c>
      <c r="E31" s="39">
        <v>14.1</v>
      </c>
      <c r="F31" s="39">
        <f t="shared" ref="F31:F39" si="18">C31*(E31-D31)</f>
        <v>-551.60000000000014</v>
      </c>
      <c r="G31" s="39">
        <f t="shared" ref="G31:G39" si="19">D31*C31</f>
        <v>3371.6</v>
      </c>
      <c r="H31" s="226">
        <f t="shared" ref="H31:H39" si="20">(E31-D31)/D31</f>
        <v>-0.16360185075335157</v>
      </c>
      <c r="I31" s="39"/>
      <c r="J31" s="39">
        <v>732</v>
      </c>
      <c r="K31" s="39"/>
      <c r="L31" s="4"/>
      <c r="O31" s="81">
        <v>0.95</v>
      </c>
      <c r="P31" s="81">
        <f t="shared" si="5"/>
        <v>9.8324999999999996</v>
      </c>
      <c r="X31" s="134"/>
    </row>
    <row r="32" spans="1:24" x14ac:dyDescent="0.25">
      <c r="A32" s="4"/>
      <c r="B32" s="188">
        <v>43035</v>
      </c>
      <c r="C32" s="7">
        <v>300</v>
      </c>
      <c r="D32" s="77">
        <v>15.8653</v>
      </c>
      <c r="E32" s="39">
        <v>13.88</v>
      </c>
      <c r="F32" s="39">
        <f t="shared" si="18"/>
        <v>-595.58999999999958</v>
      </c>
      <c r="G32" s="39">
        <f t="shared" si="19"/>
        <v>4759.59</v>
      </c>
      <c r="H32" s="226">
        <f t="shared" si="20"/>
        <v>-0.12513472799127648</v>
      </c>
      <c r="I32" s="39"/>
      <c r="J32" s="39"/>
      <c r="K32" s="39"/>
      <c r="L32" s="4"/>
      <c r="O32" s="81">
        <v>0.94</v>
      </c>
      <c r="P32" s="81">
        <f t="shared" si="5"/>
        <v>9.7289999999999992</v>
      </c>
      <c r="X32" s="134"/>
    </row>
    <row r="33" spans="1:24" x14ac:dyDescent="0.25">
      <c r="A33" s="4">
        <v>100</v>
      </c>
      <c r="B33" s="188">
        <v>43040</v>
      </c>
      <c r="C33" s="10">
        <v>200</v>
      </c>
      <c r="D33" s="195">
        <v>16.453099999999999</v>
      </c>
      <c r="E33" s="39">
        <v>14.44</v>
      </c>
      <c r="F33" s="39">
        <f t="shared" si="18"/>
        <v>-402.61999999999995</v>
      </c>
      <c r="G33" s="39">
        <f t="shared" si="19"/>
        <v>3290.62</v>
      </c>
      <c r="H33" s="226">
        <f t="shared" si="20"/>
        <v>-0.12235384213309344</v>
      </c>
      <c r="I33" s="39"/>
      <c r="J33" s="39">
        <v>880.8</v>
      </c>
      <c r="K33" s="39"/>
      <c r="L33" s="4"/>
      <c r="O33" s="81">
        <v>0.93</v>
      </c>
      <c r="P33" s="81">
        <f t="shared" si="5"/>
        <v>9.6255000000000006</v>
      </c>
      <c r="X33" s="134"/>
    </row>
    <row r="34" spans="1:24" x14ac:dyDescent="0.25">
      <c r="A34" s="4">
        <v>100</v>
      </c>
      <c r="B34" s="188">
        <v>43048</v>
      </c>
      <c r="C34" s="7">
        <v>300</v>
      </c>
      <c r="D34" s="77">
        <v>15.295400000000001</v>
      </c>
      <c r="E34" s="39">
        <v>13.44</v>
      </c>
      <c r="F34" s="39">
        <f t="shared" si="18"/>
        <v>-556.62000000000035</v>
      </c>
      <c r="G34" s="39">
        <f t="shared" si="19"/>
        <v>4588.62</v>
      </c>
      <c r="H34" s="226">
        <f t="shared" si="20"/>
        <v>-0.12130444447350192</v>
      </c>
      <c r="I34" s="39"/>
      <c r="J34" s="39">
        <v>727</v>
      </c>
      <c r="K34" s="39"/>
      <c r="L34" s="4"/>
      <c r="O34" s="81">
        <v>0.92</v>
      </c>
      <c r="P34" s="81">
        <f t="shared" si="5"/>
        <v>9.5220000000000002</v>
      </c>
      <c r="X34" s="134"/>
    </row>
    <row r="35" spans="1:24" x14ac:dyDescent="0.25">
      <c r="A35" s="4"/>
      <c r="B35" s="188">
        <v>43069</v>
      </c>
      <c r="C35" s="10">
        <v>200</v>
      </c>
      <c r="D35" s="195">
        <v>15.828250000000001</v>
      </c>
      <c r="E35" s="39">
        <v>14.03</v>
      </c>
      <c r="F35" s="39">
        <f t="shared" si="18"/>
        <v>-359.65000000000026</v>
      </c>
      <c r="G35" s="39">
        <f t="shared" si="19"/>
        <v>3165.65</v>
      </c>
      <c r="H35" s="226">
        <f t="shared" si="20"/>
        <v>-0.11361015905106384</v>
      </c>
      <c r="I35" s="39"/>
      <c r="J35" s="39">
        <v>924</v>
      </c>
      <c r="K35" s="39"/>
      <c r="L35" s="4"/>
      <c r="O35" s="81">
        <v>0.91</v>
      </c>
      <c r="P35" s="81">
        <f t="shared" si="5"/>
        <v>9.4184999999999999</v>
      </c>
      <c r="X35" s="134"/>
    </row>
    <row r="36" spans="1:24" x14ac:dyDescent="0.25">
      <c r="A36" s="4">
        <v>200</v>
      </c>
      <c r="B36" s="188">
        <v>43089</v>
      </c>
      <c r="C36" s="7">
        <v>300</v>
      </c>
      <c r="D36" s="77">
        <v>15.026</v>
      </c>
      <c r="E36" s="39">
        <v>13.38</v>
      </c>
      <c r="F36" s="39">
        <f t="shared" si="18"/>
        <v>-493.79999999999973</v>
      </c>
      <c r="G36" s="39">
        <f t="shared" si="19"/>
        <v>4507.8</v>
      </c>
      <c r="H36" s="226">
        <f t="shared" si="20"/>
        <v>-0.10954345800612265</v>
      </c>
      <c r="I36" s="39">
        <v>14.75</v>
      </c>
      <c r="J36" s="39">
        <v>790</v>
      </c>
      <c r="K36" s="39"/>
      <c r="L36" s="4"/>
      <c r="O36" s="81">
        <v>0.9</v>
      </c>
      <c r="P36" s="81">
        <f t="shared" si="5"/>
        <v>9.3149999999999995</v>
      </c>
      <c r="X36" s="134"/>
    </row>
    <row r="37" spans="1:24" x14ac:dyDescent="0.25">
      <c r="A37" s="4">
        <v>200</v>
      </c>
      <c r="B37" s="188">
        <v>43091</v>
      </c>
      <c r="C37" s="10">
        <v>600</v>
      </c>
      <c r="D37" s="195">
        <v>13.952999999999999</v>
      </c>
      <c r="E37" s="39">
        <v>12.99</v>
      </c>
      <c r="F37" s="39">
        <f t="shared" si="18"/>
        <v>-577.7999999999995</v>
      </c>
      <c r="G37" s="39">
        <f t="shared" si="19"/>
        <v>8371.7999999999993</v>
      </c>
      <c r="H37" s="226">
        <f t="shared" si="20"/>
        <v>-6.9017415609546273E-2</v>
      </c>
      <c r="I37" s="39"/>
      <c r="J37" s="39">
        <v>706</v>
      </c>
      <c r="K37" s="39"/>
      <c r="L37" s="4"/>
      <c r="X37" s="134"/>
    </row>
    <row r="38" spans="1:24" x14ac:dyDescent="0.25">
      <c r="A38" s="4">
        <v>0</v>
      </c>
      <c r="B38" s="188">
        <v>43095</v>
      </c>
      <c r="C38" s="7">
        <v>300</v>
      </c>
      <c r="D38" s="77">
        <v>14.625999999999999</v>
      </c>
      <c r="E38" s="39">
        <v>13.28</v>
      </c>
      <c r="F38" s="39">
        <f t="shared" si="18"/>
        <v>-403.8</v>
      </c>
      <c r="G38" s="39">
        <f t="shared" si="19"/>
        <v>4387.8</v>
      </c>
      <c r="H38" s="226">
        <f t="shared" si="20"/>
        <v>-9.2027895528510886E-2</v>
      </c>
      <c r="I38" s="523" t="s">
        <v>971</v>
      </c>
      <c r="J38" s="39">
        <v>880</v>
      </c>
      <c r="K38" s="39"/>
      <c r="L38" s="4"/>
      <c r="X38" s="134"/>
    </row>
    <row r="39" spans="1:24" x14ac:dyDescent="0.25">
      <c r="A39" s="4">
        <v>0</v>
      </c>
      <c r="B39" s="188">
        <v>43103</v>
      </c>
      <c r="C39" s="10">
        <v>600</v>
      </c>
      <c r="D39" s="195">
        <v>13.392899999999999</v>
      </c>
      <c r="E39" s="39">
        <v>12.14</v>
      </c>
      <c r="F39" s="39">
        <f t="shared" si="18"/>
        <v>-751.7399999999991</v>
      </c>
      <c r="G39" s="39">
        <f t="shared" si="19"/>
        <v>8035.74</v>
      </c>
      <c r="H39" s="226">
        <f t="shared" si="20"/>
        <v>-9.3549567308051182E-2</v>
      </c>
      <c r="I39" s="39"/>
      <c r="J39" s="39">
        <v>532</v>
      </c>
      <c r="K39" s="39">
        <v>36</v>
      </c>
      <c r="L39" s="4"/>
      <c r="X39" s="134"/>
    </row>
    <row r="40" spans="1:24" x14ac:dyDescent="0.25">
      <c r="A40" s="4">
        <v>0</v>
      </c>
      <c r="B40" s="188">
        <v>43108</v>
      </c>
      <c r="C40" s="567">
        <v>600</v>
      </c>
      <c r="D40" s="594">
        <v>13.392899999999999</v>
      </c>
      <c r="E40" s="39">
        <v>12.09</v>
      </c>
      <c r="F40" s="39">
        <f t="shared" ref="F40:F45" si="21">C40*(E40-D40)</f>
        <v>-781.73999999999955</v>
      </c>
      <c r="G40" s="39">
        <f t="shared" ref="G40:G45" si="22">D40*C40</f>
        <v>8035.74</v>
      </c>
      <c r="H40" s="226">
        <f t="shared" ref="H40:H45" si="23">(E40-D40)/D40</f>
        <v>-9.7282888694756126E-2</v>
      </c>
      <c r="I40" s="39"/>
      <c r="J40" s="39">
        <v>502</v>
      </c>
      <c r="K40" s="39"/>
      <c r="L40" s="4"/>
      <c r="O40" s="81"/>
      <c r="P40" s="81"/>
      <c r="X40" s="134"/>
    </row>
    <row r="41" spans="1:24" x14ac:dyDescent="0.25">
      <c r="A41" s="4">
        <v>0</v>
      </c>
      <c r="B41" s="188">
        <v>43110</v>
      </c>
      <c r="C41" s="10">
        <v>600</v>
      </c>
      <c r="D41" s="195">
        <v>13.393000000000001</v>
      </c>
      <c r="E41" s="39">
        <v>11.9</v>
      </c>
      <c r="F41" s="39">
        <f t="shared" si="21"/>
        <v>-895.80000000000018</v>
      </c>
      <c r="G41" s="39">
        <f t="shared" si="22"/>
        <v>8035.8</v>
      </c>
      <c r="H41" s="226">
        <f t="shared" si="23"/>
        <v>-0.1114761442544613</v>
      </c>
      <c r="I41" s="39"/>
      <c r="J41" s="39">
        <v>388</v>
      </c>
      <c r="K41" s="39"/>
      <c r="L41" s="4"/>
      <c r="O41" s="81"/>
      <c r="P41" s="81"/>
      <c r="Q41" s="2"/>
      <c r="X41" s="134"/>
    </row>
    <row r="42" spans="1:24" x14ac:dyDescent="0.25">
      <c r="A42" s="4">
        <v>0</v>
      </c>
      <c r="B42" s="188">
        <v>43126</v>
      </c>
      <c r="C42" s="7">
        <v>300</v>
      </c>
      <c r="D42" s="77">
        <v>14.305999999999999</v>
      </c>
      <c r="E42" s="39">
        <v>12.48</v>
      </c>
      <c r="F42" s="39">
        <f t="shared" si="21"/>
        <v>-547.79999999999961</v>
      </c>
      <c r="G42" s="39">
        <f t="shared" si="22"/>
        <v>4291.8</v>
      </c>
      <c r="H42" s="226">
        <f t="shared" si="23"/>
        <v>-0.12763875297078142</v>
      </c>
      <c r="I42" s="523" t="s">
        <v>972</v>
      </c>
      <c r="J42" s="39">
        <v>736</v>
      </c>
      <c r="K42" s="39"/>
      <c r="L42" s="4"/>
      <c r="O42" s="81"/>
      <c r="P42" s="81"/>
      <c r="Q42" s="2"/>
      <c r="X42" s="134"/>
    </row>
    <row r="43" spans="1:24" x14ac:dyDescent="0.25">
      <c r="A43" s="4">
        <v>0</v>
      </c>
      <c r="B43" s="188">
        <v>43131</v>
      </c>
      <c r="C43" s="10">
        <v>500</v>
      </c>
      <c r="D43" s="195">
        <v>13.335660000000001</v>
      </c>
      <c r="E43" s="39">
        <v>11.93</v>
      </c>
      <c r="F43" s="39">
        <f t="shared" si="21"/>
        <v>-702.8300000000005</v>
      </c>
      <c r="G43" s="39">
        <f t="shared" si="22"/>
        <v>6667.83</v>
      </c>
      <c r="H43" s="226">
        <f t="shared" si="23"/>
        <v>-0.10540610663439237</v>
      </c>
      <c r="I43" s="39"/>
      <c r="J43" s="39">
        <v>581</v>
      </c>
      <c r="K43" s="39"/>
      <c r="L43" s="4"/>
      <c r="O43" s="81"/>
      <c r="P43" s="81"/>
      <c r="Q43" s="2"/>
      <c r="X43" s="134"/>
    </row>
    <row r="44" spans="1:24" x14ac:dyDescent="0.25">
      <c r="A44" s="4"/>
      <c r="B44" s="188">
        <v>43132</v>
      </c>
      <c r="C44" s="567">
        <v>600</v>
      </c>
      <c r="D44" s="594">
        <v>13.06</v>
      </c>
      <c r="E44" s="39">
        <v>11.45</v>
      </c>
      <c r="F44" s="39">
        <f t="shared" si="21"/>
        <v>-966.00000000000068</v>
      </c>
      <c r="G44" s="39">
        <f t="shared" si="22"/>
        <v>7836</v>
      </c>
      <c r="H44" s="226">
        <f t="shared" si="23"/>
        <v>-0.1232771822358347</v>
      </c>
      <c r="I44" s="39"/>
      <c r="J44" s="39">
        <v>318</v>
      </c>
      <c r="K44" s="39"/>
      <c r="L44" s="4"/>
      <c r="O44" s="81"/>
      <c r="P44" s="81"/>
      <c r="Q44" s="2"/>
      <c r="X44" s="134"/>
    </row>
    <row r="45" spans="1:24" x14ac:dyDescent="0.25">
      <c r="A45" s="4"/>
      <c r="B45" s="188">
        <v>43137</v>
      </c>
      <c r="C45" s="10">
        <v>600</v>
      </c>
      <c r="D45" s="195">
        <v>13.06</v>
      </c>
      <c r="E45" s="39">
        <v>10.6</v>
      </c>
      <c r="F45" s="39">
        <f t="shared" si="21"/>
        <v>-1476.0000000000005</v>
      </c>
      <c r="G45" s="39">
        <f t="shared" si="22"/>
        <v>7836</v>
      </c>
      <c r="H45" s="226">
        <f t="shared" si="2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8"/>
      <c r="C46" s="10"/>
      <c r="D46" s="195"/>
      <c r="E46" s="39"/>
      <c r="F46" s="39"/>
      <c r="G46" s="39"/>
      <c r="H46" s="226"/>
      <c r="I46" s="39"/>
      <c r="J46" s="39"/>
      <c r="K46" s="39"/>
      <c r="L46" s="4"/>
      <c r="O46" s="81"/>
      <c r="P46" s="81"/>
      <c r="Q46" s="2"/>
      <c r="X46" s="134"/>
    </row>
    <row r="47" spans="1:24" x14ac:dyDescent="0.25">
      <c r="A47" s="4"/>
      <c r="B47" s="188"/>
      <c r="C47" s="10"/>
      <c r="D47" s="195"/>
      <c r="E47" s="39"/>
      <c r="F47" s="39"/>
      <c r="G47" s="39"/>
      <c r="H47" s="226"/>
      <c r="I47" s="39"/>
      <c r="J47" s="39"/>
      <c r="K47" s="39"/>
      <c r="L47" s="4"/>
      <c r="O47" s="81"/>
      <c r="P47" s="81"/>
      <c r="Q47" s="2"/>
      <c r="S47" t="s">
        <v>498</v>
      </c>
      <c r="T47" s="582" t="s">
        <v>491</v>
      </c>
      <c r="X47" s="134"/>
    </row>
    <row r="48" spans="1:24" x14ac:dyDescent="0.25">
      <c r="A48" s="4"/>
      <c r="B48" s="188"/>
      <c r="C48" s="10"/>
      <c r="D48" s="195"/>
      <c r="E48" s="39"/>
      <c r="F48" s="39"/>
      <c r="G48" s="39"/>
      <c r="H48" s="226"/>
      <c r="I48" s="39"/>
      <c r="J48" s="39"/>
      <c r="K48" s="39"/>
      <c r="L48" s="4"/>
      <c r="O48" s="81"/>
      <c r="P48" s="81"/>
      <c r="Q48" s="2"/>
      <c r="S48" t="s">
        <v>502</v>
      </c>
      <c r="T48" s="22" t="s">
        <v>501</v>
      </c>
      <c r="X48" s="134"/>
    </row>
    <row r="49" spans="1:24" x14ac:dyDescent="0.25">
      <c r="A49" s="4"/>
      <c r="B49" s="188"/>
      <c r="C49" s="10"/>
      <c r="D49" s="195"/>
      <c r="E49" s="39"/>
      <c r="F49" s="39"/>
      <c r="G49" s="39"/>
      <c r="H49" s="226"/>
      <c r="I49" s="39"/>
      <c r="J49" s="39"/>
      <c r="K49" s="39"/>
      <c r="L49" s="4"/>
      <c r="O49" s="81"/>
      <c r="P49" s="81"/>
      <c r="Q49" s="2"/>
      <c r="S49" t="s">
        <v>503</v>
      </c>
      <c r="T49" s="22" t="s">
        <v>504</v>
      </c>
      <c r="X49" s="134"/>
    </row>
    <row r="50" spans="1:24" x14ac:dyDescent="0.25">
      <c r="A50" s="4"/>
      <c r="B50" s="188"/>
      <c r="C50" s="10"/>
      <c r="D50" s="195"/>
      <c r="E50" s="39"/>
      <c r="F50" s="39"/>
      <c r="G50" s="39"/>
      <c r="H50" s="226"/>
      <c r="I50" s="39"/>
      <c r="J50" s="39"/>
      <c r="K50" s="39"/>
      <c r="L50" s="4"/>
      <c r="O50" s="81"/>
      <c r="P50" s="81"/>
      <c r="Q50" s="2"/>
      <c r="S50" t="s">
        <v>505</v>
      </c>
      <c r="T50" s="22" t="s">
        <v>506</v>
      </c>
      <c r="X50" s="134"/>
    </row>
    <row r="51" spans="1:24" x14ac:dyDescent="0.25">
      <c r="A51" s="4"/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4"/>
      <c r="O51" s="81"/>
      <c r="P51" s="81"/>
      <c r="Q51" s="2"/>
      <c r="X51" s="134"/>
    </row>
    <row r="52" spans="1:24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O52" s="81"/>
      <c r="P52" s="81"/>
      <c r="Q52" s="2"/>
      <c r="X52" s="134"/>
    </row>
    <row r="53" spans="1:24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O53" s="81"/>
      <c r="P53" s="81"/>
      <c r="Q53" s="2"/>
      <c r="S53" t="s">
        <v>509</v>
      </c>
      <c r="T53" s="22" t="s">
        <v>499</v>
      </c>
      <c r="X53" s="134"/>
    </row>
    <row r="54" spans="1:24" x14ac:dyDescent="0.25">
      <c r="B54" s="188"/>
      <c r="C54" s="10"/>
      <c r="D54" s="39"/>
      <c r="E54" s="39"/>
      <c r="F54" s="39"/>
      <c r="G54" s="39"/>
      <c r="H54" s="226"/>
      <c r="I54" s="39"/>
      <c r="J54" s="39"/>
      <c r="K54" s="39"/>
      <c r="O54" s="81"/>
      <c r="P54" s="81"/>
      <c r="S54" t="s">
        <v>508</v>
      </c>
      <c r="T54" s="22" t="s">
        <v>500</v>
      </c>
      <c r="X54" s="134"/>
    </row>
    <row r="55" spans="1:24" x14ac:dyDescent="0.25">
      <c r="B55" s="188"/>
      <c r="C55" s="10"/>
      <c r="D55" s="39"/>
      <c r="E55" s="39"/>
      <c r="F55" s="39"/>
      <c r="G55" s="39"/>
      <c r="H55" s="226"/>
      <c r="I55" s="39"/>
      <c r="J55" s="39"/>
      <c r="K55" s="39"/>
      <c r="O55" s="81"/>
      <c r="P55" s="81"/>
      <c r="S55" t="s">
        <v>507</v>
      </c>
      <c r="T55" s="22" t="s">
        <v>510</v>
      </c>
      <c r="X55" s="134"/>
    </row>
    <row r="56" spans="1:24" x14ac:dyDescent="0.25">
      <c r="B56" s="188"/>
      <c r="C56" s="10"/>
      <c r="D56" s="39"/>
      <c r="E56" s="39"/>
      <c r="F56" s="39"/>
      <c r="G56" s="39"/>
      <c r="H56" s="226"/>
      <c r="I56" s="39"/>
      <c r="J56" s="39"/>
      <c r="K56" s="39"/>
      <c r="O56" s="81"/>
      <c r="P56" s="81"/>
      <c r="X56" s="134"/>
    </row>
    <row r="57" spans="1:24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25" t="s">
        <v>1</v>
      </c>
      <c r="B59" s="525" t="s">
        <v>2</v>
      </c>
      <c r="C59" s="525" t="s">
        <v>4</v>
      </c>
      <c r="D59" s="526" t="s">
        <v>5</v>
      </c>
      <c r="E59" s="526" t="s">
        <v>94</v>
      </c>
      <c r="F59" s="526" t="s">
        <v>60</v>
      </c>
      <c r="G59" s="525" t="s">
        <v>3</v>
      </c>
      <c r="H59" s="525" t="s">
        <v>6</v>
      </c>
      <c r="I59" s="526" t="s">
        <v>7</v>
      </c>
      <c r="J59" s="526" t="s">
        <v>95</v>
      </c>
      <c r="K59" s="526" t="s">
        <v>61</v>
      </c>
      <c r="L59" s="525" t="s">
        <v>37</v>
      </c>
      <c r="M59" s="525" t="s">
        <v>38</v>
      </c>
      <c r="O59" s="81"/>
      <c r="P59" s="81"/>
      <c r="X59" s="134"/>
    </row>
    <row r="60" spans="1:24" x14ac:dyDescent="0.25">
      <c r="A60" s="527" t="s">
        <v>287</v>
      </c>
      <c r="B60" s="510">
        <v>42639</v>
      </c>
      <c r="C60" s="511">
        <v>80</v>
      </c>
      <c r="D60" s="513">
        <v>26.38</v>
      </c>
      <c r="E60" s="513">
        <v>0</v>
      </c>
      <c r="F60" s="513">
        <f>C60*D60+E60</f>
        <v>2110.4</v>
      </c>
      <c r="G60" s="510">
        <v>42677</v>
      </c>
      <c r="H60" s="528">
        <v>100</v>
      </c>
      <c r="I60" s="513">
        <v>26.49</v>
      </c>
      <c r="J60" s="513">
        <v>0.56000000000000005</v>
      </c>
      <c r="K60" s="513">
        <f>I60*H60-J60</f>
        <v>2648.44</v>
      </c>
      <c r="L60" s="510"/>
      <c r="M60" s="513"/>
      <c r="O60" s="81"/>
      <c r="P60" s="81"/>
      <c r="X60" s="134"/>
    </row>
    <row r="61" spans="1:24" x14ac:dyDescent="0.25">
      <c r="A61" s="529" t="s">
        <v>71</v>
      </c>
      <c r="B61" s="510">
        <v>42639</v>
      </c>
      <c r="C61" s="511">
        <v>20</v>
      </c>
      <c r="D61" s="513">
        <v>25.48</v>
      </c>
      <c r="E61" s="513">
        <v>0</v>
      </c>
      <c r="F61" s="513">
        <f>C61*D61+E61</f>
        <v>509.6</v>
      </c>
      <c r="G61" s="510">
        <v>42678</v>
      </c>
      <c r="H61" s="528">
        <v>20</v>
      </c>
      <c r="I61" s="513">
        <v>27.31</v>
      </c>
      <c r="J61" s="513">
        <v>0.01</v>
      </c>
      <c r="K61" s="513">
        <f>I61*H61-J61</f>
        <v>546.18999999999994</v>
      </c>
      <c r="L61" s="511"/>
      <c r="M61" s="511"/>
      <c r="X61" s="134"/>
    </row>
    <row r="62" spans="1:24" x14ac:dyDescent="0.25">
      <c r="A62" s="511"/>
      <c r="B62" s="510">
        <v>42639</v>
      </c>
      <c r="C62" s="511">
        <v>20</v>
      </c>
      <c r="D62" s="513">
        <v>25.48</v>
      </c>
      <c r="E62" s="513">
        <v>0</v>
      </c>
      <c r="F62" s="513">
        <f>C62*D62+E62</f>
        <v>509.6</v>
      </c>
      <c r="G62" s="510">
        <v>42681</v>
      </c>
      <c r="H62" s="528">
        <v>80</v>
      </c>
      <c r="I62" s="513">
        <v>28.17</v>
      </c>
      <c r="J62" s="513">
        <v>0.05</v>
      </c>
      <c r="K62" s="513">
        <f>I62*H62-J62</f>
        <v>2253.5500000000002</v>
      </c>
      <c r="L62" s="511"/>
      <c r="M62" s="511"/>
      <c r="X62" s="134"/>
    </row>
    <row r="63" spans="1:24" x14ac:dyDescent="0.25">
      <c r="A63" s="511"/>
      <c r="B63" s="510">
        <v>42649</v>
      </c>
      <c r="C63" s="511">
        <v>80</v>
      </c>
      <c r="D63" s="513">
        <v>24.67</v>
      </c>
      <c r="E63" s="513">
        <v>0</v>
      </c>
      <c r="F63" s="513">
        <f>C63*D63+E63</f>
        <v>1973.6000000000001</v>
      </c>
      <c r="G63" s="511"/>
      <c r="H63" s="528"/>
      <c r="I63" s="513"/>
      <c r="J63" s="513"/>
      <c r="K63" s="513"/>
      <c r="L63" s="511"/>
      <c r="M63" s="511"/>
      <c r="X63" s="134"/>
    </row>
    <row r="64" spans="1:24" x14ac:dyDescent="0.25">
      <c r="A64" s="511"/>
      <c r="B64" s="445">
        <v>42684</v>
      </c>
      <c r="C64" s="7">
        <v>100</v>
      </c>
      <c r="D64" s="43">
        <v>22.54</v>
      </c>
      <c r="E64" s="43">
        <v>0</v>
      </c>
      <c r="F64" s="43">
        <f t="shared" ref="F64:F74" si="24">D64*C64+E64</f>
        <v>2254</v>
      </c>
      <c r="G64" s="445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25">I64*H64-J64</f>
        <v>2197.4499999999998</v>
      </c>
      <c r="L64" s="72"/>
      <c r="M64" s="3"/>
      <c r="X64" s="134"/>
    </row>
    <row r="65" spans="1:24" x14ac:dyDescent="0.25">
      <c r="A65" s="511"/>
      <c r="B65" s="445">
        <v>42685</v>
      </c>
      <c r="C65" s="7">
        <v>100</v>
      </c>
      <c r="D65" s="43">
        <v>21.28</v>
      </c>
      <c r="E65" s="43">
        <v>0</v>
      </c>
      <c r="F65" s="43">
        <f t="shared" si="24"/>
        <v>2128</v>
      </c>
      <c r="G65" s="445">
        <v>42766</v>
      </c>
      <c r="H65" s="80">
        <v>100</v>
      </c>
      <c r="I65" s="43">
        <v>21.22</v>
      </c>
      <c r="J65" s="43">
        <v>0.05</v>
      </c>
      <c r="K65" s="43">
        <f t="shared" si="25"/>
        <v>2121.9499999999998</v>
      </c>
      <c r="L65" s="4"/>
      <c r="M65" s="4"/>
      <c r="X65" s="134"/>
    </row>
    <row r="66" spans="1:24" x14ac:dyDescent="0.25">
      <c r="A66" s="511"/>
      <c r="B66" s="445">
        <v>42706</v>
      </c>
      <c r="C66" s="7">
        <v>100</v>
      </c>
      <c r="D66" s="43">
        <v>21.13</v>
      </c>
      <c r="E66" s="43">
        <v>0</v>
      </c>
      <c r="F66" s="43">
        <f t="shared" si="24"/>
        <v>2113</v>
      </c>
      <c r="G66" s="445">
        <v>42766</v>
      </c>
      <c r="H66" s="80">
        <v>100</v>
      </c>
      <c r="I66" s="43">
        <v>21.58</v>
      </c>
      <c r="J66" s="43">
        <v>0.05</v>
      </c>
      <c r="K66" s="43">
        <f t="shared" si="25"/>
        <v>2157.9499999999998</v>
      </c>
      <c r="L66" s="4"/>
      <c r="M66" s="4"/>
      <c r="X66" s="134"/>
    </row>
    <row r="67" spans="1:24" x14ac:dyDescent="0.25">
      <c r="A67" s="511"/>
      <c r="B67" s="445">
        <v>42732</v>
      </c>
      <c r="C67" s="7">
        <v>100</v>
      </c>
      <c r="D67" s="43">
        <v>21.06</v>
      </c>
      <c r="E67" s="43">
        <v>0</v>
      </c>
      <c r="F67" s="43">
        <f t="shared" si="24"/>
        <v>2106</v>
      </c>
      <c r="G67" s="445">
        <v>42828</v>
      </c>
      <c r="H67" s="80">
        <v>200</v>
      </c>
      <c r="I67" s="43">
        <v>19.98</v>
      </c>
      <c r="J67" s="43">
        <v>1.0900000000000001</v>
      </c>
      <c r="K67" s="43">
        <f t="shared" si="25"/>
        <v>3994.91</v>
      </c>
      <c r="L67" s="4"/>
      <c r="M67" s="4"/>
      <c r="X67" s="134"/>
    </row>
    <row r="68" spans="1:24" x14ac:dyDescent="0.25">
      <c r="A68" s="511"/>
      <c r="B68" s="445">
        <v>42746</v>
      </c>
      <c r="C68" s="7">
        <v>100</v>
      </c>
      <c r="D68" s="43">
        <v>20.18</v>
      </c>
      <c r="E68" s="43">
        <v>0</v>
      </c>
      <c r="F68" s="43">
        <f t="shared" si="24"/>
        <v>2018</v>
      </c>
      <c r="G68" s="445">
        <v>42828</v>
      </c>
      <c r="H68" s="80">
        <v>200</v>
      </c>
      <c r="I68" s="43">
        <v>20.71</v>
      </c>
      <c r="J68" s="43">
        <v>0.09</v>
      </c>
      <c r="K68" s="43">
        <f t="shared" si="25"/>
        <v>4141.91</v>
      </c>
      <c r="L68" s="4"/>
      <c r="M68" s="4"/>
      <c r="X68" s="134"/>
    </row>
    <row r="69" spans="1:24" x14ac:dyDescent="0.25">
      <c r="A69" s="511"/>
      <c r="B69" s="445">
        <v>42753</v>
      </c>
      <c r="C69" s="7">
        <v>100</v>
      </c>
      <c r="D69" s="43">
        <v>20.28</v>
      </c>
      <c r="E69" s="43">
        <v>0</v>
      </c>
      <c r="F69" s="43">
        <f t="shared" si="24"/>
        <v>2028</v>
      </c>
      <c r="G69" s="445">
        <v>42830</v>
      </c>
      <c r="H69" s="80">
        <v>100</v>
      </c>
      <c r="I69" s="43">
        <v>20.04</v>
      </c>
      <c r="J69" s="43">
        <v>0.04</v>
      </c>
      <c r="K69" s="43">
        <f t="shared" si="25"/>
        <v>2003.96</v>
      </c>
      <c r="L69" s="4"/>
      <c r="M69" s="4"/>
      <c r="X69" s="134"/>
    </row>
    <row r="70" spans="1:24" x14ac:dyDescent="0.25">
      <c r="A70" s="511"/>
      <c r="B70" s="445">
        <v>42754</v>
      </c>
      <c r="C70" s="7">
        <v>100</v>
      </c>
      <c r="D70" s="43">
        <v>20.079999999999998</v>
      </c>
      <c r="E70" s="43">
        <v>0</v>
      </c>
      <c r="F70" s="43">
        <f t="shared" si="24"/>
        <v>2007.9999999999998</v>
      </c>
      <c r="G70" s="445">
        <v>42831</v>
      </c>
      <c r="H70" s="80">
        <v>100</v>
      </c>
      <c r="I70" s="43">
        <v>20.420000000000002</v>
      </c>
      <c r="J70" s="43">
        <v>0.04</v>
      </c>
      <c r="K70" s="43">
        <f t="shared" si="25"/>
        <v>2041.9600000000003</v>
      </c>
      <c r="L70" s="4"/>
      <c r="M70" s="4"/>
    </row>
    <row r="71" spans="1:24" x14ac:dyDescent="0.25">
      <c r="A71" s="511"/>
      <c r="B71" s="445">
        <v>42768</v>
      </c>
      <c r="C71" s="7">
        <v>100</v>
      </c>
      <c r="D71" s="43">
        <v>20.68</v>
      </c>
      <c r="E71" s="43">
        <v>0</v>
      </c>
      <c r="F71" s="43">
        <f t="shared" si="24"/>
        <v>2068</v>
      </c>
      <c r="G71" s="445">
        <v>42852</v>
      </c>
      <c r="H71" s="80">
        <v>100</v>
      </c>
      <c r="I71" s="43">
        <v>21.87</v>
      </c>
      <c r="J71" s="43">
        <v>0.55000000000000004</v>
      </c>
      <c r="K71" s="43">
        <f t="shared" si="25"/>
        <v>2186.4499999999998</v>
      </c>
      <c r="L71" s="4"/>
      <c r="M71" s="4"/>
    </row>
    <row r="72" spans="1:24" x14ac:dyDescent="0.25">
      <c r="A72" s="511"/>
      <c r="B72" s="445">
        <v>42773</v>
      </c>
      <c r="C72" s="7">
        <v>100</v>
      </c>
      <c r="D72" s="43">
        <v>19.48</v>
      </c>
      <c r="E72" s="43">
        <v>0</v>
      </c>
      <c r="F72" s="43">
        <f t="shared" si="24"/>
        <v>1948</v>
      </c>
      <c r="G72" s="445">
        <v>42864</v>
      </c>
      <c r="H72" s="80">
        <v>200</v>
      </c>
      <c r="I72" s="43">
        <v>22.46</v>
      </c>
      <c r="J72" s="43">
        <v>1.1000000000000001</v>
      </c>
      <c r="K72" s="43">
        <f t="shared" si="25"/>
        <v>4490.8999999999996</v>
      </c>
    </row>
    <row r="73" spans="1:24" x14ac:dyDescent="0.25">
      <c r="A73" s="511"/>
      <c r="B73" s="445">
        <v>42816</v>
      </c>
      <c r="C73" s="7">
        <v>200</v>
      </c>
      <c r="D73" s="43">
        <v>18.8</v>
      </c>
      <c r="E73" s="43">
        <v>0</v>
      </c>
      <c r="F73" s="43">
        <f t="shared" si="24"/>
        <v>3760</v>
      </c>
      <c r="H73" s="70"/>
    </row>
    <row r="74" spans="1:24" x14ac:dyDescent="0.25">
      <c r="A74" s="511"/>
      <c r="B74" s="445">
        <v>42829</v>
      </c>
      <c r="C74" s="7">
        <v>100</v>
      </c>
      <c r="D74" s="43">
        <v>19.68</v>
      </c>
      <c r="E74" s="43">
        <v>0</v>
      </c>
      <c r="F74" s="43">
        <f t="shared" si="24"/>
        <v>1968</v>
      </c>
      <c r="H74" s="70"/>
    </row>
    <row r="75" spans="1:24" x14ac:dyDescent="0.25">
      <c r="A75" s="511"/>
      <c r="H75" s="70"/>
    </row>
    <row r="76" spans="1:24" x14ac:dyDescent="0.25">
      <c r="A76" s="530" t="s">
        <v>81</v>
      </c>
      <c r="B76" s="531"/>
      <c r="C76" s="531">
        <f>SUM(C60:C75)</f>
        <v>1400</v>
      </c>
      <c r="D76" s="532"/>
      <c r="E76" s="532"/>
      <c r="F76" s="532">
        <f>SUM(F60:F75)</f>
        <v>29502.2</v>
      </c>
      <c r="G76" s="531"/>
      <c r="H76" s="553">
        <f>SUM(H60:H75)</f>
        <v>1400</v>
      </c>
      <c r="I76" s="532"/>
      <c r="J76" s="532"/>
      <c r="K76" s="532">
        <f>SUM(K60:K75)</f>
        <v>30785.619999999995</v>
      </c>
      <c r="L76" s="531"/>
      <c r="M76" s="532">
        <f>SUM(M60:M68)</f>
        <v>0</v>
      </c>
    </row>
    <row r="77" spans="1:24" ht="15.75" thickBot="1" x14ac:dyDescent="0.3">
      <c r="A77" s="533" t="s">
        <v>194</v>
      </c>
      <c r="B77" s="534"/>
      <c r="C77" s="535">
        <f>SumByColor($A$19,C60:C75)</f>
        <v>1200</v>
      </c>
      <c r="D77" s="535"/>
      <c r="E77" s="535"/>
      <c r="F77" s="536">
        <f>SumByColor($A$19,F60:F75)</f>
        <v>24399</v>
      </c>
      <c r="G77" s="535"/>
      <c r="H77" s="535">
        <f>SumByColor($A$19,H60:H75)</f>
        <v>1200</v>
      </c>
      <c r="I77" s="535"/>
      <c r="J77" s="535"/>
      <c r="K77" s="536">
        <f>SumByColor($A$19,K60:K75)</f>
        <v>25337</v>
      </c>
      <c r="L77" s="535"/>
      <c r="M77" s="536">
        <f>SumByColor($A$19,M60:M75)</f>
        <v>0</v>
      </c>
    </row>
    <row r="82" spans="2:11" x14ac:dyDescent="0.25">
      <c r="B82" s="186" t="s">
        <v>113</v>
      </c>
      <c r="C82" s="186" t="s">
        <v>146</v>
      </c>
      <c r="D82" s="187" t="s">
        <v>145</v>
      </c>
      <c r="E82" s="189" t="s">
        <v>147</v>
      </c>
      <c r="F82" s="189" t="s">
        <v>65</v>
      </c>
      <c r="G82" s="224" t="s">
        <v>151</v>
      </c>
      <c r="H82" s="224" t="s">
        <v>88</v>
      </c>
      <c r="I82" s="224" t="s">
        <v>154</v>
      </c>
    </row>
    <row r="83" spans="2:11" x14ac:dyDescent="0.25">
      <c r="B83" s="370">
        <v>42639</v>
      </c>
      <c r="C83" s="371">
        <v>80</v>
      </c>
      <c r="D83" s="372">
        <v>26.38</v>
      </c>
      <c r="E83" s="372">
        <v>25.53</v>
      </c>
      <c r="F83" s="372">
        <f t="shared" ref="F83:F92" si="26">C83*(E83-D83)</f>
        <v>-67.999999999999829</v>
      </c>
      <c r="G83" s="372">
        <f t="shared" ref="G83:G92" si="27">D83*C83</f>
        <v>2110.4</v>
      </c>
      <c r="H83" s="373">
        <f t="shared" ref="H83:H92" si="28">(E83-D83)/D83</f>
        <v>-3.2221379833206894E-2</v>
      </c>
      <c r="I83" s="372"/>
    </row>
    <row r="84" spans="2:11" x14ac:dyDescent="0.25">
      <c r="B84" s="370">
        <v>42639</v>
      </c>
      <c r="C84" s="371">
        <v>120</v>
      </c>
      <c r="D84" s="372">
        <v>26.08</v>
      </c>
      <c r="E84" s="372">
        <v>25.53</v>
      </c>
      <c r="F84" s="372">
        <f t="shared" si="26"/>
        <v>-65.999999999999659</v>
      </c>
      <c r="G84" s="372">
        <f t="shared" si="27"/>
        <v>3129.6</v>
      </c>
      <c r="H84" s="373">
        <f t="shared" si="28"/>
        <v>-2.1088957055214616E-2</v>
      </c>
      <c r="I84" s="372"/>
    </row>
    <row r="85" spans="2:11" x14ac:dyDescent="0.25">
      <c r="B85" s="370">
        <v>42641</v>
      </c>
      <c r="C85" s="371">
        <v>120</v>
      </c>
      <c r="D85" s="372">
        <v>26.08</v>
      </c>
      <c r="E85" s="372">
        <v>26</v>
      </c>
      <c r="F85" s="372">
        <f t="shared" si="26"/>
        <v>-9.5999999999997954</v>
      </c>
      <c r="G85" s="372">
        <f t="shared" si="27"/>
        <v>3129.6</v>
      </c>
      <c r="H85" s="373">
        <f t="shared" si="28"/>
        <v>-3.0674846625766221E-3</v>
      </c>
      <c r="I85" s="372"/>
    </row>
    <row r="86" spans="2:11" x14ac:dyDescent="0.25">
      <c r="B86" s="370">
        <v>42643</v>
      </c>
      <c r="C86" s="371">
        <v>120</v>
      </c>
      <c r="D86" s="372">
        <v>26.08</v>
      </c>
      <c r="E86" s="372">
        <v>26.59</v>
      </c>
      <c r="F86" s="372">
        <f t="shared" si="26"/>
        <v>61.200000000000188</v>
      </c>
      <c r="G86" s="372">
        <f t="shared" si="27"/>
        <v>3129.6</v>
      </c>
      <c r="H86" s="373">
        <f t="shared" si="28"/>
        <v>1.9555214723926441E-2</v>
      </c>
      <c r="I86" s="372"/>
    </row>
    <row r="87" spans="2:11" x14ac:dyDescent="0.25">
      <c r="B87" s="370">
        <v>42649</v>
      </c>
      <c r="C87" s="371">
        <v>200</v>
      </c>
      <c r="D87" s="372">
        <v>25.515999999999998</v>
      </c>
      <c r="E87" s="372">
        <v>25.21</v>
      </c>
      <c r="F87" s="372">
        <f t="shared" si="26"/>
        <v>-61.199999999999477</v>
      </c>
      <c r="G87" s="372">
        <f t="shared" si="27"/>
        <v>5103.2</v>
      </c>
      <c r="H87" s="373">
        <f t="shared" si="28"/>
        <v>-1.1992475309609556E-2</v>
      </c>
      <c r="I87" s="372"/>
    </row>
    <row r="88" spans="2:11" x14ac:dyDescent="0.25">
      <c r="B88" s="370">
        <v>42650</v>
      </c>
      <c r="C88" s="371">
        <v>200</v>
      </c>
      <c r="D88" s="372">
        <v>25.515999999999998</v>
      </c>
      <c r="E88" s="372">
        <v>25.33</v>
      </c>
      <c r="F88" s="372">
        <f t="shared" si="26"/>
        <v>-37.199999999999989</v>
      </c>
      <c r="G88" s="372">
        <f t="shared" si="27"/>
        <v>5103.2</v>
      </c>
      <c r="H88" s="373">
        <f t="shared" si="28"/>
        <v>-7.2895438156450835E-3</v>
      </c>
      <c r="I88" s="372"/>
    </row>
    <row r="89" spans="2:11" x14ac:dyDescent="0.25">
      <c r="B89" s="370">
        <v>42661</v>
      </c>
      <c r="C89" s="371">
        <v>200</v>
      </c>
      <c r="D89" s="372">
        <v>25.515999999999998</v>
      </c>
      <c r="E89" s="372">
        <v>26.25</v>
      </c>
      <c r="F89" s="372">
        <f t="shared" si="26"/>
        <v>146.80000000000035</v>
      </c>
      <c r="G89" s="372">
        <f t="shared" si="27"/>
        <v>5103.2</v>
      </c>
      <c r="H89" s="373">
        <f t="shared" si="28"/>
        <v>2.876626430475003E-2</v>
      </c>
      <c r="I89" s="372"/>
    </row>
    <row r="90" spans="2:11" x14ac:dyDescent="0.25">
      <c r="B90" s="370">
        <v>42674</v>
      </c>
      <c r="C90" s="371">
        <v>200</v>
      </c>
      <c r="D90" s="372">
        <v>25.515999999999998</v>
      </c>
      <c r="E90" s="372">
        <v>26.42</v>
      </c>
      <c r="F90" s="372">
        <f t="shared" si="26"/>
        <v>180.80000000000069</v>
      </c>
      <c r="G90" s="372">
        <f t="shared" si="27"/>
        <v>5103.2</v>
      </c>
      <c r="H90" s="373">
        <f t="shared" si="28"/>
        <v>3.5428750587866577E-2</v>
      </c>
      <c r="I90" s="372"/>
    </row>
    <row r="91" spans="2:11" x14ac:dyDescent="0.25">
      <c r="B91" s="370">
        <v>42677</v>
      </c>
      <c r="C91" s="371">
        <v>100</v>
      </c>
      <c r="D91" s="372">
        <v>24.547599999999999</v>
      </c>
      <c r="E91" s="372">
        <v>26.69</v>
      </c>
      <c r="F91" s="372">
        <f t="shared" si="26"/>
        <v>214.24000000000021</v>
      </c>
      <c r="G91" s="372">
        <f t="shared" si="27"/>
        <v>2454.7599999999998</v>
      </c>
      <c r="H91" s="373">
        <f t="shared" si="28"/>
        <v>8.7275334452247971E-2</v>
      </c>
      <c r="I91" s="454"/>
    </row>
    <row r="92" spans="2:11" x14ac:dyDescent="0.25">
      <c r="B92" s="370">
        <v>42678</v>
      </c>
      <c r="C92" s="371">
        <v>80</v>
      </c>
      <c r="D92" s="372">
        <v>23.857099999999999</v>
      </c>
      <c r="E92" s="372">
        <v>27.24</v>
      </c>
      <c r="F92" s="372">
        <f t="shared" si="26"/>
        <v>270.63199999999995</v>
      </c>
      <c r="G92" s="372">
        <f t="shared" si="27"/>
        <v>1908.568</v>
      </c>
      <c r="H92" s="373">
        <f t="shared" si="28"/>
        <v>0.1417984583205838</v>
      </c>
      <c r="I92" s="372"/>
    </row>
    <row r="93" spans="2:11" x14ac:dyDescent="0.25">
      <c r="B93" s="370">
        <v>42681</v>
      </c>
      <c r="C93" s="371">
        <v>0</v>
      </c>
      <c r="D93" s="372"/>
      <c r="E93" s="372"/>
      <c r="F93" s="372">
        <v>344.98</v>
      </c>
      <c r="G93" s="372"/>
      <c r="H93" s="373"/>
      <c r="I93" s="372"/>
    </row>
    <row r="94" spans="2:11" x14ac:dyDescent="0.25">
      <c r="B94" s="370"/>
      <c r="C94" s="371"/>
      <c r="D94" s="372"/>
      <c r="E94" s="372"/>
      <c r="F94" s="372"/>
      <c r="G94" s="372"/>
      <c r="H94" s="373"/>
      <c r="I94" s="372"/>
    </row>
    <row r="95" spans="2:11" x14ac:dyDescent="0.25">
      <c r="B95" s="186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  <c r="J95" s="224" t="s">
        <v>150</v>
      </c>
      <c r="K95" s="224" t="s">
        <v>714</v>
      </c>
    </row>
    <row r="96" spans="2:11" x14ac:dyDescent="0.25">
      <c r="B96" s="188">
        <v>42701</v>
      </c>
      <c r="C96" s="10">
        <v>200</v>
      </c>
      <c r="D96" s="195">
        <v>21.91</v>
      </c>
      <c r="E96" s="39">
        <v>23.82</v>
      </c>
      <c r="F96" s="39">
        <f t="shared" ref="F96:F120" si="29">C96*(E96-D96)</f>
        <v>382</v>
      </c>
      <c r="G96" s="39">
        <f t="shared" ref="G96:G120" si="30">D96*C96</f>
        <v>4382</v>
      </c>
      <c r="H96" s="226">
        <f t="shared" ref="H96:H120" si="31">(E96-D96)/D96</f>
        <v>8.7174806024646292E-2</v>
      </c>
      <c r="I96" s="39"/>
      <c r="J96" s="39"/>
      <c r="K96" s="39"/>
    </row>
    <row r="97" spans="1:11" x14ac:dyDescent="0.25">
      <c r="B97" s="188">
        <v>42706</v>
      </c>
      <c r="C97" s="10">
        <v>300</v>
      </c>
      <c r="D97" s="195">
        <v>21.65</v>
      </c>
      <c r="E97" s="39">
        <v>21.1</v>
      </c>
      <c r="F97" s="39">
        <f t="shared" si="29"/>
        <v>-164.99999999999915</v>
      </c>
      <c r="G97" s="39">
        <f t="shared" si="30"/>
        <v>6495</v>
      </c>
      <c r="H97" s="226">
        <f t="shared" si="31"/>
        <v>-2.5404157043879778E-2</v>
      </c>
      <c r="I97" s="39"/>
      <c r="J97" s="39"/>
      <c r="K97" s="39"/>
    </row>
    <row r="98" spans="1:11" x14ac:dyDescent="0.25">
      <c r="B98" s="188">
        <v>42724</v>
      </c>
      <c r="C98" s="10">
        <v>200</v>
      </c>
      <c r="D98" s="195">
        <v>21.4878</v>
      </c>
      <c r="E98" s="39">
        <v>21.98</v>
      </c>
      <c r="F98" s="39">
        <f t="shared" si="29"/>
        <v>98.440000000000083</v>
      </c>
      <c r="G98" s="39">
        <f t="shared" si="30"/>
        <v>4297.5600000000004</v>
      </c>
      <c r="H98" s="226">
        <f t="shared" si="31"/>
        <v>2.2906021091037725E-2</v>
      </c>
      <c r="I98" s="39"/>
      <c r="J98" s="39"/>
      <c r="K98" s="39"/>
    </row>
    <row r="99" spans="1:11" x14ac:dyDescent="0.25">
      <c r="B99" s="188">
        <v>42732</v>
      </c>
      <c r="C99" s="10">
        <v>300</v>
      </c>
      <c r="D99" s="195">
        <v>21.345199999999998</v>
      </c>
      <c r="E99" s="39">
        <v>21.56</v>
      </c>
      <c r="F99" s="39">
        <f t="shared" si="29"/>
        <v>64.440000000000097</v>
      </c>
      <c r="G99" s="39">
        <f t="shared" si="30"/>
        <v>6403.5599999999995</v>
      </c>
      <c r="H99" s="226">
        <f t="shared" si="31"/>
        <v>1.0063152371493373E-2</v>
      </c>
      <c r="I99" s="39"/>
      <c r="J99" s="39"/>
      <c r="K99" s="39"/>
    </row>
    <row r="100" spans="1:11" x14ac:dyDescent="0.25">
      <c r="B100" s="188">
        <v>42739</v>
      </c>
      <c r="C100" s="10">
        <v>300</v>
      </c>
      <c r="D100" s="195">
        <v>21.345199999999998</v>
      </c>
      <c r="E100" s="39">
        <v>20.9</v>
      </c>
      <c r="F100" s="39">
        <f t="shared" si="29"/>
        <v>-133.55999999999995</v>
      </c>
      <c r="G100" s="39">
        <f t="shared" si="30"/>
        <v>6403.5599999999995</v>
      </c>
      <c r="H100" s="226">
        <f t="shared" si="31"/>
        <v>-2.0857148211307453E-2</v>
      </c>
      <c r="I100" s="39"/>
      <c r="J100" s="39"/>
      <c r="K100" s="39"/>
    </row>
    <row r="101" spans="1:11" x14ac:dyDescent="0.25">
      <c r="B101" s="188">
        <v>42745</v>
      </c>
      <c r="C101" s="7">
        <v>300</v>
      </c>
      <c r="D101" s="77">
        <v>21.345199999999998</v>
      </c>
      <c r="E101" s="39">
        <v>20.58</v>
      </c>
      <c r="F101" s="39">
        <f t="shared" si="29"/>
        <v>-229.56000000000003</v>
      </c>
      <c r="G101" s="39">
        <f t="shared" si="30"/>
        <v>6403.5599999999995</v>
      </c>
      <c r="H101" s="226">
        <f t="shared" si="31"/>
        <v>-3.5848809099938164E-2</v>
      </c>
      <c r="I101" s="39"/>
      <c r="J101" s="39"/>
      <c r="K101" s="39"/>
    </row>
    <row r="102" spans="1:11" x14ac:dyDescent="0.25">
      <c r="B102" s="188">
        <v>42746</v>
      </c>
      <c r="C102" s="10">
        <v>400</v>
      </c>
      <c r="D102" s="195">
        <v>21.053879999999999</v>
      </c>
      <c r="E102" s="39">
        <v>20.309999999999999</v>
      </c>
      <c r="F102" s="39">
        <f t="shared" si="29"/>
        <v>-297.55200000000031</v>
      </c>
      <c r="G102" s="39">
        <f t="shared" si="30"/>
        <v>8421.5519999999997</v>
      </c>
      <c r="H102" s="226">
        <f t="shared" si="31"/>
        <v>-3.5332204800255382E-2</v>
      </c>
      <c r="I102" s="39"/>
      <c r="J102" s="39"/>
      <c r="K102" s="39"/>
    </row>
    <row r="103" spans="1:11" x14ac:dyDescent="0.25">
      <c r="A103" t="s">
        <v>348</v>
      </c>
      <c r="B103" s="188">
        <v>42754</v>
      </c>
      <c r="C103" s="567">
        <v>600</v>
      </c>
      <c r="D103" s="594">
        <v>20.76258</v>
      </c>
      <c r="E103" s="39">
        <v>20.260000000000002</v>
      </c>
      <c r="F103" s="39">
        <f t="shared" si="29"/>
        <v>-301.54799999999898</v>
      </c>
      <c r="G103" s="39">
        <f t="shared" si="30"/>
        <v>12457.548000000001</v>
      </c>
      <c r="H103" s="226">
        <f t="shared" si="31"/>
        <v>-2.4206047610653314E-2</v>
      </c>
      <c r="I103" s="39" t="s">
        <v>342</v>
      </c>
      <c r="J103" s="39"/>
      <c r="K103" s="39"/>
    </row>
    <row r="104" spans="1:11" x14ac:dyDescent="0.25">
      <c r="A104" t="s">
        <v>348</v>
      </c>
      <c r="B104" s="188">
        <v>42760</v>
      </c>
      <c r="C104" s="10">
        <v>600</v>
      </c>
      <c r="D104" s="195">
        <v>20.76258</v>
      </c>
      <c r="E104" s="39">
        <v>20.89</v>
      </c>
      <c r="F104" s="39">
        <f t="shared" si="29"/>
        <v>76.452000000000453</v>
      </c>
      <c r="G104" s="39">
        <f t="shared" si="30"/>
        <v>12457.548000000001</v>
      </c>
      <c r="H104" s="226">
        <f t="shared" si="31"/>
        <v>6.1370022415326402E-3</v>
      </c>
      <c r="I104" s="39"/>
      <c r="J104" s="39"/>
      <c r="K104" s="39"/>
    </row>
    <row r="105" spans="1:11" x14ac:dyDescent="0.25">
      <c r="A105" t="s">
        <v>379</v>
      </c>
      <c r="B105" s="188">
        <v>42764</v>
      </c>
      <c r="C105" s="10">
        <v>600</v>
      </c>
      <c r="D105" s="195">
        <v>20.76258</v>
      </c>
      <c r="E105" s="39">
        <v>20.58</v>
      </c>
      <c r="F105" s="39">
        <f t="shared" si="29"/>
        <v>-109.54800000000091</v>
      </c>
      <c r="G105" s="39">
        <f t="shared" si="30"/>
        <v>12457.548000000001</v>
      </c>
      <c r="H105" s="226">
        <f t="shared" si="31"/>
        <v>-8.7937048285907406E-3</v>
      </c>
      <c r="I105" s="39"/>
      <c r="J105" s="39"/>
      <c r="K105" s="39"/>
    </row>
    <row r="106" spans="1:11" x14ac:dyDescent="0.25">
      <c r="A106" t="s">
        <v>390</v>
      </c>
      <c r="B106" s="188">
        <v>42766</v>
      </c>
      <c r="C106" s="10">
        <v>400</v>
      </c>
      <c r="D106" s="195">
        <v>20.444130000000001</v>
      </c>
      <c r="E106" s="39">
        <v>21.3</v>
      </c>
      <c r="F106" s="39">
        <f t="shared" si="29"/>
        <v>342.34799999999979</v>
      </c>
      <c r="G106" s="39">
        <f t="shared" si="30"/>
        <v>8177.652</v>
      </c>
      <c r="H106" s="226">
        <f t="shared" si="31"/>
        <v>4.1863850405960017E-2</v>
      </c>
      <c r="I106" s="39"/>
      <c r="J106" s="39"/>
      <c r="K106" s="39"/>
    </row>
    <row r="107" spans="1:11" x14ac:dyDescent="0.25">
      <c r="A107" t="s">
        <v>398</v>
      </c>
      <c r="B107" s="188">
        <v>42768</v>
      </c>
      <c r="C107" s="10">
        <v>500</v>
      </c>
      <c r="D107" s="195">
        <v>20.491299999999999</v>
      </c>
      <c r="E107" s="39">
        <v>20.52</v>
      </c>
      <c r="F107" s="39">
        <f t="shared" si="29"/>
        <v>14.350000000000307</v>
      </c>
      <c r="G107" s="39">
        <f t="shared" si="30"/>
        <v>10245.65</v>
      </c>
      <c r="H107" s="226">
        <f t="shared" si="31"/>
        <v>1.4005943985984596E-3</v>
      </c>
      <c r="I107" s="39"/>
      <c r="J107" s="39"/>
      <c r="K107" s="39"/>
    </row>
    <row r="108" spans="1:11" x14ac:dyDescent="0.25">
      <c r="A108" t="s">
        <v>419</v>
      </c>
      <c r="B108" s="188">
        <v>42773</v>
      </c>
      <c r="C108" s="567">
        <v>600</v>
      </c>
      <c r="D108" s="594">
        <v>20.322749999999999</v>
      </c>
      <c r="E108" s="39">
        <v>19.61</v>
      </c>
      <c r="F108" s="39">
        <f t="shared" si="29"/>
        <v>-427.64999999999986</v>
      </c>
      <c r="G108" s="39">
        <f t="shared" si="30"/>
        <v>12193.65</v>
      </c>
      <c r="H108" s="226">
        <f t="shared" si="31"/>
        <v>-3.5071533134049267E-2</v>
      </c>
      <c r="I108" s="39"/>
      <c r="J108" s="39"/>
      <c r="K108" s="39"/>
    </row>
    <row r="109" spans="1:11" x14ac:dyDescent="0.25">
      <c r="A109" t="s">
        <v>348</v>
      </c>
      <c r="B109" s="188">
        <v>42778</v>
      </c>
      <c r="C109" s="10">
        <v>600</v>
      </c>
      <c r="D109" s="195">
        <v>20.322749999999999</v>
      </c>
      <c r="E109" s="39">
        <v>20.07</v>
      </c>
      <c r="F109" s="39">
        <f t="shared" si="29"/>
        <v>-151.64999999999935</v>
      </c>
      <c r="G109" s="39">
        <f t="shared" si="30"/>
        <v>12193.65</v>
      </c>
      <c r="H109" s="226">
        <f t="shared" si="31"/>
        <v>-1.2436801121895361E-2</v>
      </c>
      <c r="I109" s="39"/>
      <c r="J109" s="39"/>
      <c r="K109" s="39"/>
    </row>
    <row r="110" spans="1:11" x14ac:dyDescent="0.25">
      <c r="A110" t="s">
        <v>348</v>
      </c>
      <c r="B110" s="188">
        <v>42779</v>
      </c>
      <c r="C110" s="10">
        <v>600</v>
      </c>
      <c r="D110" s="195">
        <v>20.322749999999999</v>
      </c>
      <c r="E110" s="39">
        <v>19.23</v>
      </c>
      <c r="F110" s="39">
        <f t="shared" si="29"/>
        <v>-655.6499999999993</v>
      </c>
      <c r="G110" s="39">
        <f t="shared" si="30"/>
        <v>12193.65</v>
      </c>
      <c r="H110" s="226">
        <f t="shared" si="31"/>
        <v>-5.3769790013654589E-2</v>
      </c>
      <c r="I110" s="39"/>
      <c r="J110" s="39"/>
      <c r="K110" s="39"/>
    </row>
    <row r="111" spans="1:11" x14ac:dyDescent="0.25">
      <c r="A111" t="s">
        <v>447</v>
      </c>
      <c r="B111" s="188">
        <v>42785</v>
      </c>
      <c r="C111" s="10">
        <v>600</v>
      </c>
      <c r="D111" s="195">
        <v>20.322749999999999</v>
      </c>
      <c r="E111" s="39">
        <v>19.22</v>
      </c>
      <c r="F111" s="39">
        <f t="shared" si="29"/>
        <v>-661.6500000000002</v>
      </c>
      <c r="G111" s="39">
        <f t="shared" si="30"/>
        <v>12193.65</v>
      </c>
      <c r="H111" s="226">
        <f t="shared" si="31"/>
        <v>-5.4261849405223231E-2</v>
      </c>
      <c r="I111" s="39"/>
      <c r="J111" s="39"/>
      <c r="K111" s="39"/>
    </row>
    <row r="112" spans="1:11" x14ac:dyDescent="0.25">
      <c r="A112">
        <v>600</v>
      </c>
      <c r="B112" s="188">
        <v>42805</v>
      </c>
      <c r="C112" s="10">
        <v>600</v>
      </c>
      <c r="D112" s="195">
        <v>20.322749999999999</v>
      </c>
      <c r="E112" s="39">
        <v>19.52</v>
      </c>
      <c r="F112" s="39">
        <f t="shared" si="29"/>
        <v>-481.64999999999975</v>
      </c>
      <c r="G112" s="39">
        <f t="shared" si="30"/>
        <v>12193.65</v>
      </c>
      <c r="H112" s="226">
        <f t="shared" si="31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8">
        <v>42808</v>
      </c>
      <c r="C113" s="10">
        <v>600</v>
      </c>
      <c r="D113" s="195">
        <v>20.322749999999999</v>
      </c>
      <c r="E113" s="39">
        <v>19.2</v>
      </c>
      <c r="F113" s="39">
        <f t="shared" si="29"/>
        <v>-673.65</v>
      </c>
      <c r="G113" s="39">
        <f t="shared" si="30"/>
        <v>12193.65</v>
      </c>
      <c r="H113" s="226">
        <f t="shared" si="31"/>
        <v>-5.5245968188360334E-2</v>
      </c>
      <c r="I113" s="39"/>
      <c r="J113" s="39">
        <v>-329</v>
      </c>
      <c r="K113" s="39">
        <f t="shared" ref="K113:K120" si="32">(G113-J113)/C113</f>
        <v>20.871083333333331</v>
      </c>
    </row>
    <row r="114" spans="1:11" x14ac:dyDescent="0.25">
      <c r="A114">
        <v>600</v>
      </c>
      <c r="B114" s="188">
        <v>42816</v>
      </c>
      <c r="C114" s="10">
        <v>800</v>
      </c>
      <c r="D114" s="195">
        <v>19.9421</v>
      </c>
      <c r="E114" s="39">
        <v>18.77</v>
      </c>
      <c r="F114" s="39">
        <f t="shared" si="29"/>
        <v>-937.68000000000029</v>
      </c>
      <c r="G114" s="39">
        <f t="shared" si="30"/>
        <v>15953.68</v>
      </c>
      <c r="H114" s="226">
        <f t="shared" si="31"/>
        <v>-5.8775154071035667E-2</v>
      </c>
      <c r="I114" s="39"/>
      <c r="J114" s="39">
        <v>-593</v>
      </c>
      <c r="K114" s="39">
        <f t="shared" si="32"/>
        <v>20.683350000000001</v>
      </c>
    </row>
    <row r="115" spans="1:11" x14ac:dyDescent="0.25">
      <c r="B115" s="188">
        <v>42828</v>
      </c>
      <c r="C115" s="10">
        <v>400</v>
      </c>
      <c r="D115" s="195">
        <v>19.542000000000002</v>
      </c>
      <c r="E115" s="39">
        <v>20.45</v>
      </c>
      <c r="F115" s="39">
        <f t="shared" si="29"/>
        <v>363.19999999999908</v>
      </c>
      <c r="G115" s="39">
        <f t="shared" si="30"/>
        <v>7816.8000000000011</v>
      </c>
      <c r="H115" s="226">
        <f t="shared" si="31"/>
        <v>4.6464026199979407E-2</v>
      </c>
      <c r="I115" s="39"/>
      <c r="J115" s="39">
        <v>708</v>
      </c>
      <c r="K115" s="39">
        <f t="shared" si="32"/>
        <v>17.772000000000002</v>
      </c>
    </row>
    <row r="116" spans="1:11" x14ac:dyDescent="0.25">
      <c r="A116">
        <v>200</v>
      </c>
      <c r="B116" s="188">
        <v>42829</v>
      </c>
      <c r="C116" s="10">
        <v>500</v>
      </c>
      <c r="D116" s="195">
        <v>19.57</v>
      </c>
      <c r="E116" s="39">
        <v>19.690000000000001</v>
      </c>
      <c r="F116" s="39">
        <f t="shared" si="29"/>
        <v>60.000000000000497</v>
      </c>
      <c r="G116" s="39">
        <f t="shared" si="30"/>
        <v>9785</v>
      </c>
      <c r="H116" s="226">
        <f t="shared" si="31"/>
        <v>6.1318344404701578E-3</v>
      </c>
      <c r="I116" s="39"/>
      <c r="J116" s="39">
        <v>405</v>
      </c>
      <c r="K116" s="39">
        <f t="shared" si="32"/>
        <v>18.760000000000002</v>
      </c>
    </row>
    <row r="117" spans="1:11" x14ac:dyDescent="0.25">
      <c r="A117">
        <v>100</v>
      </c>
      <c r="B117" s="188">
        <v>42830</v>
      </c>
      <c r="C117" s="10">
        <v>400</v>
      </c>
      <c r="D117" s="195">
        <v>19.452000000000002</v>
      </c>
      <c r="E117" s="39">
        <v>20.100000000000001</v>
      </c>
      <c r="F117" s="39">
        <f t="shared" si="29"/>
        <v>259.19999999999987</v>
      </c>
      <c r="G117" s="39">
        <f t="shared" si="30"/>
        <v>7780.8000000000011</v>
      </c>
      <c r="H117" s="226">
        <f t="shared" si="31"/>
        <v>3.3312769895126444E-2</v>
      </c>
      <c r="I117" s="39"/>
      <c r="J117" s="39">
        <v>604</v>
      </c>
      <c r="K117" s="39">
        <f t="shared" si="32"/>
        <v>17.942000000000004</v>
      </c>
    </row>
    <row r="118" spans="1:11" x14ac:dyDescent="0.25">
      <c r="A118">
        <v>0</v>
      </c>
      <c r="B118" s="188">
        <v>42836</v>
      </c>
      <c r="C118" s="7">
        <v>300</v>
      </c>
      <c r="D118" s="77">
        <v>19.13</v>
      </c>
      <c r="E118" s="39">
        <v>21.91</v>
      </c>
      <c r="F118" s="39">
        <f t="shared" si="29"/>
        <v>834.00000000000034</v>
      </c>
      <c r="G118" s="39">
        <f t="shared" si="30"/>
        <v>5739</v>
      </c>
      <c r="H118" s="226">
        <f t="shared" si="31"/>
        <v>0.14532148457919505</v>
      </c>
      <c r="I118" s="39"/>
      <c r="J118" s="39">
        <v>1179</v>
      </c>
      <c r="K118" s="39">
        <f t="shared" si="32"/>
        <v>15.2</v>
      </c>
    </row>
    <row r="119" spans="1:11" x14ac:dyDescent="0.25">
      <c r="A119">
        <v>0</v>
      </c>
      <c r="B119" s="188">
        <v>42843</v>
      </c>
      <c r="C119" s="10">
        <v>300</v>
      </c>
      <c r="D119" s="195">
        <v>19.13</v>
      </c>
      <c r="E119" s="39">
        <v>21.19</v>
      </c>
      <c r="F119" s="39">
        <f t="shared" si="29"/>
        <v>618.00000000000068</v>
      </c>
      <c r="G119" s="39">
        <f t="shared" si="30"/>
        <v>5739</v>
      </c>
      <c r="H119" s="226">
        <f t="shared" si="31"/>
        <v>0.10768426555148992</v>
      </c>
      <c r="I119" s="39"/>
      <c r="J119" s="39">
        <v>963</v>
      </c>
      <c r="K119" s="39">
        <f t="shared" si="32"/>
        <v>15.92</v>
      </c>
    </row>
    <row r="120" spans="1:11" x14ac:dyDescent="0.25">
      <c r="A120">
        <v>100</v>
      </c>
      <c r="B120" s="188">
        <v>42852</v>
      </c>
      <c r="C120" s="10">
        <v>200</v>
      </c>
      <c r="D120" s="195">
        <v>17.7623</v>
      </c>
      <c r="E120" s="39">
        <v>21.89</v>
      </c>
      <c r="F120" s="39">
        <f t="shared" si="29"/>
        <v>825.54000000000019</v>
      </c>
      <c r="G120" s="39">
        <f t="shared" si="30"/>
        <v>3552.46</v>
      </c>
      <c r="H120" s="226">
        <f t="shared" si="31"/>
        <v>0.23238544557855689</v>
      </c>
      <c r="I120" s="39"/>
      <c r="J120" s="39">
        <v>1171</v>
      </c>
      <c r="K120" s="39">
        <f t="shared" si="32"/>
        <v>11.907299999999999</v>
      </c>
    </row>
    <row r="121" spans="1:11" x14ac:dyDescent="0.25">
      <c r="B121" s="188">
        <v>42864</v>
      </c>
      <c r="C121" s="10">
        <v>0</v>
      </c>
      <c r="D121" s="195"/>
      <c r="E121" s="39"/>
      <c r="F121" s="39"/>
      <c r="G121" s="39"/>
      <c r="H121" s="226"/>
      <c r="I121" s="39"/>
      <c r="J121" s="39">
        <v>1283.42</v>
      </c>
      <c r="K121" s="39"/>
    </row>
    <row r="122" spans="1:11" x14ac:dyDescent="0.25">
      <c r="B122" s="188"/>
      <c r="C122" s="10"/>
      <c r="D122" s="39"/>
      <c r="E122" s="39"/>
      <c r="F122" s="39"/>
      <c r="G122" s="39"/>
      <c r="H122" s="226"/>
      <c r="I122" s="39"/>
      <c r="J122" s="39"/>
      <c r="K122" s="39"/>
    </row>
    <row r="123" spans="1:11" x14ac:dyDescent="0.25">
      <c r="B123" s="188"/>
      <c r="C123" s="10"/>
      <c r="D123" s="39"/>
      <c r="E123" s="39"/>
      <c r="F123" s="39"/>
      <c r="G123" s="39"/>
      <c r="H123" s="226"/>
      <c r="I123" s="39"/>
      <c r="J123" s="39"/>
      <c r="K123" s="39"/>
    </row>
    <row r="124" spans="1:11" x14ac:dyDescent="0.25">
      <c r="B124" s="188"/>
      <c r="C124" s="10"/>
      <c r="D124" s="39"/>
      <c r="E124" s="39"/>
      <c r="F124" s="39"/>
      <c r="G124" s="39"/>
      <c r="H124" s="226"/>
      <c r="I124" s="39"/>
      <c r="J124" s="39"/>
      <c r="K124" s="39"/>
    </row>
    <row r="125" spans="1:11" x14ac:dyDescent="0.25">
      <c r="B125" s="188"/>
      <c r="C125" s="10"/>
      <c r="D125" s="39"/>
      <c r="E125" s="39"/>
      <c r="F125" s="39"/>
      <c r="G125" s="39"/>
      <c r="H125" s="226"/>
      <c r="I125" s="39"/>
      <c r="J125" s="39"/>
      <c r="K125" s="39"/>
    </row>
    <row r="126" spans="1:11" x14ac:dyDescent="0.25">
      <c r="B126" s="188"/>
      <c r="C126" s="10"/>
      <c r="D126" s="39"/>
      <c r="E126" s="39"/>
      <c r="F126" s="39"/>
      <c r="G126" s="39"/>
      <c r="H126" s="226"/>
      <c r="I126" s="39"/>
      <c r="J126" s="39"/>
      <c r="K126" s="39"/>
    </row>
    <row r="127" spans="1:11" x14ac:dyDescent="0.25">
      <c r="B127" s="188"/>
      <c r="C127" s="10"/>
      <c r="D127" s="39"/>
      <c r="E127" s="39"/>
      <c r="F127" s="39"/>
      <c r="G127" s="39"/>
      <c r="H127" s="226"/>
      <c r="I127" s="39"/>
      <c r="J127" s="39"/>
      <c r="K127" s="39"/>
    </row>
    <row r="128" spans="1:11" x14ac:dyDescent="0.25">
      <c r="B128" s="188"/>
      <c r="C128" s="10"/>
      <c r="D128" s="39"/>
      <c r="E128" s="39"/>
      <c r="F128" s="39"/>
      <c r="G128" s="39"/>
      <c r="H128" s="226"/>
      <c r="I128" s="39"/>
      <c r="J128" s="39"/>
      <c r="K128" s="39"/>
    </row>
  </sheetData>
  <mergeCells count="1">
    <mergeCell ref="O15:P15"/>
  </mergeCells>
  <conditionalFormatting sqref="O40:O6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9:H57 F49:F57 F32:F47 H32:H47">
    <cfRule type="expression" dxfId="1819" priority="73">
      <formula>F32&gt;0</formula>
    </cfRule>
    <cfRule type="expression" dxfId="1818" priority="74">
      <formula>F32&lt;0</formula>
    </cfRule>
  </conditionalFormatting>
  <conditionalFormatting sqref="Q7">
    <cfRule type="expression" dxfId="1817" priority="71">
      <formula>Q7&gt;0</formula>
    </cfRule>
    <cfRule type="expression" dxfId="1816" priority="72">
      <formula>Q7&lt;0</formula>
    </cfRule>
  </conditionalFormatting>
  <conditionalFormatting sqref="Q8">
    <cfRule type="expression" dxfId="1815" priority="69">
      <formula>Q8&gt;0</formula>
    </cfRule>
    <cfRule type="expression" dxfId="1814" priority="70">
      <formula>Q8&lt;0</formula>
    </cfRule>
  </conditionalFormatting>
  <conditionalFormatting sqref="W1:W69">
    <cfRule type="dataBar" priority="6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:X69">
    <cfRule type="iconSet" priority="63">
      <iconSet iconSet="3Arrows">
        <cfvo type="percent" val="0"/>
        <cfvo type="num" val="0"/>
        <cfvo type="num" val="0"/>
      </iconSet>
    </cfRule>
  </conditionalFormatting>
  <conditionalFormatting sqref="M58">
    <cfRule type="expression" dxfId="1813" priority="61">
      <formula>M58&gt;0</formula>
    </cfRule>
    <cfRule type="expression" dxfId="1812" priority="62">
      <formula>M58&lt;0</formula>
    </cfRule>
  </conditionalFormatting>
  <conditionalFormatting sqref="Q10">
    <cfRule type="expression" dxfId="1811" priority="59">
      <formula>Q10&gt;0</formula>
    </cfRule>
    <cfRule type="expression" dxfId="1810" priority="60">
      <formula>Q10&lt;0</formula>
    </cfRule>
  </conditionalFormatting>
  <conditionalFormatting sqref="F29:F31">
    <cfRule type="expression" dxfId="1809" priority="57">
      <formula>F29&gt;0</formula>
    </cfRule>
    <cfRule type="expression" dxfId="1808" priority="58">
      <formula>F29&lt;0</formula>
    </cfRule>
  </conditionalFormatting>
  <conditionalFormatting sqref="H29:H31">
    <cfRule type="expression" dxfId="1807" priority="55">
      <formula>H29&gt;0</formula>
    </cfRule>
    <cfRule type="expression" dxfId="1806" priority="56">
      <formula>H29&lt;0</formula>
    </cfRule>
  </conditionalFormatting>
  <conditionalFormatting sqref="F83:F94">
    <cfRule type="expression" dxfId="1805" priority="53">
      <formula>F83&gt;0</formula>
    </cfRule>
    <cfRule type="expression" dxfId="1804" priority="54">
      <formula>F83&lt;0</formula>
    </cfRule>
  </conditionalFormatting>
  <conditionalFormatting sqref="H83:H94">
    <cfRule type="expression" dxfId="1803" priority="51">
      <formula>H83&gt;0</formula>
    </cfRule>
    <cfRule type="expression" dxfId="1802" priority="52">
      <formula>H83&lt;0</formula>
    </cfRule>
  </conditionalFormatting>
  <conditionalFormatting sqref="J41">
    <cfRule type="expression" dxfId="1801" priority="49">
      <formula>J41&gt;0</formula>
    </cfRule>
    <cfRule type="expression" dxfId="1800" priority="50">
      <formula>J41&lt;0</formula>
    </cfRule>
  </conditionalFormatting>
  <conditionalFormatting sqref="J49 J39:J47">
    <cfRule type="expression" dxfId="1799" priority="47">
      <formula>J39&gt;0</formula>
    </cfRule>
    <cfRule type="expression" dxfId="1798" priority="48">
      <formula>J39&lt;0</formula>
    </cfRule>
  </conditionalFormatting>
  <conditionalFormatting sqref="F48 H48">
    <cfRule type="expression" dxfId="1797" priority="45">
      <formula>F48&gt;0</formula>
    </cfRule>
    <cfRule type="expression" dxfId="1796" priority="46">
      <formula>F48&lt;0</formula>
    </cfRule>
  </conditionalFormatting>
  <conditionalFormatting sqref="J48">
    <cfRule type="expression" dxfId="1795" priority="43">
      <formula>J48&gt;0</formula>
    </cfRule>
    <cfRule type="expression" dxfId="1794" priority="44">
      <formula>J48&lt;0</formula>
    </cfRule>
  </conditionalFormatting>
  <conditionalFormatting sqref="K45:K52">
    <cfRule type="expression" dxfId="1793" priority="41">
      <formula>K45&gt;0</formula>
    </cfRule>
    <cfRule type="expression" dxfId="1792" priority="42">
      <formula>K45&lt;0</formula>
    </cfRule>
  </conditionalFormatting>
  <conditionalFormatting sqref="K45:K52">
    <cfRule type="expression" dxfId="1791" priority="39">
      <formula>K45&gt;0</formula>
    </cfRule>
    <cfRule type="expression" dxfId="1790" priority="40">
      <formula>K45&lt;0</formula>
    </cfRule>
  </conditionalFormatting>
  <conditionalFormatting sqref="F102:F118 H102:H118 H120:H128 F120:F128">
    <cfRule type="expression" dxfId="1789" priority="35">
      <formula>F102&gt;0</formula>
    </cfRule>
    <cfRule type="expression" dxfId="1788" priority="36">
      <formula>F102&lt;0</formula>
    </cfRule>
  </conditionalFormatting>
  <conditionalFormatting sqref="F96:F101">
    <cfRule type="expression" dxfId="1787" priority="33">
      <formula>F96&gt;0</formula>
    </cfRule>
    <cfRule type="expression" dxfId="1786" priority="34">
      <formula>F96&lt;0</formula>
    </cfRule>
  </conditionalFormatting>
  <conditionalFormatting sqref="H96:H101">
    <cfRule type="expression" dxfId="1785" priority="31">
      <formula>H96&gt;0</formula>
    </cfRule>
    <cfRule type="expression" dxfId="1784" priority="32">
      <formula>H96&lt;0</formula>
    </cfRule>
  </conditionalFormatting>
  <conditionalFormatting sqref="J112">
    <cfRule type="expression" dxfId="1783" priority="29">
      <formula>J112&gt;0</formula>
    </cfRule>
    <cfRule type="expression" dxfId="1782" priority="30">
      <formula>J112&lt;0</formula>
    </cfRule>
  </conditionalFormatting>
  <conditionalFormatting sqref="J110:J118 J120">
    <cfRule type="expression" dxfId="1781" priority="27">
      <formula>J110&gt;0</formula>
    </cfRule>
    <cfRule type="expression" dxfId="1780" priority="28">
      <formula>J110&lt;0</formula>
    </cfRule>
  </conditionalFormatting>
  <conditionalFormatting sqref="F119 H119">
    <cfRule type="expression" dxfId="1779" priority="25">
      <formula>F119&gt;0</formula>
    </cfRule>
    <cfRule type="expression" dxfId="1778" priority="26">
      <formula>F119&lt;0</formula>
    </cfRule>
  </conditionalFormatting>
  <conditionalFormatting sqref="J119">
    <cfRule type="expression" dxfId="1777" priority="23">
      <formula>J119&gt;0</formula>
    </cfRule>
    <cfRule type="expression" dxfId="1776" priority="24">
      <formula>J119&lt;0</formula>
    </cfRule>
  </conditionalFormatting>
  <conditionalFormatting sqref="K112:K123">
    <cfRule type="expression" dxfId="1775" priority="21">
      <formula>K112&gt;0</formula>
    </cfRule>
    <cfRule type="expression" dxfId="1774" priority="22">
      <formula>K112&lt;0</formula>
    </cfRule>
  </conditionalFormatting>
  <conditionalFormatting sqref="K110:K123">
    <cfRule type="expression" dxfId="1773" priority="19">
      <formula>K110&gt;0</formula>
    </cfRule>
    <cfRule type="expression" dxfId="1772" priority="20">
      <formula>K110&lt;0</formula>
    </cfRule>
  </conditionalFormatting>
  <conditionalFormatting sqref="J121">
    <cfRule type="expression" dxfId="1771" priority="17">
      <formula>J121&gt;0</formula>
    </cfRule>
    <cfRule type="expression" dxfId="1770" priority="18">
      <formula>J121&lt;0</formula>
    </cfRule>
  </conditionalFormatting>
  <conditionalFormatting sqref="F25:F28">
    <cfRule type="expression" dxfId="1769" priority="15">
      <formula>F25&gt;0</formula>
    </cfRule>
    <cfRule type="expression" dxfId="1768" priority="16">
      <formula>F25&lt;0</formula>
    </cfRule>
  </conditionalFormatting>
  <conditionalFormatting sqref="H25:H28">
    <cfRule type="expression" dxfId="1767" priority="13">
      <formula>H25&gt;0</formula>
    </cfRule>
    <cfRule type="expression" dxfId="1766" priority="14">
      <formula>H25&lt;0</formula>
    </cfRule>
  </conditionalFormatting>
  <conditionalFormatting sqref="J27:J29">
    <cfRule type="expression" dxfId="1765" priority="11">
      <formula>J27&gt;0</formula>
    </cfRule>
    <cfRule type="expression" dxfId="1764" priority="12">
      <formula>J27&lt;0</formula>
    </cfRule>
  </conditionalFormatting>
  <conditionalFormatting sqref="J30:J31">
    <cfRule type="expression" dxfId="1763" priority="9">
      <formula>J30&gt;0</formula>
    </cfRule>
    <cfRule type="expression" dxfId="1762" priority="10">
      <formula>J30&lt;0</formula>
    </cfRule>
  </conditionalFormatting>
  <conditionalFormatting sqref="J33">
    <cfRule type="expression" dxfId="1761" priority="7">
      <formula>J33&gt;0</formula>
    </cfRule>
    <cfRule type="expression" dxfId="1760" priority="8">
      <formula>J33&lt;0</formula>
    </cfRule>
  </conditionalFormatting>
  <conditionalFormatting sqref="J34">
    <cfRule type="expression" dxfId="1759" priority="5">
      <formula>J34&gt;0</formula>
    </cfRule>
    <cfRule type="expression" dxfId="1758" priority="6">
      <formula>J34&lt;0</formula>
    </cfRule>
  </conditionalFormatting>
  <conditionalFormatting sqref="J35:J43">
    <cfRule type="expression" dxfId="1757" priority="3">
      <formula>J35&gt;0</formula>
    </cfRule>
    <cfRule type="expression" dxfId="1756" priority="4">
      <formula>J35&lt;0</formula>
    </cfRule>
  </conditionalFormatting>
  <conditionalFormatting sqref="O16:O3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6" t="s">
        <v>125</v>
      </c>
      <c r="AE1" s="16" t="s">
        <v>127</v>
      </c>
    </row>
    <row r="2" spans="1:31" x14ac:dyDescent="0.25">
      <c r="A2" s="6" t="s">
        <v>36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3">
        <v>4661600</v>
      </c>
      <c r="AC2" s="10">
        <v>53.35</v>
      </c>
      <c r="AD2">
        <f>Y2-Z2</f>
        <v>1.1099999999999994</v>
      </c>
      <c r="AE2" s="134">
        <f>AC2/AC3-1</f>
        <v>5.2760504993405455E-3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55.5</v>
      </c>
      <c r="T3" s="1"/>
      <c r="W3" s="130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3">
        <v>3990600</v>
      </c>
      <c r="AC3" s="10">
        <v>53.07</v>
      </c>
      <c r="AD3">
        <f>Y3-Z3</f>
        <v>1.019999999999996</v>
      </c>
      <c r="AE3" s="134">
        <f>AC3/AC4-1</f>
        <v>-1.722222222222225E-2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55.5</v>
      </c>
      <c r="R4" s="487">
        <v>-2.3E-3</v>
      </c>
      <c r="T4" s="159"/>
      <c r="U4" s="1"/>
      <c r="W4" s="130">
        <v>42828</v>
      </c>
      <c r="X4" s="10">
        <v>53.72</v>
      </c>
      <c r="Y4" s="10">
        <v>54.12</v>
      </c>
      <c r="Z4" s="10">
        <v>53.18</v>
      </c>
      <c r="AA4" s="10">
        <v>54</v>
      </c>
      <c r="AB4" s="93">
        <v>3442200</v>
      </c>
      <c r="AC4" s="10">
        <v>54</v>
      </c>
      <c r="AD4">
        <f>Y4-Z4</f>
        <v>0.93999999999999773</v>
      </c>
      <c r="AE4" s="134">
        <f>AC4/AC5-1</f>
        <v>4.4642857142858094E-3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3">
        <v>3114800</v>
      </c>
      <c r="AC5" s="10">
        <v>53.76</v>
      </c>
      <c r="AD5">
        <f t="shared" ref="AD5:AD67" si="0">Y5-Z5</f>
        <v>0.55000000000000426</v>
      </c>
      <c r="AE5" s="134">
        <f t="shared" ref="AE5:AE66" si="1">AC5/AC6-1</f>
        <v>-1.3003901170350884E-3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3">
        <v>2631300</v>
      </c>
      <c r="AC6" s="10">
        <v>53.83</v>
      </c>
      <c r="AD6">
        <f t="shared" si="0"/>
        <v>0.84000000000000341</v>
      </c>
      <c r="AE6" s="134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  <c r="W7" s="130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3">
        <v>4458400</v>
      </c>
      <c r="AC7" s="10">
        <v>53.48</v>
      </c>
      <c r="AD7">
        <f t="shared" si="0"/>
        <v>0.92000000000000171</v>
      </c>
      <c r="AE7" s="134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3">
        <v>6423200</v>
      </c>
      <c r="AC8" s="10">
        <v>54.19</v>
      </c>
      <c r="AD8">
        <f t="shared" si="0"/>
        <v>2.0799999999999983</v>
      </c>
      <c r="AE8" s="134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52</v>
      </c>
      <c r="Y9" s="10">
        <v>53</v>
      </c>
      <c r="Z9" s="10">
        <v>51.7</v>
      </c>
      <c r="AA9" s="10">
        <v>52.88</v>
      </c>
      <c r="AB9" s="93">
        <v>4241400</v>
      </c>
      <c r="AC9" s="10">
        <v>52.88</v>
      </c>
      <c r="AD9">
        <f t="shared" si="0"/>
        <v>1.2999999999999972</v>
      </c>
      <c r="AE9" s="134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M55</f>
        <v>117.73999999999978</v>
      </c>
      <c r="W10" s="130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3">
        <v>3575800</v>
      </c>
      <c r="AC10" s="10">
        <v>52.61</v>
      </c>
      <c r="AD10">
        <f t="shared" si="0"/>
        <v>0.57999999999999829</v>
      </c>
      <c r="AE10" s="134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3">
        <v>3015100</v>
      </c>
      <c r="AC11" s="10">
        <v>52.37</v>
      </c>
      <c r="AD11">
        <f t="shared" si="0"/>
        <v>0.71999999999999886</v>
      </c>
      <c r="AE11" s="134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3">
        <v>5811600</v>
      </c>
      <c r="AC12" s="10">
        <v>52.46</v>
      </c>
      <c r="AD12">
        <f t="shared" si="0"/>
        <v>1.4200000000000017</v>
      </c>
      <c r="AE12" s="134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130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3">
        <v>6360100</v>
      </c>
      <c r="AC13" s="10">
        <v>51.88</v>
      </c>
      <c r="AD13">
        <f t="shared" si="0"/>
        <v>1.8599999999999994</v>
      </c>
      <c r="AE13" s="134">
        <f t="shared" si="1"/>
        <v>-2.9373246024321786E-2</v>
      </c>
    </row>
    <row r="14" spans="1:31" x14ac:dyDescent="0.25">
      <c r="H14" s="70"/>
      <c r="W14" s="130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3">
        <v>4642500</v>
      </c>
      <c r="AC14" s="10">
        <v>53.45</v>
      </c>
      <c r="AD14">
        <f t="shared" si="0"/>
        <v>0.81000000000000227</v>
      </c>
      <c r="AE14" s="134">
        <f t="shared" si="1"/>
        <v>5.0770966528770334E-3</v>
      </c>
    </row>
    <row r="15" spans="1:31" x14ac:dyDescent="0.25">
      <c r="H15" s="70"/>
      <c r="W15" s="130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3">
        <v>6397900</v>
      </c>
      <c r="AC15" s="10">
        <v>53.18</v>
      </c>
      <c r="AD15">
        <f t="shared" si="0"/>
        <v>1.0500000000000043</v>
      </c>
      <c r="AE15" s="134">
        <f t="shared" si="1"/>
        <v>-1.7913204062788513E-2</v>
      </c>
    </row>
    <row r="16" spans="1:31" x14ac:dyDescent="0.25">
      <c r="H16" s="70"/>
      <c r="W16" s="130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3">
        <v>4914500</v>
      </c>
      <c r="AC16" s="10">
        <v>54.15</v>
      </c>
      <c r="AD16">
        <f t="shared" si="0"/>
        <v>0.83999999999999631</v>
      </c>
      <c r="AE16" s="134">
        <f t="shared" si="1"/>
        <v>-2.5787437833855176E-3</v>
      </c>
    </row>
    <row r="17" spans="1:31" x14ac:dyDescent="0.25">
      <c r="W17" s="130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3">
        <v>9401800</v>
      </c>
      <c r="AC17" s="10">
        <v>54.29</v>
      </c>
      <c r="AD17">
        <f t="shared" si="0"/>
        <v>2.7999999999999972</v>
      </c>
      <c r="AE17" s="134">
        <f t="shared" si="1"/>
        <v>2.666414523449312E-2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3">
        <v>9211700</v>
      </c>
      <c r="AC18" s="10">
        <v>52.88</v>
      </c>
      <c r="AD18">
        <f t="shared" si="0"/>
        <v>1.4200000000000017</v>
      </c>
      <c r="AE18" s="134">
        <f t="shared" si="1"/>
        <v>-2.9546705817581231E-2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3">
        <v>9417500</v>
      </c>
      <c r="AC19" s="10">
        <v>54.49</v>
      </c>
      <c r="AD19">
        <f t="shared" si="0"/>
        <v>1.7199999999999989</v>
      </c>
      <c r="AE19" s="134">
        <f t="shared" si="1"/>
        <v>-2.487473156764497E-2</v>
      </c>
    </row>
    <row r="20" spans="1:31" x14ac:dyDescent="0.25">
      <c r="W20" s="130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3">
        <v>12479300</v>
      </c>
      <c r="AC20" s="10">
        <v>55.88</v>
      </c>
      <c r="AD20">
        <f t="shared" si="0"/>
        <v>1.5800000000000054</v>
      </c>
      <c r="AE20" s="134">
        <f t="shared" si="1"/>
        <v>-8.5166784953867314E-3</v>
      </c>
    </row>
    <row r="21" spans="1:31" x14ac:dyDescent="0.25">
      <c r="W21" s="130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3">
        <v>7228200</v>
      </c>
      <c r="AC21" s="10">
        <v>56.36</v>
      </c>
      <c r="AD21">
        <f t="shared" si="0"/>
        <v>1.1000000000000014</v>
      </c>
      <c r="AE21" s="134">
        <f t="shared" si="1"/>
        <v>-5.6457304163726185E-3</v>
      </c>
    </row>
    <row r="22" spans="1:31" x14ac:dyDescent="0.25">
      <c r="W22" s="130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3">
        <v>6214700</v>
      </c>
      <c r="AC22" s="10">
        <v>56.68</v>
      </c>
      <c r="AD22">
        <f t="shared" si="0"/>
        <v>0.60000000000000142</v>
      </c>
      <c r="AE22" s="134">
        <f t="shared" si="1"/>
        <v>-2.6394509941931599E-3</v>
      </c>
    </row>
    <row r="23" spans="1:31" x14ac:dyDescent="0.25">
      <c r="W23" s="130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3">
        <v>5757300</v>
      </c>
      <c r="AC23" s="10">
        <v>56.83</v>
      </c>
      <c r="AD23">
        <f t="shared" si="0"/>
        <v>0.71999999999999886</v>
      </c>
      <c r="AE23" s="134" t="e">
        <f t="shared" si="1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 t="s">
        <v>318</v>
      </c>
      <c r="Y24" s="10"/>
      <c r="Z24" s="10"/>
      <c r="AA24" s="10"/>
      <c r="AB24" s="93"/>
      <c r="AC24" s="10"/>
      <c r="AD24">
        <f t="shared" si="0"/>
        <v>0</v>
      </c>
      <c r="AE24" s="134">
        <f t="shared" si="1"/>
        <v>-1</v>
      </c>
    </row>
    <row r="25" spans="1:31" x14ac:dyDescent="0.25">
      <c r="B25" s="188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2">D25*C25</f>
        <v>5393.2060000000001</v>
      </c>
      <c r="H25" s="226">
        <f t="shared" ref="H25:H43" si="3">(E25-D25)/D25</f>
        <v>-3.1225582705351872E-2</v>
      </c>
      <c r="I25" s="39"/>
      <c r="W25" s="130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3">
        <v>5899500</v>
      </c>
      <c r="AC25" s="10">
        <v>57.46</v>
      </c>
      <c r="AD25">
        <f t="shared" si="0"/>
        <v>1.4400000000000048</v>
      </c>
      <c r="AE25" s="134">
        <f t="shared" si="1"/>
        <v>-2.2123893805309658E-2</v>
      </c>
    </row>
    <row r="26" spans="1:31" x14ac:dyDescent="0.25">
      <c r="B26" s="188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2"/>
        <v>5393.2060000000001</v>
      </c>
      <c r="H26" s="226">
        <f t="shared" si="3"/>
        <v>-1.7986704012418631E-2</v>
      </c>
      <c r="I26" s="39"/>
      <c r="W26" s="130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3">
        <v>5136900</v>
      </c>
      <c r="AC26" s="10">
        <v>58.76</v>
      </c>
      <c r="AD26">
        <f t="shared" si="0"/>
        <v>1.3999999999999986</v>
      </c>
      <c r="AE26" s="134">
        <f t="shared" si="1"/>
        <v>2.2446493822864122E-2</v>
      </c>
    </row>
    <row r="27" spans="1:31" x14ac:dyDescent="0.25">
      <c r="B27" s="188">
        <v>42576</v>
      </c>
      <c r="C27" s="10">
        <v>170</v>
      </c>
      <c r="D27" s="39">
        <v>38.2806</v>
      </c>
      <c r="E27" s="39">
        <v>37.36</v>
      </c>
      <c r="F27" s="39">
        <f t="shared" ref="F27:F32" si="4">C27*(E27-D27)</f>
        <v>-156.50200000000007</v>
      </c>
      <c r="G27" s="39">
        <f t="shared" si="2"/>
        <v>6507.7020000000002</v>
      </c>
      <c r="H27" s="226">
        <f t="shared" si="3"/>
        <v>-2.4048734868314506E-2</v>
      </c>
      <c r="I27" s="39"/>
      <c r="W27" s="130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3">
        <v>4658700</v>
      </c>
      <c r="AC27" s="10">
        <v>57.47</v>
      </c>
      <c r="AD27">
        <f t="shared" si="0"/>
        <v>1.1999999999999957</v>
      </c>
      <c r="AE27" s="134">
        <f t="shared" si="1"/>
        <v>-2.2286492004083058E-2</v>
      </c>
    </row>
    <row r="28" spans="1:31" x14ac:dyDescent="0.25">
      <c r="B28" s="188">
        <v>42577</v>
      </c>
      <c r="C28" s="10">
        <v>170</v>
      </c>
      <c r="D28" s="39">
        <v>38.2806</v>
      </c>
      <c r="E28" s="39">
        <v>38.28</v>
      </c>
      <c r="F28" s="39">
        <f t="shared" si="4"/>
        <v>-0.10199999999976228</v>
      </c>
      <c r="G28" s="39">
        <f t="shared" si="2"/>
        <v>6507.7020000000002</v>
      </c>
      <c r="H28" s="226">
        <f t="shared" si="3"/>
        <v>-1.5673735521350285E-5</v>
      </c>
      <c r="I28" s="39"/>
      <c r="W28" s="130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3">
        <v>5382900</v>
      </c>
      <c r="AC28" s="10">
        <v>58.78</v>
      </c>
      <c r="AD28">
        <f t="shared" si="0"/>
        <v>1.25</v>
      </c>
      <c r="AE28" s="134">
        <f t="shared" si="1"/>
        <v>1.8717504332755652E-2</v>
      </c>
    </row>
    <row r="29" spans="1:31" x14ac:dyDescent="0.25">
      <c r="B29" s="188">
        <v>42580</v>
      </c>
      <c r="C29" s="10">
        <v>170</v>
      </c>
      <c r="D29" s="39">
        <v>38.2806</v>
      </c>
      <c r="E29" s="39">
        <v>37.01</v>
      </c>
      <c r="F29" s="39">
        <f t="shared" si="4"/>
        <v>-216.00200000000029</v>
      </c>
      <c r="G29" s="39">
        <f t="shared" si="2"/>
        <v>6507.7020000000002</v>
      </c>
      <c r="H29" s="226">
        <f t="shared" si="3"/>
        <v>-3.3191747255790181E-2</v>
      </c>
      <c r="I29" s="39"/>
      <c r="W29" s="130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3">
        <v>5733900</v>
      </c>
      <c r="AC29" s="10">
        <v>57.7</v>
      </c>
      <c r="AD29">
        <f t="shared" si="0"/>
        <v>0.86999999999999744</v>
      </c>
      <c r="AE29" s="134">
        <f t="shared" si="1"/>
        <v>-1.0800617178124416E-2</v>
      </c>
    </row>
    <row r="30" spans="1:31" x14ac:dyDescent="0.25">
      <c r="B30" s="188">
        <v>42585</v>
      </c>
      <c r="C30" s="10">
        <v>170</v>
      </c>
      <c r="D30" s="39">
        <v>38.2806</v>
      </c>
      <c r="E30" s="39">
        <v>35.54</v>
      </c>
      <c r="F30" s="39">
        <f t="shared" si="4"/>
        <v>-465.9020000000001</v>
      </c>
      <c r="G30" s="39">
        <f t="shared" si="2"/>
        <v>6507.7020000000002</v>
      </c>
      <c r="H30" s="226">
        <f t="shared" si="3"/>
        <v>-7.1592399283187849E-2</v>
      </c>
      <c r="I30" s="39"/>
      <c r="W30" s="130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3">
        <v>6309000</v>
      </c>
      <c r="AC30" s="10">
        <v>58.33</v>
      </c>
      <c r="AD30">
        <f t="shared" si="0"/>
        <v>0.90999999999999659</v>
      </c>
      <c r="AE30" s="134">
        <f t="shared" si="1"/>
        <v>-1.8822724161533522E-3</v>
      </c>
    </row>
    <row r="31" spans="1:31" x14ac:dyDescent="0.25">
      <c r="B31" s="188">
        <v>42593</v>
      </c>
      <c r="C31" s="10">
        <v>170</v>
      </c>
      <c r="D31" s="39">
        <v>38.2806</v>
      </c>
      <c r="E31" s="39">
        <v>36.99</v>
      </c>
      <c r="F31" s="39">
        <f t="shared" si="4"/>
        <v>-219.40199999999962</v>
      </c>
      <c r="G31" s="39">
        <f t="shared" si="2"/>
        <v>6507.7020000000002</v>
      </c>
      <c r="H31" s="226">
        <f t="shared" si="3"/>
        <v>-3.3714205106502977E-2</v>
      </c>
      <c r="I31" s="39"/>
      <c r="W31" s="130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3">
        <v>5513400</v>
      </c>
      <c r="AC31" s="10">
        <v>58.44</v>
      </c>
      <c r="AD31">
        <f t="shared" si="0"/>
        <v>2.1900000000000048</v>
      </c>
      <c r="AE31" s="134">
        <f t="shared" si="1"/>
        <v>2.2393282015395366E-2</v>
      </c>
    </row>
    <row r="32" spans="1:31" x14ac:dyDescent="0.25">
      <c r="B32" s="188">
        <v>42598</v>
      </c>
      <c r="C32" s="476">
        <v>200</v>
      </c>
      <c r="D32" s="479">
        <v>38.025500000000001</v>
      </c>
      <c r="E32" s="39">
        <v>36.520000000000003</v>
      </c>
      <c r="F32" s="39">
        <f t="shared" si="4"/>
        <v>-301.09999999999957</v>
      </c>
      <c r="G32" s="39">
        <f t="shared" si="2"/>
        <v>7605.1</v>
      </c>
      <c r="H32" s="226">
        <f t="shared" si="3"/>
        <v>-3.9591852835597109E-2</v>
      </c>
      <c r="I32" s="39"/>
      <c r="W32" s="130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3">
        <v>4664700</v>
      </c>
      <c r="AC32" s="10">
        <v>57.16</v>
      </c>
      <c r="AD32">
        <f t="shared" si="0"/>
        <v>1.4299999999999997</v>
      </c>
      <c r="AE32" s="134">
        <f t="shared" si="1"/>
        <v>-1.1243729458571328E-2</v>
      </c>
    </row>
    <row r="33" spans="2:31" x14ac:dyDescent="0.25">
      <c r="B33" s="188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5">C33*(E33-D33)</f>
        <v>-235.09999999999991</v>
      </c>
      <c r="G33" s="39">
        <f t="shared" si="2"/>
        <v>7605.1</v>
      </c>
      <c r="H33" s="226">
        <f t="shared" si="3"/>
        <v>-3.0913465963629656E-2</v>
      </c>
      <c r="I33" s="231"/>
      <c r="W33" s="130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3">
        <v>4782100</v>
      </c>
      <c r="AC33" s="10">
        <v>57.81</v>
      </c>
      <c r="AD33">
        <f t="shared" si="0"/>
        <v>0.85999999999999943</v>
      </c>
      <c r="AE33" s="134">
        <f t="shared" si="1"/>
        <v>8.6565096952906373E-4</v>
      </c>
    </row>
    <row r="34" spans="2:31" x14ac:dyDescent="0.25">
      <c r="B34" s="188">
        <v>42601</v>
      </c>
      <c r="C34" s="10">
        <v>200</v>
      </c>
      <c r="D34" s="39">
        <v>38.025500000000001</v>
      </c>
      <c r="E34" s="39">
        <v>36.35</v>
      </c>
      <c r="F34" s="39">
        <f t="shared" si="5"/>
        <v>-335.09999999999991</v>
      </c>
      <c r="G34" s="39">
        <f t="shared" si="2"/>
        <v>7605.1</v>
      </c>
      <c r="H34" s="226">
        <f t="shared" si="3"/>
        <v>-4.4062536981762226E-2</v>
      </c>
      <c r="I34" s="39"/>
      <c r="W34" s="130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3">
        <v>4290600</v>
      </c>
      <c r="AC34" s="10">
        <v>57.76</v>
      </c>
      <c r="AD34">
        <f t="shared" si="0"/>
        <v>0.91000000000000369</v>
      </c>
      <c r="AE34" s="134">
        <f t="shared" si="1"/>
        <v>9.4372596994058977E-3</v>
      </c>
    </row>
    <row r="35" spans="2:31" x14ac:dyDescent="0.25">
      <c r="B35" s="188">
        <v>42605</v>
      </c>
      <c r="C35" s="10">
        <v>200</v>
      </c>
      <c r="D35" s="39">
        <v>38.025500000000001</v>
      </c>
      <c r="E35" s="39">
        <v>36.69</v>
      </c>
      <c r="F35" s="39">
        <f t="shared" si="5"/>
        <v>-267.10000000000065</v>
      </c>
      <c r="G35" s="39">
        <f t="shared" si="2"/>
        <v>7605.1</v>
      </c>
      <c r="H35" s="226">
        <f t="shared" si="3"/>
        <v>-3.5121168689432179E-2</v>
      </c>
      <c r="I35" s="39"/>
      <c r="W35" s="130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3">
        <v>6077200</v>
      </c>
      <c r="AC35" s="10">
        <v>57.22</v>
      </c>
      <c r="AD35">
        <f t="shared" si="0"/>
        <v>1.7700000000000031</v>
      </c>
      <c r="AE35" s="134">
        <f t="shared" si="1"/>
        <v>1.7425320056899007E-2</v>
      </c>
    </row>
    <row r="36" spans="2:31" x14ac:dyDescent="0.25">
      <c r="B36" s="188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5"/>
        <v>-315.09999999999962</v>
      </c>
      <c r="G36" s="39">
        <f t="shared" si="2"/>
        <v>7605.1</v>
      </c>
      <c r="H36" s="226">
        <f t="shared" si="3"/>
        <v>-4.1432722778135672E-2</v>
      </c>
      <c r="I36" s="39"/>
      <c r="W36" s="130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3">
        <v>5617900</v>
      </c>
      <c r="AC36" s="10">
        <v>56.24</v>
      </c>
      <c r="AD36">
        <f t="shared" si="0"/>
        <v>1.3399999999999963</v>
      </c>
      <c r="AE36" s="134">
        <f t="shared" si="1"/>
        <v>-1.661129568106301E-2</v>
      </c>
    </row>
    <row r="37" spans="2:31" x14ac:dyDescent="0.25">
      <c r="B37" s="188">
        <v>42612</v>
      </c>
      <c r="C37" s="10">
        <v>200</v>
      </c>
      <c r="D37" s="39">
        <v>38.025500000000001</v>
      </c>
      <c r="E37" s="39">
        <v>37.18</v>
      </c>
      <c r="F37" s="39">
        <f t="shared" si="5"/>
        <v>-169.10000000000025</v>
      </c>
      <c r="G37" s="39">
        <f t="shared" si="2"/>
        <v>7605.1</v>
      </c>
      <c r="H37" s="226">
        <f t="shared" si="3"/>
        <v>-2.2235079091662207E-2</v>
      </c>
      <c r="I37" s="39"/>
      <c r="W37" s="130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3">
        <v>9908500</v>
      </c>
      <c r="AC37" s="10">
        <v>57.19</v>
      </c>
      <c r="AD37">
        <f t="shared" si="0"/>
        <v>2.2600000000000051</v>
      </c>
      <c r="AE37" s="134">
        <f t="shared" si="1"/>
        <v>3.5863068284730959E-2</v>
      </c>
    </row>
    <row r="38" spans="2:31" x14ac:dyDescent="0.25">
      <c r="B38" s="188">
        <v>42615</v>
      </c>
      <c r="C38" s="10">
        <v>200</v>
      </c>
      <c r="D38" s="39">
        <v>38.025500000000001</v>
      </c>
      <c r="E38" s="39">
        <v>36.89</v>
      </c>
      <c r="F38" s="39">
        <f t="shared" si="5"/>
        <v>-227.10000000000008</v>
      </c>
      <c r="G38" s="39">
        <f t="shared" si="2"/>
        <v>7605.1</v>
      </c>
      <c r="H38" s="226">
        <f t="shared" si="3"/>
        <v>-2.9861540282179074E-2</v>
      </c>
      <c r="I38" s="39"/>
      <c r="W38" s="130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3">
        <v>4945100</v>
      </c>
      <c r="AC38" s="10">
        <v>55.21</v>
      </c>
      <c r="AD38">
        <f t="shared" si="0"/>
        <v>0.82000000000000028</v>
      </c>
      <c r="AE38" s="134">
        <f t="shared" si="1"/>
        <v>-7.5498831565702362E-3</v>
      </c>
    </row>
    <row r="39" spans="2:31" x14ac:dyDescent="0.25">
      <c r="B39" s="188">
        <v>42620</v>
      </c>
      <c r="C39" s="10">
        <v>100</v>
      </c>
      <c r="D39" s="39">
        <v>37.571800000000003</v>
      </c>
      <c r="E39" s="39">
        <v>38.68</v>
      </c>
      <c r="F39" s="39">
        <f t="shared" si="5"/>
        <v>110.81999999999965</v>
      </c>
      <c r="G39" s="39">
        <f t="shared" si="2"/>
        <v>3757.1800000000003</v>
      </c>
      <c r="H39" s="226">
        <f t="shared" si="3"/>
        <v>2.9495525899743861E-2</v>
      </c>
      <c r="I39" s="39"/>
      <c r="W39" s="130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3">
        <v>5412800</v>
      </c>
      <c r="AC39" s="10">
        <v>55.63</v>
      </c>
      <c r="AD39">
        <f t="shared" si="0"/>
        <v>1.4699999999999989</v>
      </c>
      <c r="AE39" s="134">
        <f t="shared" si="1"/>
        <v>1.8677897820911893E-2</v>
      </c>
    </row>
    <row r="40" spans="2:31" ht="20.25" thickBot="1" x14ac:dyDescent="0.35">
      <c r="B40" s="188">
        <v>42621</v>
      </c>
      <c r="C40" s="10">
        <v>100</v>
      </c>
      <c r="D40" s="39">
        <v>37.3718</v>
      </c>
      <c r="E40" s="39">
        <v>38.76</v>
      </c>
      <c r="F40" s="39">
        <f t="shared" si="5"/>
        <v>138.81999999999977</v>
      </c>
      <c r="G40" s="39">
        <f t="shared" si="2"/>
        <v>3737.18</v>
      </c>
      <c r="H40" s="226">
        <f t="shared" si="3"/>
        <v>3.7145655280184459E-2</v>
      </c>
      <c r="I40" s="39"/>
      <c r="O40" s="804" t="s">
        <v>78</v>
      </c>
      <c r="P40" s="804"/>
      <c r="W40" s="130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3">
        <v>3194400</v>
      </c>
      <c r="AC40" s="10">
        <v>54.61</v>
      </c>
      <c r="AD40">
        <f t="shared" si="0"/>
        <v>0.5</v>
      </c>
      <c r="AE40" s="134">
        <f t="shared" si="1"/>
        <v>3.3069998162778003E-3</v>
      </c>
    </row>
    <row r="41" spans="2:31" ht="15.75" thickTop="1" x14ac:dyDescent="0.25">
      <c r="B41" s="188">
        <v>42622</v>
      </c>
      <c r="C41" s="10">
        <v>100</v>
      </c>
      <c r="D41" s="39">
        <v>37.3718</v>
      </c>
      <c r="E41" s="39">
        <v>37.340000000000003</v>
      </c>
      <c r="F41" s="39">
        <f t="shared" si="5"/>
        <v>-3.1799999999996942</v>
      </c>
      <c r="G41" s="39">
        <f t="shared" si="2"/>
        <v>3737.18</v>
      </c>
      <c r="H41" s="226">
        <f t="shared" si="3"/>
        <v>-8.5090897414619962E-4</v>
      </c>
      <c r="I41" s="39"/>
      <c r="O41" s="81">
        <v>1.1000000000000001</v>
      </c>
      <c r="P41" s="81">
        <f>O41*$Q$4</f>
        <v>61.050000000000004</v>
      </c>
      <c r="Q41" s="2"/>
      <c r="W41" s="130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3">
        <v>7692200</v>
      </c>
      <c r="AC41" s="10">
        <v>54.43</v>
      </c>
      <c r="AD41">
        <f t="shared" si="0"/>
        <v>1.7700000000000031</v>
      </c>
      <c r="AE41" s="134">
        <f t="shared" si="1"/>
        <v>3.028582244936584E-2</v>
      </c>
    </row>
    <row r="42" spans="2:31" ht="20.25" thickBot="1" x14ac:dyDescent="0.35">
      <c r="B42" s="188">
        <v>42625</v>
      </c>
      <c r="C42" s="10">
        <v>100</v>
      </c>
      <c r="D42" s="39">
        <v>37.3718</v>
      </c>
      <c r="E42" s="39">
        <v>37.82</v>
      </c>
      <c r="F42" s="39">
        <f t="shared" si="5"/>
        <v>44.819999999999993</v>
      </c>
      <c r="G42" s="39">
        <f t="shared" si="2"/>
        <v>3737.18</v>
      </c>
      <c r="H42" s="226">
        <f t="shared" si="3"/>
        <v>1.1993000069571172E-2</v>
      </c>
      <c r="I42" s="39"/>
      <c r="O42" s="81">
        <v>1.0900000000000001</v>
      </c>
      <c r="P42" s="81">
        <f t="shared" ref="P42:P61" si="6">O42*$Q$4</f>
        <v>60.495000000000005</v>
      </c>
      <c r="Q42" s="2"/>
      <c r="T42" s="89" t="s">
        <v>112</v>
      </c>
      <c r="W42" s="130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3">
        <v>4076800</v>
      </c>
      <c r="AC42" s="10">
        <v>52.83</v>
      </c>
      <c r="AD42">
        <f t="shared" si="0"/>
        <v>1.1300000000000026</v>
      </c>
      <c r="AE42" s="134">
        <f t="shared" si="1"/>
        <v>-2.2662889518414442E-3</v>
      </c>
    </row>
    <row r="43" spans="2:31" ht="15.75" thickTop="1" x14ac:dyDescent="0.25">
      <c r="B43" s="188">
        <v>42635</v>
      </c>
      <c r="C43" s="10">
        <v>100</v>
      </c>
      <c r="D43" s="39">
        <v>37.3718</v>
      </c>
      <c r="E43" s="39">
        <v>37.33</v>
      </c>
      <c r="F43" s="39">
        <f t="shared" si="5"/>
        <v>-4.1800000000002058</v>
      </c>
      <c r="G43" s="39">
        <f t="shared" si="2"/>
        <v>3737.18</v>
      </c>
      <c r="H43" s="226">
        <f t="shared" si="3"/>
        <v>-1.1184904125571167E-3</v>
      </c>
      <c r="I43" s="39"/>
      <c r="O43" s="81">
        <v>1.08</v>
      </c>
      <c r="P43" s="81">
        <f t="shared" si="6"/>
        <v>59.940000000000005</v>
      </c>
      <c r="Q43" s="2"/>
      <c r="T43" s="125" t="s">
        <v>97</v>
      </c>
      <c r="U43" s="126">
        <v>53.07</v>
      </c>
      <c r="W43" s="130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3">
        <v>5231000</v>
      </c>
      <c r="AC43" s="10">
        <v>52.95</v>
      </c>
      <c r="AD43">
        <f t="shared" si="0"/>
        <v>0.97000000000000597</v>
      </c>
      <c r="AE43" s="134">
        <f t="shared" si="1"/>
        <v>-5.6625141562838266E-4</v>
      </c>
    </row>
    <row r="44" spans="2:31" x14ac:dyDescent="0.25">
      <c r="B44" s="188">
        <v>42640</v>
      </c>
      <c r="C44" s="10">
        <v>0</v>
      </c>
      <c r="D44" s="39"/>
      <c r="E44" s="39"/>
      <c r="F44" s="39">
        <v>117.74</v>
      </c>
      <c r="G44" s="39"/>
      <c r="H44" s="226"/>
      <c r="I44" s="39"/>
      <c r="O44" s="81">
        <v>1.07</v>
      </c>
      <c r="P44" s="81">
        <f t="shared" si="6"/>
        <v>59.385000000000005</v>
      </c>
      <c r="Q44" s="2"/>
      <c r="T44" s="91" t="s">
        <v>98</v>
      </c>
      <c r="U44" s="127">
        <v>53.49</v>
      </c>
      <c r="W44" s="130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3">
        <v>3335000</v>
      </c>
      <c r="AC44" s="10">
        <v>52.98</v>
      </c>
      <c r="AD44">
        <f t="shared" si="0"/>
        <v>0.48000000000000398</v>
      </c>
      <c r="AE44" s="134">
        <f t="shared" si="1"/>
        <v>3.5991665088084268E-3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6"/>
        <v>58.830000000000005</v>
      </c>
      <c r="Q45" s="2"/>
      <c r="T45" s="91" t="s">
        <v>99</v>
      </c>
      <c r="U45" s="127" t="s">
        <v>128</v>
      </c>
      <c r="W45" s="130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3">
        <v>3631600</v>
      </c>
      <c r="AC45" s="10">
        <v>52.79</v>
      </c>
      <c r="AD45">
        <f t="shared" si="0"/>
        <v>0.97999999999999687</v>
      </c>
      <c r="AE45" s="134">
        <f t="shared" si="1"/>
        <v>3.7900322152739641E-4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6"/>
        <v>58.275000000000006</v>
      </c>
      <c r="Q46" s="2"/>
      <c r="T46" s="91" t="s">
        <v>100</v>
      </c>
      <c r="U46" s="127" t="s">
        <v>128</v>
      </c>
      <c r="W46" s="130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3">
        <v>4563700</v>
      </c>
      <c r="AC46" s="10">
        <v>52.77</v>
      </c>
      <c r="AD46">
        <f t="shared" si="0"/>
        <v>1.1300000000000026</v>
      </c>
      <c r="AE46" s="134">
        <f t="shared" si="1"/>
        <v>2.469604863222008E-3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6"/>
        <v>57.72</v>
      </c>
      <c r="Q47" s="2"/>
      <c r="T47" s="91" t="s">
        <v>101</v>
      </c>
      <c r="U47" s="127">
        <v>62.8</v>
      </c>
      <c r="W47" s="130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3">
        <v>4953400</v>
      </c>
      <c r="AC47" s="10">
        <v>52.64</v>
      </c>
      <c r="AD47">
        <f t="shared" si="0"/>
        <v>0.8300000000000054</v>
      </c>
      <c r="AE47" s="134">
        <f t="shared" si="1"/>
        <v>8.0428954423592547E-3</v>
      </c>
    </row>
    <row r="48" spans="2:31" x14ac:dyDescent="0.25">
      <c r="O48" s="81">
        <v>1.03</v>
      </c>
      <c r="P48" s="81">
        <f t="shared" si="6"/>
        <v>57.164999999999999</v>
      </c>
      <c r="Q48" s="2"/>
      <c r="T48" s="91" t="s">
        <v>102</v>
      </c>
      <c r="U48" s="127">
        <v>1.1985399999999999</v>
      </c>
      <c r="W48" s="130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3">
        <v>6604000</v>
      </c>
      <c r="AC48" s="10">
        <v>52.22</v>
      </c>
      <c r="AD48">
        <f t="shared" si="0"/>
        <v>0.89000000000000057</v>
      </c>
      <c r="AE48" s="134">
        <f t="shared" si="1"/>
        <v>-7.6540375047839948E-4</v>
      </c>
    </row>
    <row r="49" spans="1:31" x14ac:dyDescent="0.25">
      <c r="O49" s="81">
        <v>1.02</v>
      </c>
      <c r="P49" s="81">
        <f t="shared" si="6"/>
        <v>56.61</v>
      </c>
      <c r="Q49" s="2"/>
      <c r="T49" s="91" t="s">
        <v>103</v>
      </c>
      <c r="U49" s="127" t="s">
        <v>381</v>
      </c>
      <c r="W49" s="130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3">
        <v>8057600</v>
      </c>
      <c r="AC49" s="10">
        <v>52.26</v>
      </c>
      <c r="AD49">
        <f t="shared" si="0"/>
        <v>1.2299999999999969</v>
      </c>
      <c r="AE49" s="134">
        <f t="shared" si="1"/>
        <v>-6.6527276183235839E-3</v>
      </c>
    </row>
    <row r="50" spans="1:31" x14ac:dyDescent="0.25">
      <c r="O50" s="81">
        <v>1.01</v>
      </c>
      <c r="P50" s="81">
        <f t="shared" si="6"/>
        <v>56.055</v>
      </c>
      <c r="Q50" s="2"/>
      <c r="T50" s="91"/>
      <c r="U50" s="127"/>
      <c r="W50" s="130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3">
        <v>7687000</v>
      </c>
      <c r="AC50" s="10">
        <v>52.61</v>
      </c>
      <c r="AD50">
        <f t="shared" si="0"/>
        <v>1.7999999999999972</v>
      </c>
      <c r="AE50" s="134">
        <f t="shared" si="1"/>
        <v>-2.2663942039754748E-2</v>
      </c>
    </row>
    <row r="51" spans="1:31" x14ac:dyDescent="0.25">
      <c r="O51" s="81">
        <v>1</v>
      </c>
      <c r="P51" s="81">
        <f t="shared" si="6"/>
        <v>55.5</v>
      </c>
      <c r="Q51" s="2"/>
      <c r="T51" s="91" t="s">
        <v>104</v>
      </c>
      <c r="U51" s="127" t="s">
        <v>608</v>
      </c>
      <c r="W51" s="130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3">
        <v>15952600</v>
      </c>
      <c r="AC51" s="10">
        <v>53.83</v>
      </c>
      <c r="AD51">
        <f t="shared" si="0"/>
        <v>2.8500000000000014</v>
      </c>
      <c r="AE51" s="134">
        <f t="shared" si="1"/>
        <v>9.0338262102491518E-2</v>
      </c>
    </row>
    <row r="52" spans="1:31" x14ac:dyDescent="0.25">
      <c r="O52" s="81">
        <v>0.99</v>
      </c>
      <c r="P52" s="81">
        <f t="shared" si="6"/>
        <v>54.945</v>
      </c>
      <c r="Q52" s="2"/>
      <c r="T52" s="91" t="s">
        <v>105</v>
      </c>
      <c r="U52" s="127" t="s">
        <v>485</v>
      </c>
      <c r="W52" s="130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3">
        <v>8380800</v>
      </c>
      <c r="AC52" s="10">
        <v>49.37</v>
      </c>
      <c r="AD52">
        <f t="shared" si="0"/>
        <v>1.240000000000002</v>
      </c>
      <c r="AE52" s="134">
        <f t="shared" si="1"/>
        <v>-3.8337368845844377E-3</v>
      </c>
    </row>
    <row r="53" spans="1:31" x14ac:dyDescent="0.25">
      <c r="O53" s="81">
        <v>0.98</v>
      </c>
      <c r="P53" s="81">
        <f t="shared" si="6"/>
        <v>54.39</v>
      </c>
      <c r="Q53" s="2"/>
      <c r="T53" s="91" t="s">
        <v>106</v>
      </c>
      <c r="U53" s="128">
        <v>4822565</v>
      </c>
      <c r="W53" s="130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3">
        <v>6152400</v>
      </c>
      <c r="AC53" s="10">
        <v>49.56</v>
      </c>
      <c r="AD53">
        <f t="shared" si="0"/>
        <v>0.66000000000000369</v>
      </c>
      <c r="AE53" s="134">
        <f t="shared" si="1"/>
        <v>-5.8174523570712067E-3</v>
      </c>
    </row>
    <row r="54" spans="1:31" x14ac:dyDescent="0.25">
      <c r="O54" s="81">
        <v>0.97</v>
      </c>
      <c r="P54" s="81">
        <f t="shared" si="6"/>
        <v>53.835000000000001</v>
      </c>
      <c r="T54" s="91" t="s">
        <v>109</v>
      </c>
      <c r="U54" s="128">
        <v>5759600</v>
      </c>
      <c r="W54" s="130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3">
        <v>4222200</v>
      </c>
      <c r="AC54" s="10">
        <v>49.85</v>
      </c>
      <c r="AD54">
        <f t="shared" si="0"/>
        <v>1.3699999999999974</v>
      </c>
      <c r="AE54" s="134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6"/>
        <v>53.28</v>
      </c>
      <c r="T55" s="91" t="s">
        <v>107</v>
      </c>
      <c r="U55" s="127" t="s">
        <v>609</v>
      </c>
      <c r="W55" s="130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3">
        <v>5196500</v>
      </c>
      <c r="AC55" s="10">
        <v>51</v>
      </c>
      <c r="AD55">
        <f t="shared" si="0"/>
        <v>1.0300000000000011</v>
      </c>
      <c r="AE55" s="134">
        <f t="shared" si="1"/>
        <v>2.0408163265306145E-2</v>
      </c>
    </row>
    <row r="56" spans="1:31" x14ac:dyDescent="0.25">
      <c r="A56" s="377" t="s">
        <v>1</v>
      </c>
      <c r="B56" s="377" t="s">
        <v>2</v>
      </c>
      <c r="C56" s="377" t="s">
        <v>4</v>
      </c>
      <c r="D56" s="379" t="s">
        <v>5</v>
      </c>
      <c r="E56" s="379" t="s">
        <v>94</v>
      </c>
      <c r="F56" s="379" t="s">
        <v>60</v>
      </c>
      <c r="G56" s="377" t="s">
        <v>3</v>
      </c>
      <c r="H56" s="377" t="s">
        <v>6</v>
      </c>
      <c r="I56" s="379" t="s">
        <v>7</v>
      </c>
      <c r="J56" s="379" t="s">
        <v>95</v>
      </c>
      <c r="K56" s="379" t="s">
        <v>61</v>
      </c>
      <c r="L56" s="377" t="s">
        <v>37</v>
      </c>
      <c r="M56" s="377" t="s">
        <v>38</v>
      </c>
      <c r="O56" s="81">
        <v>0.95</v>
      </c>
      <c r="P56" s="81">
        <f t="shared" si="6"/>
        <v>52.724999999999994</v>
      </c>
      <c r="T56" s="91" t="s">
        <v>110</v>
      </c>
      <c r="U56" s="127">
        <v>15.04</v>
      </c>
      <c r="W56" s="130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3">
        <v>4237900</v>
      </c>
      <c r="AC56" s="10">
        <v>49.98</v>
      </c>
      <c r="AD56">
        <f t="shared" si="0"/>
        <v>0.89999999999999858</v>
      </c>
      <c r="AE56" s="134">
        <f t="shared" si="1"/>
        <v>-6.1642473652814278E-3</v>
      </c>
    </row>
    <row r="57" spans="1:31" x14ac:dyDescent="0.25">
      <c r="A57" s="380" t="s">
        <v>36</v>
      </c>
      <c r="B57" s="370">
        <v>42572</v>
      </c>
      <c r="C57" s="371">
        <v>60</v>
      </c>
      <c r="D57" s="372">
        <v>39.58</v>
      </c>
      <c r="E57" s="372">
        <v>0</v>
      </c>
      <c r="F57" s="372">
        <f>C57*D57+E57</f>
        <v>2374.7999999999997</v>
      </c>
      <c r="G57" s="370">
        <v>42620</v>
      </c>
      <c r="H57" s="375">
        <v>100</v>
      </c>
      <c r="I57" s="372">
        <v>38.479999999999997</v>
      </c>
      <c r="J57" s="372">
        <v>0.08</v>
      </c>
      <c r="K57" s="372">
        <f>I57*H57-J57</f>
        <v>3847.9199999999996</v>
      </c>
      <c r="L57" s="370">
        <v>42621</v>
      </c>
      <c r="M57" s="372">
        <v>20</v>
      </c>
      <c r="O57" s="81">
        <v>0.94</v>
      </c>
      <c r="P57" s="81">
        <f t="shared" si="6"/>
        <v>52.169999999999995</v>
      </c>
      <c r="T57" s="91" t="s">
        <v>111</v>
      </c>
      <c r="U57" s="127">
        <v>3.55</v>
      </c>
      <c r="W57" s="130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3">
        <v>5897000</v>
      </c>
      <c r="AC57" s="10">
        <v>50.29</v>
      </c>
      <c r="AD57">
        <f t="shared" si="0"/>
        <v>0.95999999999999375</v>
      </c>
      <c r="AE57" s="134">
        <f t="shared" si="1"/>
        <v>2.7916251246260515E-3</v>
      </c>
    </row>
    <row r="58" spans="1:31" x14ac:dyDescent="0.25">
      <c r="A58" s="381" t="s">
        <v>71</v>
      </c>
      <c r="B58" s="370">
        <v>42572</v>
      </c>
      <c r="C58" s="371">
        <v>40</v>
      </c>
      <c r="D58" s="372">
        <v>37.880000000000003</v>
      </c>
      <c r="E58" s="372">
        <v>0</v>
      </c>
      <c r="F58" s="372">
        <f>C58*D58+E58</f>
        <v>1515.2</v>
      </c>
      <c r="G58" s="370">
        <v>42640</v>
      </c>
      <c r="H58" s="375">
        <v>100</v>
      </c>
      <c r="I58" s="372">
        <v>38.549999999999997</v>
      </c>
      <c r="J58" s="372">
        <v>0.08</v>
      </c>
      <c r="K58" s="372">
        <f>I58*H58-J58</f>
        <v>3854.9199999999996</v>
      </c>
      <c r="L58" s="371"/>
      <c r="M58" s="371"/>
      <c r="O58" s="81">
        <v>0.93</v>
      </c>
      <c r="P58" s="81">
        <f t="shared" si="6"/>
        <v>51.615000000000002</v>
      </c>
      <c r="T58" s="91" t="s">
        <v>108</v>
      </c>
      <c r="U58" s="127" t="s">
        <v>552</v>
      </c>
      <c r="W58" s="130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3">
        <v>4219700</v>
      </c>
      <c r="AC58" s="10">
        <v>50.15</v>
      </c>
      <c r="AD58">
        <f t="shared" si="0"/>
        <v>1.1200000000000045</v>
      </c>
      <c r="AE58" s="134">
        <f t="shared" si="1"/>
        <v>-1.7822169996083104E-2</v>
      </c>
    </row>
    <row r="59" spans="1:31" x14ac:dyDescent="0.25">
      <c r="A59" s="371"/>
      <c r="B59" s="370">
        <v>42572</v>
      </c>
      <c r="C59" s="371">
        <v>40</v>
      </c>
      <c r="D59" s="372">
        <v>37.58</v>
      </c>
      <c r="E59" s="372">
        <v>0</v>
      </c>
      <c r="F59" s="372">
        <f>C59*D59+E59</f>
        <v>1503.1999999999998</v>
      </c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6"/>
        <v>51.06</v>
      </c>
      <c r="W59" s="130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3">
        <v>2611300</v>
      </c>
      <c r="AC59" s="10">
        <v>51.06</v>
      </c>
      <c r="AD59">
        <f t="shared" si="0"/>
        <v>0.56000000000000227</v>
      </c>
      <c r="AE59" s="134">
        <f t="shared" si="1"/>
        <v>2.74941084053415E-3</v>
      </c>
    </row>
    <row r="60" spans="1:31" x14ac:dyDescent="0.25">
      <c r="A60" s="371"/>
      <c r="B60" s="370">
        <v>42576</v>
      </c>
      <c r="C60" s="371">
        <v>30</v>
      </c>
      <c r="D60" s="372">
        <v>37.15</v>
      </c>
      <c r="E60" s="372">
        <v>0</v>
      </c>
      <c r="F60" s="372">
        <f>C60*D60+E60</f>
        <v>1114.5</v>
      </c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6"/>
        <v>50.505000000000003</v>
      </c>
      <c r="W60" s="130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3">
        <v>6059800</v>
      </c>
      <c r="AC60" s="10">
        <v>50.92</v>
      </c>
      <c r="AD60">
        <f t="shared" si="0"/>
        <v>1.6900000000000048</v>
      </c>
      <c r="AE60" s="134">
        <f t="shared" si="1"/>
        <v>-1.2987012987012991E-2</v>
      </c>
    </row>
    <row r="61" spans="1:31" x14ac:dyDescent="0.25">
      <c r="A61" s="371"/>
      <c r="B61" s="370">
        <v>42594</v>
      </c>
      <c r="C61" s="371">
        <v>30</v>
      </c>
      <c r="D61" s="372">
        <v>36.58</v>
      </c>
      <c r="E61" s="372">
        <v>0</v>
      </c>
      <c r="F61" s="372">
        <f>C61*D61+E61</f>
        <v>1097.3999999999999</v>
      </c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6"/>
        <v>49.95</v>
      </c>
      <c r="W61" s="130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3">
        <v>5941600</v>
      </c>
      <c r="AC61" s="10">
        <v>51.59</v>
      </c>
      <c r="AD61">
        <f t="shared" si="0"/>
        <v>0.73000000000000398</v>
      </c>
      <c r="AE61" s="134">
        <f t="shared" si="1"/>
        <v>6.6341463414634205E-3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3">
        <v>5569300</v>
      </c>
      <c r="AC62" s="10">
        <v>51.25</v>
      </c>
      <c r="AD62">
        <f t="shared" si="0"/>
        <v>1.3599999999999994</v>
      </c>
      <c r="AE62" s="134">
        <f t="shared" si="1"/>
        <v>2.0713005377414939E-2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5"/>
      <c r="I63" s="372"/>
      <c r="J63" s="372"/>
      <c r="K63" s="372"/>
      <c r="L63" s="371"/>
      <c r="M63" s="371"/>
      <c r="W63" s="130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3">
        <v>4965600</v>
      </c>
      <c r="AC63" s="10">
        <v>50.21</v>
      </c>
      <c r="AD63">
        <f t="shared" si="0"/>
        <v>1.1300000000000026</v>
      </c>
      <c r="AE63" s="134">
        <f t="shared" si="1"/>
        <v>7.4237560192615959E-3</v>
      </c>
    </row>
    <row r="64" spans="1:31" x14ac:dyDescent="0.25">
      <c r="A64" s="371"/>
      <c r="B64" s="371"/>
      <c r="C64" s="371"/>
      <c r="D64" s="372"/>
      <c r="E64" s="372"/>
      <c r="F64" s="372"/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3">
        <v>5691900</v>
      </c>
      <c r="AC64" s="10">
        <v>49.84</v>
      </c>
      <c r="AD64">
        <f t="shared" si="0"/>
        <v>1.1999999999999957</v>
      </c>
      <c r="AE64" s="134">
        <f t="shared" si="1"/>
        <v>-1.0718539102818614E-2</v>
      </c>
    </row>
    <row r="65" spans="1:31" x14ac:dyDescent="0.25">
      <c r="A65" s="371"/>
      <c r="B65" s="371"/>
      <c r="C65" s="371"/>
      <c r="D65" s="372"/>
      <c r="E65" s="372"/>
      <c r="F65" s="372"/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3">
        <v>7131500</v>
      </c>
      <c r="AC65" s="10">
        <v>50.38</v>
      </c>
      <c r="AD65">
        <f t="shared" si="0"/>
        <v>2</v>
      </c>
      <c r="AE65" s="134">
        <f t="shared" si="1"/>
        <v>-1.6207771919546921E-2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3">
        <v>4914400</v>
      </c>
      <c r="AC66" s="10">
        <v>51.21</v>
      </c>
      <c r="AD66">
        <f t="shared" si="0"/>
        <v>1.2700000000000031</v>
      </c>
      <c r="AE66" s="134">
        <f t="shared" si="1"/>
        <v>2.6458208057726917E-2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3">
        <v>4210300</v>
      </c>
      <c r="AC67" s="10">
        <v>49.89</v>
      </c>
      <c r="AD67">
        <f t="shared" si="0"/>
        <v>1.3499999999999943</v>
      </c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3">
        <v>3257200</v>
      </c>
      <c r="AC68" s="10">
        <v>49.75</v>
      </c>
      <c r="AD68" t="e">
        <f>#REF!-#REF!</f>
        <v>#REF!</v>
      </c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>
        <f>Y69-Z69</f>
        <v>0</v>
      </c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31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55"/>
      <c r="B74" s="456"/>
      <c r="C74" s="457"/>
      <c r="D74" s="457"/>
      <c r="E74" s="457"/>
      <c r="F74" s="458"/>
      <c r="G74" s="457"/>
      <c r="H74" s="457"/>
      <c r="I74" s="457"/>
      <c r="J74" s="457"/>
      <c r="K74" s="458"/>
      <c r="L74" s="457"/>
      <c r="M74" s="458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755" priority="15">
      <formula>F39&gt;0</formula>
    </cfRule>
    <cfRule type="expression" dxfId="1754" priority="16">
      <formula>F39&lt;0</formula>
    </cfRule>
  </conditionalFormatting>
  <conditionalFormatting sqref="Q7">
    <cfRule type="expression" dxfId="1753" priority="13">
      <formula>Q7&gt;0</formula>
    </cfRule>
    <cfRule type="expression" dxfId="1752" priority="14">
      <formula>Q7&lt;0</formula>
    </cfRule>
  </conditionalFormatting>
  <conditionalFormatting sqref="Q8">
    <cfRule type="expression" dxfId="1751" priority="11">
      <formula>Q8&gt;0</formula>
    </cfRule>
    <cfRule type="expression" dxfId="1750" priority="12">
      <formula>Q8&lt;0</formula>
    </cfRule>
  </conditionalFormatting>
  <conditionalFormatting sqref="F25:F38">
    <cfRule type="expression" dxfId="1749" priority="9">
      <formula>F25&gt;0</formula>
    </cfRule>
    <cfRule type="expression" dxfId="1748" priority="10">
      <formula>F25&lt;0</formula>
    </cfRule>
  </conditionalFormatting>
  <conditionalFormatting sqref="H25:H38">
    <cfRule type="expression" dxfId="1747" priority="7">
      <formula>H25&gt;0</formula>
    </cfRule>
    <cfRule type="expression" dxfId="1746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745" priority="3">
      <formula>M55&gt;0</formula>
    </cfRule>
    <cfRule type="expression" dxfId="1744" priority="4">
      <formula>M55&lt;0</formula>
    </cfRule>
  </conditionalFormatting>
  <conditionalFormatting sqref="Q10">
    <cfRule type="expression" dxfId="1743" priority="1">
      <formula>Q10&gt;0</formula>
    </cfRule>
    <cfRule type="expression" dxfId="174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321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8">
        <f>AC2/AC3-1</f>
        <v>-5.3064473335101559E-3</v>
      </c>
    </row>
    <row r="3" spans="1:31" x14ac:dyDescent="0.25">
      <c r="A3" s="22" t="s">
        <v>71</v>
      </c>
      <c r="G3" s="72"/>
      <c r="H3" s="180"/>
      <c r="I3" s="3"/>
      <c r="J3" s="3"/>
      <c r="K3" s="3"/>
      <c r="O3" s="11" t="s">
        <v>58</v>
      </c>
      <c r="Q3" s="478">
        <f>IF(Q2=0, Q4, (F18-K18-M18)/Q2)</f>
        <v>37.21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8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37.21</v>
      </c>
      <c r="R4" s="487">
        <v>-1.04E-2</v>
      </c>
      <c r="T4" s="159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8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8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8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8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8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O9" s="11" t="s">
        <v>210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8">
        <f t="shared" si="1"/>
        <v>2.3879013000795979E-3</v>
      </c>
    </row>
    <row r="10" spans="1:31" x14ac:dyDescent="0.25">
      <c r="O10" s="11" t="s">
        <v>209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8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8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8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8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8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8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8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8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8">
        <f t="shared" si="1"/>
        <v>-8.3916083916083517E-3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566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8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8">
        <f t="shared" si="1"/>
        <v>9.0497737556560764E-3</v>
      </c>
    </row>
    <row r="21" spans="1:31" x14ac:dyDescent="0.25">
      <c r="B21" s="498" t="s">
        <v>113</v>
      </c>
      <c r="C21" s="498" t="s">
        <v>146</v>
      </c>
      <c r="D21" s="499" t="s">
        <v>145</v>
      </c>
      <c r="E21" s="500" t="s">
        <v>147</v>
      </c>
      <c r="F21" s="501" t="s">
        <v>65</v>
      </c>
      <c r="G21" s="502" t="s">
        <v>151</v>
      </c>
      <c r="H21" s="501" t="s">
        <v>88</v>
      </c>
      <c r="I21" s="502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8">
        <f t="shared" si="1"/>
        <v>-3.3821871476887866E-3</v>
      </c>
    </row>
    <row r="22" spans="1:31" x14ac:dyDescent="0.25">
      <c r="A22" t="s">
        <v>357</v>
      </c>
      <c r="B22" s="188">
        <v>42754</v>
      </c>
      <c r="C22" s="10">
        <v>50</v>
      </c>
      <c r="D22" s="197">
        <v>31.18</v>
      </c>
      <c r="E22" s="39">
        <v>33.86</v>
      </c>
      <c r="F22" s="231">
        <f>C22*(E22-D22)</f>
        <v>134</v>
      </c>
      <c r="G22" s="39">
        <f>D22*C22</f>
        <v>1559</v>
      </c>
      <c r="H22" s="227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8">
        <f t="shared" si="1"/>
        <v>2.543091268719877E-3</v>
      </c>
    </row>
    <row r="23" spans="1:31" x14ac:dyDescent="0.25">
      <c r="B23" s="188"/>
      <c r="C23" s="10"/>
      <c r="D23" s="197"/>
      <c r="E23" s="39"/>
      <c r="F23" s="231"/>
      <c r="G23" s="39"/>
      <c r="H23" s="227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8">
        <f t="shared" si="1"/>
        <v>1.287922152261034E-2</v>
      </c>
    </row>
    <row r="24" spans="1:31" x14ac:dyDescent="0.25">
      <c r="B24" s="188"/>
      <c r="C24" s="10"/>
      <c r="D24" s="197"/>
      <c r="E24" s="39"/>
      <c r="F24" s="231"/>
      <c r="G24" s="39"/>
      <c r="H24" s="227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8">
        <f t="shared" si="1"/>
        <v>-5.4084827782523437E-3</v>
      </c>
    </row>
    <row r="25" spans="1:31" x14ac:dyDescent="0.25">
      <c r="B25" s="188"/>
      <c r="C25" s="10"/>
      <c r="D25" s="197"/>
      <c r="E25" s="39"/>
      <c r="F25" s="231"/>
      <c r="G25" s="39"/>
      <c r="H25" s="227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8">
        <f t="shared" si="1"/>
        <v>1.5317919075144459E-2</v>
      </c>
    </row>
    <row r="26" spans="1:31" x14ac:dyDescent="0.25">
      <c r="B26" s="188"/>
      <c r="C26" s="10"/>
      <c r="D26" s="197"/>
      <c r="E26" s="39"/>
      <c r="F26" s="231"/>
      <c r="G26" s="39"/>
      <c r="H26" s="227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8">
        <f t="shared" si="1"/>
        <v>3.1893302406493795E-3</v>
      </c>
    </row>
    <row r="27" spans="1:31" x14ac:dyDescent="0.25">
      <c r="B27" s="188"/>
      <c r="C27" s="10"/>
      <c r="D27" s="197"/>
      <c r="E27" s="39"/>
      <c r="F27" s="231"/>
      <c r="G27" s="39"/>
      <c r="H27" s="227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8">
        <f t="shared" si="1"/>
        <v>-5.7653502450272232E-3</v>
      </c>
    </row>
    <row r="28" spans="1:31" x14ac:dyDescent="0.25">
      <c r="B28" s="188"/>
      <c r="C28" s="10"/>
      <c r="D28" s="197"/>
      <c r="E28" s="39"/>
      <c r="F28" s="231"/>
      <c r="G28" s="39"/>
      <c r="H28" s="227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8">
        <f t="shared" si="1"/>
        <v>-8.8571428571428967E-3</v>
      </c>
    </row>
    <row r="29" spans="1:31" x14ac:dyDescent="0.25">
      <c r="B29" s="188"/>
      <c r="C29" s="10"/>
      <c r="D29" s="197"/>
      <c r="E29" s="39"/>
      <c r="F29" s="231"/>
      <c r="G29" s="39"/>
      <c r="H29" s="227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8">
        <f t="shared" si="1"/>
        <v>1.4306151645206988E-3</v>
      </c>
    </row>
    <row r="30" spans="1:31" x14ac:dyDescent="0.25">
      <c r="B30" s="188"/>
      <c r="C30" s="10"/>
      <c r="D30" s="197"/>
      <c r="E30" s="39"/>
      <c r="F30" s="231"/>
      <c r="G30" s="39"/>
      <c r="H30" s="227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8">
        <f t="shared" si="1"/>
        <v>-1.8258426966292096E-2</v>
      </c>
    </row>
    <row r="31" spans="1:31" x14ac:dyDescent="0.25">
      <c r="B31" s="188"/>
      <c r="C31" s="10"/>
      <c r="D31" s="197"/>
      <c r="E31" s="39"/>
      <c r="F31" s="231"/>
      <c r="G31" s="39"/>
      <c r="H31" s="227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8">
        <f t="shared" si="1"/>
        <v>2.8097780275349038E-4</v>
      </c>
    </row>
    <row r="32" spans="1:31" x14ac:dyDescent="0.25">
      <c r="B32" s="188"/>
      <c r="C32" s="10"/>
      <c r="D32" s="197"/>
      <c r="E32" s="39"/>
      <c r="F32" s="231"/>
      <c r="G32" s="39"/>
      <c r="H32" s="227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8">
        <f t="shared" si="1"/>
        <v>5.6513139304890103E-3</v>
      </c>
    </row>
    <row r="33" spans="1:31" x14ac:dyDescent="0.25">
      <c r="B33" s="188"/>
      <c r="C33" s="10"/>
      <c r="D33" s="197"/>
      <c r="E33" s="39"/>
      <c r="F33" s="231"/>
      <c r="G33" s="39"/>
      <c r="H33" s="227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8">
        <f t="shared" si="1"/>
        <v>-2.8248587570611772E-4</v>
      </c>
    </row>
    <row r="34" spans="1:31" x14ac:dyDescent="0.25">
      <c r="B34" s="188"/>
      <c r="C34" s="10"/>
      <c r="D34" s="197"/>
      <c r="E34" s="39"/>
      <c r="F34" s="231"/>
      <c r="G34" s="39"/>
      <c r="H34" s="227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8">
        <f t="shared" si="1"/>
        <v>-1.4104372355431272E-3</v>
      </c>
    </row>
    <row r="35" spans="1:31" x14ac:dyDescent="0.25">
      <c r="B35" s="188"/>
      <c r="C35" s="10"/>
      <c r="D35" s="197"/>
      <c r="E35" s="39"/>
      <c r="F35" s="231"/>
      <c r="G35" s="39"/>
      <c r="H35" s="227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8">
        <f t="shared" si="1"/>
        <v>-2.8200789622101485E-4</v>
      </c>
    </row>
    <row r="36" spans="1:31" x14ac:dyDescent="0.25">
      <c r="B36" s="188"/>
      <c r="C36" s="10"/>
      <c r="D36" s="197"/>
      <c r="E36" s="39"/>
      <c r="F36" s="231"/>
      <c r="G36" s="39"/>
      <c r="H36" s="227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8">
        <f t="shared" si="1"/>
        <v>1.0544314619549633E-2</v>
      </c>
    </row>
    <row r="37" spans="1:31" x14ac:dyDescent="0.25">
      <c r="B37" s="72"/>
      <c r="C37" s="4"/>
      <c r="D37" s="569"/>
      <c r="E37" s="3"/>
      <c r="F37" s="3"/>
      <c r="G37" s="3"/>
      <c r="H37" s="228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8">
        <f t="shared" si="1"/>
        <v>-3.1249999999999334E-3</v>
      </c>
    </row>
    <row r="38" spans="1:31" x14ac:dyDescent="0.25">
      <c r="B38" s="72"/>
      <c r="C38" s="4"/>
      <c r="D38" s="569"/>
      <c r="E38" s="3"/>
      <c r="F38" s="3"/>
      <c r="G38" s="3"/>
      <c r="H38" s="228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8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8">
        <f t="shared" si="1"/>
        <v>-3.6973833902160802E-3</v>
      </c>
    </row>
    <row r="40" spans="1:31" ht="20.25" thickBot="1" x14ac:dyDescent="0.35">
      <c r="O40" s="804" t="s">
        <v>78</v>
      </c>
      <c r="P40" s="804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8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40.931000000000004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8">
        <f t="shared" si="1"/>
        <v>9.0574582507783052E-3</v>
      </c>
    </row>
    <row r="42" spans="1:31" ht="20.25" thickBot="1" x14ac:dyDescent="0.35">
      <c r="A42" s="377" t="s">
        <v>1</v>
      </c>
      <c r="B42" s="377" t="s">
        <v>2</v>
      </c>
      <c r="C42" s="377" t="s">
        <v>4</v>
      </c>
      <c r="D42" s="379" t="s">
        <v>5</v>
      </c>
      <c r="E42" s="379" t="s">
        <v>94</v>
      </c>
      <c r="F42" s="379" t="s">
        <v>60</v>
      </c>
      <c r="G42" s="377" t="s">
        <v>3</v>
      </c>
      <c r="H42" s="377" t="s">
        <v>6</v>
      </c>
      <c r="I42" s="379" t="s">
        <v>7</v>
      </c>
      <c r="J42" s="379" t="s">
        <v>95</v>
      </c>
      <c r="K42" s="379" t="s">
        <v>61</v>
      </c>
      <c r="L42" s="377" t="s">
        <v>37</v>
      </c>
      <c r="M42" s="377" t="s">
        <v>38</v>
      </c>
      <c r="O42" s="81">
        <v>1.0900000000000001</v>
      </c>
      <c r="P42" s="81">
        <f t="shared" ref="P42:P61" si="2">O42*$Q$4</f>
        <v>40.558900000000001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8">
        <f t="shared" si="1"/>
        <v>5.9794988610477606E-3</v>
      </c>
    </row>
    <row r="43" spans="1:31" ht="15.75" thickTop="1" x14ac:dyDescent="0.25">
      <c r="A43" s="380" t="s">
        <v>321</v>
      </c>
      <c r="B43" s="370">
        <v>42719</v>
      </c>
      <c r="C43" s="371">
        <v>50</v>
      </c>
      <c r="D43" s="372">
        <v>31.18</v>
      </c>
      <c r="E43" s="372">
        <v>0</v>
      </c>
      <c r="F43" s="372">
        <f>C43*D43+E43</f>
        <v>1559</v>
      </c>
      <c r="G43" s="370">
        <v>42753</v>
      </c>
      <c r="H43" s="371">
        <v>50</v>
      </c>
      <c r="I43" s="372">
        <v>32.92</v>
      </c>
      <c r="J43" s="372">
        <v>0.04</v>
      </c>
      <c r="K43" s="372">
        <f>H43*I43-J43</f>
        <v>1645.96</v>
      </c>
      <c r="L43" s="370">
        <v>42748</v>
      </c>
      <c r="M43" s="371">
        <v>18</v>
      </c>
      <c r="O43" s="81">
        <v>1.08</v>
      </c>
      <c r="P43" s="81">
        <f t="shared" si="2"/>
        <v>40.186800000000005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8">
        <f t="shared" si="1"/>
        <v>8.3261556129772263E-3</v>
      </c>
    </row>
    <row r="44" spans="1:31" x14ac:dyDescent="0.25">
      <c r="A44" s="381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80">
        <v>50</v>
      </c>
      <c r="I44" s="3">
        <v>34.380000000000003</v>
      </c>
      <c r="J44" s="3">
        <v>0.04</v>
      </c>
      <c r="K44" s="3">
        <f>H44*I44-J44</f>
        <v>1718.9600000000003</v>
      </c>
      <c r="L44" s="371"/>
      <c r="M44" s="371"/>
      <c r="O44" s="81">
        <v>1.07</v>
      </c>
      <c r="P44" s="81">
        <f t="shared" si="2"/>
        <v>39.814700000000002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8">
        <f t="shared" si="1"/>
        <v>-3.4334763948499214E-3</v>
      </c>
    </row>
    <row r="45" spans="1:31" x14ac:dyDescent="0.25">
      <c r="A45" s="371"/>
      <c r="B45" s="370"/>
      <c r="C45" s="371"/>
      <c r="D45" s="372"/>
      <c r="E45" s="372"/>
      <c r="F45" s="372"/>
      <c r="G45" s="370"/>
      <c r="H45" s="375"/>
      <c r="I45" s="372"/>
      <c r="J45" s="372"/>
      <c r="K45" s="372"/>
      <c r="L45" s="371"/>
      <c r="M45" s="371"/>
      <c r="O45" s="81">
        <v>1.06</v>
      </c>
      <c r="P45" s="81">
        <f t="shared" si="2"/>
        <v>39.442600000000006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8">
        <f t="shared" si="1"/>
        <v>6.044905008635526E-3</v>
      </c>
    </row>
    <row r="46" spans="1:31" x14ac:dyDescent="0.25">
      <c r="A46" s="371"/>
      <c r="B46" s="370"/>
      <c r="C46" s="371"/>
      <c r="D46" s="372"/>
      <c r="E46" s="372"/>
      <c r="F46" s="372"/>
      <c r="G46" s="370"/>
      <c r="H46" s="375"/>
      <c r="I46" s="372"/>
      <c r="J46" s="372"/>
      <c r="K46" s="372"/>
      <c r="L46" s="371"/>
      <c r="M46" s="371"/>
      <c r="O46" s="81">
        <v>1.05</v>
      </c>
      <c r="P46" s="81">
        <f t="shared" si="2"/>
        <v>39.070500000000003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8">
        <f t="shared" si="1"/>
        <v>6.0816681146829144E-3</v>
      </c>
    </row>
    <row r="47" spans="1:31" x14ac:dyDescent="0.25">
      <c r="A47" s="371"/>
      <c r="B47" s="370"/>
      <c r="C47" s="371"/>
      <c r="D47" s="372"/>
      <c r="E47" s="372"/>
      <c r="F47" s="372"/>
      <c r="G47" s="370"/>
      <c r="H47" s="375"/>
      <c r="I47" s="372"/>
      <c r="J47" s="372"/>
      <c r="K47" s="372"/>
      <c r="L47" s="371"/>
      <c r="M47" s="371"/>
      <c r="O47" s="81">
        <v>1.04</v>
      </c>
      <c r="P47" s="81">
        <f t="shared" si="2"/>
        <v>38.698399999999999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8">
        <f t="shared" si="1"/>
        <v>1.1719894520949348E-2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5"/>
      <c r="I48" s="372"/>
      <c r="J48" s="372"/>
      <c r="K48" s="372"/>
      <c r="L48" s="371"/>
      <c r="M48" s="371"/>
      <c r="O48" s="81">
        <v>1.03</v>
      </c>
      <c r="P48" s="81">
        <f t="shared" si="2"/>
        <v>38.326300000000003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8">
        <f t="shared" si="1"/>
        <v>-5.8258083309057351E-3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5"/>
      <c r="I49" s="372"/>
      <c r="J49" s="372"/>
      <c r="K49" s="372"/>
      <c r="L49" s="371"/>
      <c r="M49" s="371"/>
      <c r="O49" s="81">
        <v>1.02</v>
      </c>
      <c r="P49" s="81">
        <f t="shared" si="2"/>
        <v>37.9542</v>
      </c>
      <c r="Q49" s="2"/>
      <c r="T49" s="91" t="s">
        <v>103</v>
      </c>
      <c r="U49" s="127" t="s">
        <v>610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8">
        <f t="shared" si="1"/>
        <v>-2.9044437990125571E-3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5"/>
      <c r="I50" s="372"/>
      <c r="J50" s="372"/>
      <c r="K50" s="372"/>
      <c r="L50" s="371"/>
      <c r="M50" s="371"/>
      <c r="O50" s="81">
        <v>1.01</v>
      </c>
      <c r="P50" s="81">
        <f t="shared" si="2"/>
        <v>37.582100000000004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8">
        <f t="shared" si="1"/>
        <v>-1.0916403332375868E-2</v>
      </c>
    </row>
    <row r="51" spans="1:3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</v>
      </c>
      <c r="P51" s="81">
        <f t="shared" si="2"/>
        <v>37.21</v>
      </c>
      <c r="Q51" s="2"/>
      <c r="T51" s="91" t="s">
        <v>104</v>
      </c>
      <c r="U51" s="127" t="s">
        <v>611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8">
        <f t="shared" si="1"/>
        <v>7.5253256150507042E-3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0.99</v>
      </c>
      <c r="P52" s="81">
        <f t="shared" si="2"/>
        <v>36.837899999999998</v>
      </c>
      <c r="Q52" s="2"/>
      <c r="T52" s="91" t="s">
        <v>105</v>
      </c>
      <c r="U52" s="127" t="s">
        <v>322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8">
        <f t="shared" si="1"/>
        <v>8.7591240875910525E-3</v>
      </c>
    </row>
    <row r="53" spans="1:3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0.98</v>
      </c>
      <c r="P53" s="81">
        <f t="shared" si="2"/>
        <v>36.465800000000002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8">
        <f t="shared" si="1"/>
        <v>6.4648839259475732E-3</v>
      </c>
    </row>
    <row r="54" spans="1:3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0.97</v>
      </c>
      <c r="P54" s="81">
        <f t="shared" si="2"/>
        <v>36.093699999999998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8">
        <f t="shared" si="1"/>
        <v>5.0206733608979537E-3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0.96</v>
      </c>
      <c r="P55" s="81">
        <f t="shared" si="2"/>
        <v>35.721600000000002</v>
      </c>
      <c r="T55" s="91" t="s">
        <v>107</v>
      </c>
      <c r="U55" s="127" t="s">
        <v>612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8">
        <f t="shared" si="1"/>
        <v>2.668283808368721E-2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0.95</v>
      </c>
      <c r="P56" s="81">
        <f t="shared" si="2"/>
        <v>35.349499999999999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8">
        <f t="shared" si="1"/>
        <v>2.3905619372865505E-2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0.94</v>
      </c>
      <c r="P57" s="81">
        <f t="shared" si="2"/>
        <v>34.977399999999996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8">
        <f t="shared" si="1"/>
        <v>1.8662519440124647E-3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34.6053</v>
      </c>
      <c r="T58" s="91" t="s">
        <v>108</v>
      </c>
      <c r="U58" s="127" t="s">
        <v>522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8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34.233200000000004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8">
        <f t="shared" si="1"/>
        <v>-7.9999999999998961E-3</v>
      </c>
    </row>
    <row r="60" spans="1:31" ht="15.75" thickBot="1" x14ac:dyDescent="0.3">
      <c r="A60" s="455"/>
      <c r="B60" s="456"/>
      <c r="C60" s="457"/>
      <c r="D60" s="457"/>
      <c r="E60" s="457"/>
      <c r="F60" s="458"/>
      <c r="G60" s="457"/>
      <c r="H60" s="457"/>
      <c r="I60" s="457"/>
      <c r="J60" s="457"/>
      <c r="K60" s="458"/>
      <c r="L60" s="457"/>
      <c r="M60" s="576"/>
      <c r="O60" s="81">
        <v>0.91</v>
      </c>
      <c r="P60" s="81">
        <f t="shared" si="2"/>
        <v>33.8611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8">
        <f t="shared" si="1"/>
        <v>3.1746031746031855E-2</v>
      </c>
    </row>
    <row r="61" spans="1:31" x14ac:dyDescent="0.25">
      <c r="O61" s="81">
        <v>0.9</v>
      </c>
      <c r="P61" s="81">
        <f t="shared" si="2"/>
        <v>33.489000000000004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8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8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8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8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8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8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8" t="e">
        <f>AC67/#REF!-1</f>
        <v>#REF!</v>
      </c>
    </row>
    <row r="68" spans="1:31" x14ac:dyDescent="0.25">
      <c r="A68" s="4"/>
      <c r="B68" s="421"/>
      <c r="C68" s="421"/>
      <c r="D68" s="570"/>
      <c r="E68" s="570"/>
      <c r="F68" s="570"/>
      <c r="G68" s="421"/>
      <c r="H68" s="421"/>
      <c r="I68" s="570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8" t="e">
        <f>#REF!/AC68-1</f>
        <v>#REF!</v>
      </c>
    </row>
    <row r="69" spans="1:31" x14ac:dyDescent="0.25">
      <c r="A69" s="421"/>
      <c r="B69" s="72"/>
      <c r="C69" s="4"/>
      <c r="D69" s="3"/>
      <c r="E69" s="3"/>
      <c r="F69" s="3"/>
      <c r="G69" s="72"/>
      <c r="H69" s="180"/>
      <c r="I69" s="3"/>
      <c r="J69" s="570"/>
      <c r="K69" s="570"/>
      <c r="L69" s="421"/>
      <c r="M69" s="421"/>
      <c r="N69" s="4"/>
      <c r="AD69" s="39">
        <f>Y68-Z68</f>
        <v>0</v>
      </c>
      <c r="AE69" s="158" t="e">
        <f>AC68/AC69-1</f>
        <v>#DIV/0!</v>
      </c>
    </row>
    <row r="70" spans="1:31" x14ac:dyDescent="0.25">
      <c r="A70" s="571"/>
      <c r="B70" s="72"/>
      <c r="C70" s="4"/>
      <c r="D70" s="3"/>
      <c r="E70" s="3"/>
      <c r="F70" s="3"/>
      <c r="G70" s="72"/>
      <c r="H70" s="180"/>
      <c r="I70" s="3"/>
      <c r="J70" s="3"/>
      <c r="K70" s="3"/>
      <c r="L70" s="4"/>
      <c r="M70" s="4"/>
      <c r="N70" s="4"/>
    </row>
    <row r="71" spans="1:31" x14ac:dyDescent="0.25">
      <c r="A71" s="572"/>
      <c r="B71" s="72"/>
      <c r="C71" s="4"/>
      <c r="D71" s="3"/>
      <c r="E71" s="3"/>
      <c r="F71" s="3"/>
      <c r="G71" s="72"/>
      <c r="H71" s="180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80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0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0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0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0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741" priority="27">
      <formula>F27&gt;0</formula>
    </cfRule>
    <cfRule type="expression" dxfId="174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739" priority="15">
      <formula>Q8&gt;0</formula>
    </cfRule>
    <cfRule type="expression" dxfId="1738" priority="16">
      <formula>Q8&lt;0</formula>
    </cfRule>
  </conditionalFormatting>
  <conditionalFormatting sqref="Q7">
    <cfRule type="expression" dxfId="1737" priority="17">
      <formula>Q7&gt;0</formula>
    </cfRule>
    <cfRule type="expression" dxfId="1736" priority="18">
      <formula>Q7&lt;0</formula>
    </cfRule>
  </conditionalFormatting>
  <conditionalFormatting sqref="F37:F38">
    <cfRule type="expression" dxfId="1735" priority="13">
      <formula>F37&gt;0</formula>
    </cfRule>
    <cfRule type="expression" dxfId="1734" priority="14">
      <formula>F37&lt;0</formula>
    </cfRule>
  </conditionalFormatting>
  <conditionalFormatting sqref="H37:H38">
    <cfRule type="expression" dxfId="1733" priority="11">
      <formula>H37&gt;0</formula>
    </cfRule>
    <cfRule type="expression" dxfId="1732" priority="12">
      <formula>H37&lt;0</formula>
    </cfRule>
  </conditionalFormatting>
  <conditionalFormatting sqref="F23:F26 H23:H26">
    <cfRule type="expression" dxfId="1731" priority="9">
      <formula>F23&gt;0</formula>
    </cfRule>
    <cfRule type="expression" dxfId="1730" priority="10">
      <formula>F23&lt;0</formula>
    </cfRule>
  </conditionalFormatting>
  <conditionalFormatting sqref="Q10">
    <cfRule type="expression" dxfId="1729" priority="3">
      <formula>Q10&gt;0</formula>
    </cfRule>
    <cfRule type="expression" dxfId="1728" priority="4">
      <formula>Q10&lt;0</formula>
    </cfRule>
  </conditionalFormatting>
  <conditionalFormatting sqref="F22 H22">
    <cfRule type="expression" dxfId="1727" priority="1">
      <formula>F22&gt;0</formula>
    </cfRule>
    <cfRule type="expression" dxfId="1726" priority="2">
      <formula>F22&lt;0</formula>
    </cfRule>
  </conditionalFormatting>
  <conditionalFormatting sqref="M41">
    <cfRule type="expression" dxfId="1725" priority="5">
      <formula>M41&gt;0</formula>
    </cfRule>
    <cfRule type="expression" dxfId="172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304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62.7</v>
      </c>
      <c r="T3" s="1"/>
      <c r="W3" s="130">
        <v>42830</v>
      </c>
      <c r="X3" s="10" t="s">
        <v>336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M4" s="4"/>
      <c r="O4" s="11" t="s">
        <v>66</v>
      </c>
      <c r="Q4" s="54">
        <v>62.7</v>
      </c>
      <c r="R4" s="487">
        <v>2.0000000000000001E-4</v>
      </c>
      <c r="T4" s="159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8"/>
      <c r="C25" s="10"/>
      <c r="D25" s="595"/>
      <c r="E25" s="39"/>
      <c r="F25" s="39"/>
      <c r="G25" s="39"/>
      <c r="H25" s="226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8"/>
      <c r="C26" s="10"/>
      <c r="D26" s="595"/>
      <c r="E26" s="39"/>
      <c r="F26" s="39"/>
      <c r="G26" s="39"/>
      <c r="H26" s="226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8"/>
      <c r="C34" s="10"/>
      <c r="D34" s="595"/>
      <c r="E34" s="39"/>
      <c r="F34" s="39"/>
      <c r="G34" s="39"/>
      <c r="H34" s="226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8"/>
      <c r="C35" s="10"/>
      <c r="D35" s="595"/>
      <c r="E35" s="39"/>
      <c r="F35" s="39"/>
      <c r="G35" s="39"/>
      <c r="H35" s="226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4" t="s">
        <v>78</v>
      </c>
      <c r="P40" s="80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68.970000000000013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68.343000000000004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67.716000000000008</v>
      </c>
      <c r="Q43" s="2"/>
      <c r="T43" s="125" t="s">
        <v>97</v>
      </c>
      <c r="U43" s="126">
        <v>53.75</v>
      </c>
      <c r="V43" s="524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67.089000000000013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66.462000000000003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65.835000000000008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37</v>
      </c>
      <c r="M47" s="377" t="s">
        <v>38</v>
      </c>
      <c r="O47" s="81">
        <v>1.04</v>
      </c>
      <c r="P47" s="81">
        <f t="shared" si="2"/>
        <v>65.207999999999998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80" t="s">
        <v>304</v>
      </c>
      <c r="B48" s="370">
        <v>42669</v>
      </c>
      <c r="C48" s="371">
        <v>20</v>
      </c>
      <c r="D48" s="372">
        <v>49.18</v>
      </c>
      <c r="E48" s="372">
        <v>0</v>
      </c>
      <c r="F48" s="372">
        <f t="shared" ref="F48:F53" si="3">C48*D48+E48</f>
        <v>983.6</v>
      </c>
      <c r="G48" s="370">
        <v>42710</v>
      </c>
      <c r="H48" s="375">
        <v>20</v>
      </c>
      <c r="I48" s="372">
        <v>55.88</v>
      </c>
      <c r="J48" s="372">
        <v>0.02</v>
      </c>
      <c r="K48" s="372">
        <f>I48*H48-J48</f>
        <v>1117.5800000000002</v>
      </c>
      <c r="L48" s="370"/>
      <c r="M48" s="371"/>
      <c r="O48" s="81">
        <v>1.03</v>
      </c>
      <c r="P48" s="81">
        <f t="shared" si="2"/>
        <v>64.581000000000003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81" t="s">
        <v>71</v>
      </c>
      <c r="B49" s="370">
        <v>42669</v>
      </c>
      <c r="C49" s="371">
        <v>30</v>
      </c>
      <c r="D49" s="372">
        <v>49.18</v>
      </c>
      <c r="E49" s="372">
        <v>0</v>
      </c>
      <c r="F49" s="372">
        <f t="shared" si="3"/>
        <v>1475.4</v>
      </c>
      <c r="G49" s="370">
        <v>42713</v>
      </c>
      <c r="H49" s="375">
        <v>30</v>
      </c>
      <c r="I49" s="372">
        <v>56.28</v>
      </c>
      <c r="J49" s="372">
        <v>0.04</v>
      </c>
      <c r="K49" s="372">
        <f>I49*H49-J49</f>
        <v>1688.3600000000001</v>
      </c>
      <c r="L49" s="371"/>
      <c r="M49" s="371"/>
      <c r="O49" s="81">
        <v>1.02</v>
      </c>
      <c r="P49" s="81">
        <f t="shared" si="2"/>
        <v>63.954000000000001</v>
      </c>
      <c r="Q49" s="2"/>
      <c r="T49" s="91" t="s">
        <v>103</v>
      </c>
      <c r="U49" s="127" t="s">
        <v>494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71"/>
      <c r="B50" s="596">
        <v>42711</v>
      </c>
      <c r="C50" s="597">
        <v>20</v>
      </c>
      <c r="D50" s="598">
        <v>55.06</v>
      </c>
      <c r="E50" s="598">
        <v>0</v>
      </c>
      <c r="F50" s="598">
        <f t="shared" si="3"/>
        <v>1101.2</v>
      </c>
      <c r="G50" s="596">
        <v>42780</v>
      </c>
      <c r="H50" s="599">
        <v>20</v>
      </c>
      <c r="I50" s="598">
        <v>52.48</v>
      </c>
      <c r="J50" s="598">
        <v>0.02</v>
      </c>
      <c r="K50" s="598">
        <f>I50*H50-J50</f>
        <v>1049.58</v>
      </c>
      <c r="L50" s="596">
        <v>42768</v>
      </c>
      <c r="M50" s="598">
        <v>7.8</v>
      </c>
      <c r="O50" s="81">
        <v>1.01</v>
      </c>
      <c r="P50" s="81">
        <f t="shared" si="2"/>
        <v>63.327000000000005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71"/>
      <c r="B51" s="596">
        <v>42755</v>
      </c>
      <c r="C51" s="597">
        <v>20</v>
      </c>
      <c r="D51" s="598">
        <v>51.33</v>
      </c>
      <c r="E51" s="598">
        <v>0</v>
      </c>
      <c r="F51" s="598">
        <f t="shared" si="3"/>
        <v>1026.5999999999999</v>
      </c>
      <c r="G51" s="596">
        <v>42787</v>
      </c>
      <c r="H51" s="599">
        <v>80</v>
      </c>
      <c r="I51" s="598">
        <v>55.58</v>
      </c>
      <c r="J51" s="598">
        <v>0.1</v>
      </c>
      <c r="K51" s="598">
        <f>I51*H51-J51</f>
        <v>4446.2999999999993</v>
      </c>
      <c r="L51" s="371"/>
      <c r="M51" s="371"/>
      <c r="O51" s="81">
        <v>1</v>
      </c>
      <c r="P51" s="81">
        <f t="shared" si="2"/>
        <v>62.7</v>
      </c>
      <c r="Q51" s="2"/>
      <c r="T51" s="91" t="s">
        <v>104</v>
      </c>
      <c r="U51" s="127" t="s">
        <v>613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71"/>
      <c r="B52" s="596">
        <v>42755</v>
      </c>
      <c r="C52" s="597">
        <v>20</v>
      </c>
      <c r="D52" s="598">
        <v>51.44</v>
      </c>
      <c r="E52" s="598">
        <v>0</v>
      </c>
      <c r="F52" s="598">
        <f t="shared" si="3"/>
        <v>1028.8</v>
      </c>
      <c r="G52" s="597"/>
      <c r="H52" s="599"/>
      <c r="I52" s="598"/>
      <c r="J52" s="598"/>
      <c r="K52" s="598"/>
      <c r="L52" s="371"/>
      <c r="M52" s="371"/>
      <c r="O52" s="81">
        <v>0.99</v>
      </c>
      <c r="P52" s="81">
        <f t="shared" si="2"/>
        <v>62.073</v>
      </c>
      <c r="Q52" s="2"/>
      <c r="T52" s="91" t="s">
        <v>105</v>
      </c>
      <c r="U52" s="127" t="s">
        <v>376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71"/>
      <c r="B53" s="596">
        <v>42755</v>
      </c>
      <c r="C53" s="597">
        <v>40</v>
      </c>
      <c r="D53" s="598">
        <v>49.68</v>
      </c>
      <c r="E53" s="598">
        <v>0</v>
      </c>
      <c r="F53" s="598">
        <f t="shared" si="3"/>
        <v>1987.2</v>
      </c>
      <c r="G53" s="597"/>
      <c r="H53" s="599"/>
      <c r="I53" s="598"/>
      <c r="J53" s="598"/>
      <c r="K53" s="598"/>
      <c r="L53" s="371"/>
      <c r="M53" s="371"/>
      <c r="O53" s="81">
        <v>0.98</v>
      </c>
      <c r="P53" s="81">
        <f t="shared" si="2"/>
        <v>61.446000000000005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71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80">
        <v>20</v>
      </c>
      <c r="I54" s="3">
        <v>57.3</v>
      </c>
      <c r="J54" s="3">
        <v>0.02</v>
      </c>
      <c r="K54" s="3">
        <f>H54*I54-J54</f>
        <v>1145.98</v>
      </c>
      <c r="L54" s="371"/>
      <c r="M54" s="371"/>
      <c r="O54" s="81">
        <v>0.97</v>
      </c>
      <c r="P54" s="81">
        <f t="shared" si="2"/>
        <v>60.819000000000003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71"/>
      <c r="B55" s="371"/>
      <c r="C55" s="371"/>
      <c r="D55" s="372"/>
      <c r="E55" s="372"/>
      <c r="F55" s="372"/>
      <c r="G55" s="371"/>
      <c r="H55" s="375"/>
      <c r="I55" s="372"/>
      <c r="J55" s="372"/>
      <c r="K55" s="372"/>
      <c r="L55" s="371"/>
      <c r="M55" s="371"/>
      <c r="O55" s="81">
        <v>0.96</v>
      </c>
      <c r="P55" s="81">
        <f t="shared" si="2"/>
        <v>60.192</v>
      </c>
      <c r="T55" s="91" t="s">
        <v>107</v>
      </c>
      <c r="U55" s="127" t="s">
        <v>614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71"/>
      <c r="B56" s="371"/>
      <c r="C56" s="371"/>
      <c r="D56" s="372"/>
      <c r="E56" s="372"/>
      <c r="F56" s="372"/>
      <c r="G56" s="371"/>
      <c r="H56" s="375"/>
      <c r="I56" s="372"/>
      <c r="J56" s="372"/>
      <c r="K56" s="372"/>
      <c r="L56" s="371"/>
      <c r="M56" s="371"/>
      <c r="O56" s="81">
        <v>0.95</v>
      </c>
      <c r="P56" s="81">
        <f t="shared" si="2"/>
        <v>59.564999999999998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71"/>
      <c r="B57" s="371"/>
      <c r="C57" s="371"/>
      <c r="D57" s="372"/>
      <c r="E57" s="372"/>
      <c r="F57" s="372"/>
      <c r="G57" s="371"/>
      <c r="H57" s="375"/>
      <c r="I57" s="372"/>
      <c r="J57" s="372"/>
      <c r="K57" s="372"/>
      <c r="L57" s="371"/>
      <c r="M57" s="371"/>
      <c r="O57" s="81">
        <v>0.94</v>
      </c>
      <c r="P57" s="81">
        <f t="shared" si="2"/>
        <v>58.938000000000002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71"/>
      <c r="B58" s="371"/>
      <c r="C58" s="371"/>
      <c r="D58" s="372"/>
      <c r="E58" s="372"/>
      <c r="F58" s="372"/>
      <c r="G58" s="371"/>
      <c r="H58" s="375"/>
      <c r="I58" s="372"/>
      <c r="J58" s="372"/>
      <c r="K58" s="372"/>
      <c r="L58" s="371"/>
      <c r="M58" s="371"/>
      <c r="O58" s="81">
        <v>0.93</v>
      </c>
      <c r="P58" s="81">
        <f t="shared" si="2"/>
        <v>58.311000000000007</v>
      </c>
      <c r="T58" s="91" t="s">
        <v>108</v>
      </c>
      <c r="U58" s="127" t="s">
        <v>559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71"/>
      <c r="B59" s="371"/>
      <c r="C59" s="371"/>
      <c r="D59" s="372"/>
      <c r="E59" s="372"/>
      <c r="F59" s="372"/>
      <c r="G59" s="371"/>
      <c r="H59" s="375"/>
      <c r="I59" s="372"/>
      <c r="J59" s="372"/>
      <c r="K59" s="372"/>
      <c r="L59" s="371"/>
      <c r="M59" s="371"/>
      <c r="O59" s="81">
        <v>0.92</v>
      </c>
      <c r="P59" s="81">
        <f t="shared" si="2"/>
        <v>57.684000000000005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71"/>
      <c r="B60" s="371"/>
      <c r="C60" s="371"/>
      <c r="D60" s="372"/>
      <c r="E60" s="372"/>
      <c r="F60" s="372"/>
      <c r="G60" s="371"/>
      <c r="H60" s="375"/>
      <c r="I60" s="372"/>
      <c r="J60" s="372"/>
      <c r="K60" s="372"/>
      <c r="L60" s="371"/>
      <c r="M60" s="371"/>
      <c r="O60" s="81">
        <v>0.91</v>
      </c>
      <c r="P60" s="81">
        <f t="shared" si="2"/>
        <v>57.057000000000002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71"/>
      <c r="B61" s="371"/>
      <c r="C61" s="371"/>
      <c r="D61" s="372"/>
      <c r="E61" s="372"/>
      <c r="F61" s="372"/>
      <c r="G61" s="371"/>
      <c r="H61" s="375"/>
      <c r="I61" s="372"/>
      <c r="J61" s="372"/>
      <c r="K61" s="372"/>
      <c r="L61" s="371"/>
      <c r="M61" s="371"/>
      <c r="O61" s="81">
        <v>0.9</v>
      </c>
      <c r="P61" s="81">
        <f t="shared" si="2"/>
        <v>56.430000000000007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71"/>
      <c r="B62" s="371"/>
      <c r="C62" s="371"/>
      <c r="D62" s="372"/>
      <c r="E62" s="372"/>
      <c r="F62" s="372"/>
      <c r="G62" s="371"/>
      <c r="H62" s="375"/>
      <c r="I62" s="372"/>
      <c r="J62" s="372"/>
      <c r="K62" s="372"/>
      <c r="L62" s="371"/>
      <c r="M62" s="371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71"/>
      <c r="B63" s="371"/>
      <c r="C63" s="371"/>
      <c r="D63" s="372"/>
      <c r="E63" s="372"/>
      <c r="F63" s="372"/>
      <c r="G63" s="371"/>
      <c r="H63" s="371"/>
      <c r="I63" s="372"/>
      <c r="J63" s="372"/>
      <c r="K63" s="372"/>
      <c r="L63" s="371"/>
      <c r="M63" s="371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55" t="s">
        <v>194</v>
      </c>
      <c r="B65" s="456"/>
      <c r="C65" s="457">
        <f>SumByColor($A$19,C48:C63)</f>
        <v>0</v>
      </c>
      <c r="D65" s="457"/>
      <c r="E65" s="457"/>
      <c r="F65" s="458">
        <f>SumByColor($A$19,F48:F63)</f>
        <v>0</v>
      </c>
      <c r="G65" s="457"/>
      <c r="H65" s="457">
        <f>SumByColor($A$19,H48:H63)</f>
        <v>0</v>
      </c>
      <c r="I65" s="457"/>
      <c r="J65" s="457"/>
      <c r="K65" s="458">
        <f>SumByColor($A$19,K48:K63)</f>
        <v>0</v>
      </c>
      <c r="L65" s="457"/>
      <c r="M65" s="458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336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6" t="s">
        <v>113</v>
      </c>
      <c r="C70" s="186" t="s">
        <v>146</v>
      </c>
      <c r="D70" s="187" t="s">
        <v>145</v>
      </c>
      <c r="E70" s="189" t="s">
        <v>147</v>
      </c>
      <c r="F70" s="189" t="s">
        <v>65</v>
      </c>
      <c r="G70" s="224" t="s">
        <v>151</v>
      </c>
      <c r="H70" s="224" t="s">
        <v>88</v>
      </c>
      <c r="I70" s="224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64" t="s">
        <v>345</v>
      </c>
      <c r="B71" s="463">
        <v>42754</v>
      </c>
      <c r="C71" s="464">
        <v>20</v>
      </c>
      <c r="D71" s="600">
        <v>55.06</v>
      </c>
      <c r="E71" s="465">
        <v>55.49</v>
      </c>
      <c r="F71" s="465">
        <f t="shared" ref="F71:F78" si="4">C71*(E71-D71)</f>
        <v>8.5999999999999943</v>
      </c>
      <c r="G71" s="465">
        <f t="shared" ref="G71:G78" si="5">D71*C71</f>
        <v>1101.2</v>
      </c>
      <c r="H71" s="601">
        <f t="shared" ref="H71:H78" si="6">(E71-D71)/D71</f>
        <v>7.8096621867054065E-3</v>
      </c>
      <c r="I71" s="465"/>
      <c r="W71" s="130"/>
      <c r="X71" s="10"/>
      <c r="Y71" s="10"/>
      <c r="Z71" s="10"/>
      <c r="AA71" s="10"/>
      <c r="AB71" s="93"/>
      <c r="AC71" s="10"/>
    </row>
    <row r="72" spans="1:31" x14ac:dyDescent="0.25">
      <c r="A72" s="464" t="s">
        <v>356</v>
      </c>
      <c r="B72" s="463">
        <v>42755</v>
      </c>
      <c r="C72" s="464">
        <v>100</v>
      </c>
      <c r="D72" s="600">
        <v>51.438000000000002</v>
      </c>
      <c r="E72" s="465">
        <v>49.23</v>
      </c>
      <c r="F72" s="465">
        <f t="shared" si="4"/>
        <v>-220.80000000000055</v>
      </c>
      <c r="G72" s="465">
        <f t="shared" si="5"/>
        <v>5143.8</v>
      </c>
      <c r="H72" s="601">
        <f t="shared" si="6"/>
        <v>-4.2925463664994855E-2</v>
      </c>
      <c r="I72" s="465">
        <v>50</v>
      </c>
    </row>
    <row r="73" spans="1:31" x14ac:dyDescent="0.25">
      <c r="A73" s="464" t="s">
        <v>373</v>
      </c>
      <c r="B73" s="463">
        <v>42761</v>
      </c>
      <c r="C73" s="464">
        <v>120</v>
      </c>
      <c r="D73" s="600">
        <v>50.715000000000003</v>
      </c>
      <c r="E73" s="465">
        <v>46.82</v>
      </c>
      <c r="F73" s="465">
        <f t="shared" si="4"/>
        <v>-467.40000000000038</v>
      </c>
      <c r="G73" s="465">
        <f t="shared" si="5"/>
        <v>6085.8</v>
      </c>
      <c r="H73" s="601">
        <f t="shared" si="6"/>
        <v>-7.680173518682841E-2</v>
      </c>
      <c r="I73" s="465"/>
    </row>
    <row r="74" spans="1:31" x14ac:dyDescent="0.25">
      <c r="A74" s="464" t="s">
        <v>373</v>
      </c>
      <c r="B74" s="463">
        <v>42764</v>
      </c>
      <c r="C74" s="464">
        <v>120</v>
      </c>
      <c r="D74" s="600">
        <v>50.715000000000003</v>
      </c>
      <c r="E74" s="465">
        <v>47.74</v>
      </c>
      <c r="F74" s="465">
        <f t="shared" si="4"/>
        <v>-357.00000000000017</v>
      </c>
      <c r="G74" s="465">
        <f t="shared" si="5"/>
        <v>6085.8</v>
      </c>
      <c r="H74" s="601">
        <f t="shared" si="6"/>
        <v>-5.866114561766738E-2</v>
      </c>
      <c r="I74" s="465"/>
    </row>
    <row r="75" spans="1:31" x14ac:dyDescent="0.25">
      <c r="A75" s="464" t="s">
        <v>397</v>
      </c>
      <c r="B75" s="463">
        <v>42768</v>
      </c>
      <c r="C75" s="464">
        <v>120</v>
      </c>
      <c r="D75" s="600">
        <v>50.65</v>
      </c>
      <c r="E75" s="465">
        <v>50.5</v>
      </c>
      <c r="F75" s="465">
        <f t="shared" si="4"/>
        <v>-17.999999999999829</v>
      </c>
      <c r="G75" s="465">
        <f t="shared" si="5"/>
        <v>6078</v>
      </c>
      <c r="H75" s="601">
        <f t="shared" si="6"/>
        <v>-2.9615004935833874E-3</v>
      </c>
      <c r="I75" s="465"/>
    </row>
    <row r="76" spans="1:31" x14ac:dyDescent="0.25">
      <c r="A76" s="464" t="s">
        <v>433</v>
      </c>
      <c r="B76" s="463">
        <v>42780</v>
      </c>
      <c r="C76" s="464">
        <v>100</v>
      </c>
      <c r="D76" s="600">
        <v>50.284199999999998</v>
      </c>
      <c r="E76" s="465">
        <v>53.71</v>
      </c>
      <c r="F76" s="465">
        <f t="shared" si="4"/>
        <v>342.58000000000027</v>
      </c>
      <c r="G76" s="465">
        <f t="shared" si="5"/>
        <v>5028.42</v>
      </c>
      <c r="H76" s="601">
        <f t="shared" si="6"/>
        <v>6.8128756150043199E-2</v>
      </c>
      <c r="I76" s="465">
        <v>50</v>
      </c>
    </row>
    <row r="77" spans="1:31" x14ac:dyDescent="0.25">
      <c r="A77" s="645" t="s">
        <v>449</v>
      </c>
      <c r="B77" s="644">
        <v>42787</v>
      </c>
      <c r="C77" s="645">
        <v>20</v>
      </c>
      <c r="D77" s="646">
        <v>47.1</v>
      </c>
      <c r="E77" s="643">
        <v>54.78</v>
      </c>
      <c r="F77" s="643">
        <f t="shared" si="4"/>
        <v>153.6</v>
      </c>
      <c r="G77" s="643">
        <f t="shared" si="5"/>
        <v>942</v>
      </c>
      <c r="H77" s="647">
        <f t="shared" si="6"/>
        <v>0.16305732484076432</v>
      </c>
      <c r="I77" s="643"/>
    </row>
    <row r="78" spans="1:31" x14ac:dyDescent="0.25">
      <c r="A78" s="645" t="s">
        <v>467</v>
      </c>
      <c r="B78" s="644">
        <v>42792</v>
      </c>
      <c r="C78" s="645">
        <v>20</v>
      </c>
      <c r="D78" s="646">
        <v>47.1</v>
      </c>
      <c r="E78" s="643">
        <v>54.78</v>
      </c>
      <c r="F78" s="643">
        <f t="shared" si="4"/>
        <v>153.6</v>
      </c>
      <c r="G78" s="643">
        <f t="shared" si="5"/>
        <v>942</v>
      </c>
      <c r="H78" s="647">
        <f t="shared" si="6"/>
        <v>0.16305732484076432</v>
      </c>
      <c r="I78" s="643"/>
    </row>
    <row r="79" spans="1:31" x14ac:dyDescent="0.25">
      <c r="A79" s="645"/>
      <c r="B79" s="644">
        <v>42796</v>
      </c>
      <c r="C79" s="645">
        <v>0</v>
      </c>
      <c r="D79" s="646"/>
      <c r="E79" s="643"/>
      <c r="F79" s="643">
        <v>203.98</v>
      </c>
      <c r="G79" s="643"/>
      <c r="H79" s="647"/>
      <c r="I79" s="648"/>
    </row>
    <row r="80" spans="1:31" x14ac:dyDescent="0.25">
      <c r="B80" s="188"/>
      <c r="C80" s="10"/>
      <c r="D80" s="595"/>
      <c r="E80" s="39"/>
      <c r="F80" s="39"/>
      <c r="G80" s="39"/>
      <c r="H80" s="226"/>
      <c r="I80" s="39"/>
    </row>
    <row r="81" spans="2:9" x14ac:dyDescent="0.25">
      <c r="B81" s="188"/>
      <c r="C81" s="10"/>
      <c r="D81" s="595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208" spans="21:21" x14ac:dyDescent="0.25">
      <c r="U208" s="230"/>
    </row>
    <row r="209" spans="21:21" x14ac:dyDescent="0.25">
      <c r="U209" s="230"/>
    </row>
    <row r="281" spans="21:21" x14ac:dyDescent="0.25">
      <c r="U281" s="277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723" priority="29">
      <formula>F25&gt;0</formula>
    </cfRule>
    <cfRule type="expression" dxfId="1722" priority="30">
      <formula>F25&lt;0</formula>
    </cfRule>
  </conditionalFormatting>
  <conditionalFormatting sqref="Q7">
    <cfRule type="expression" dxfId="1721" priority="27">
      <formula>Q7&gt;0</formula>
    </cfRule>
    <cfRule type="expression" dxfId="1720" priority="28">
      <formula>Q7&lt;0</formula>
    </cfRule>
  </conditionalFormatting>
  <conditionalFormatting sqref="Q8">
    <cfRule type="expression" dxfId="1719" priority="25">
      <formula>Q8&gt;0</formula>
    </cfRule>
    <cfRule type="expression" dxfId="1718" priority="26">
      <formula>Q8&lt;0</formula>
    </cfRule>
  </conditionalFormatting>
  <conditionalFormatting sqref="Q10">
    <cfRule type="expression" dxfId="1717" priority="13">
      <formula>Q10&gt;0</formula>
    </cfRule>
    <cfRule type="expression" dxfId="1716" priority="14">
      <formula>Q10&lt;0</formula>
    </cfRule>
  </conditionalFormatting>
  <conditionalFormatting sqref="M46">
    <cfRule type="expression" dxfId="1715" priority="11">
      <formula>M46&gt;0</formula>
    </cfRule>
    <cfRule type="expression" dxfId="1714" priority="12">
      <formula>M46&lt;0</formula>
    </cfRule>
  </conditionalFormatting>
  <conditionalFormatting sqref="F80:F88 H80:H88">
    <cfRule type="expression" dxfId="1713" priority="9">
      <formula>F80&gt;0</formula>
    </cfRule>
    <cfRule type="expression" dxfId="1712" priority="10">
      <formula>F80&lt;0</formula>
    </cfRule>
  </conditionalFormatting>
  <conditionalFormatting sqref="F75:F79">
    <cfRule type="expression" dxfId="1711" priority="7">
      <formula>F75&gt;0</formula>
    </cfRule>
    <cfRule type="expression" dxfId="1710" priority="8">
      <formula>F75&lt;0</formula>
    </cfRule>
  </conditionalFormatting>
  <conditionalFormatting sqref="H75:H79">
    <cfRule type="expression" dxfId="1709" priority="5">
      <formula>H75&gt;0</formula>
    </cfRule>
    <cfRule type="expression" dxfId="1708" priority="6">
      <formula>H75&lt;0</formula>
    </cfRule>
  </conditionalFormatting>
  <conditionalFormatting sqref="F71:F74">
    <cfRule type="expression" dxfId="1707" priority="3">
      <formula>F71&gt;0</formula>
    </cfRule>
    <cfRule type="expression" dxfId="1706" priority="4">
      <formula>F71&lt;0</formula>
    </cfRule>
  </conditionalFormatting>
  <conditionalFormatting sqref="H71:H74">
    <cfRule type="expression" dxfId="1705" priority="1">
      <formula>H71&gt;0</formula>
    </cfRule>
    <cfRule type="expression" dxfId="170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740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32.29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32.29</v>
      </c>
      <c r="R4" s="509">
        <v>3.5900000000000001E-2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6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42997</v>
      </c>
      <c r="C26" s="10"/>
      <c r="D26" s="39"/>
      <c r="E26" s="39">
        <v>28.06</v>
      </c>
      <c r="F26" s="39">
        <v>557.94000000000005</v>
      </c>
      <c r="G26" s="39"/>
      <c r="H26" s="226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35.519000000000005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35.196100000000001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34.873200000000004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34.5503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34.227400000000003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33.904499999999999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33.581600000000002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33.258699999999997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32.9358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32.612899999999996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32.29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31.967099999999999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31.644199999999998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31.321299999999997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30.998399999999997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30.675499999999996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30.352599999999999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30.029700000000002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29.706800000000001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29.383900000000001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29.061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740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100</v>
      </c>
      <c r="D84" s="532"/>
      <c r="E84" s="532"/>
      <c r="F84" s="532">
        <f>SUM(F68:F72)</f>
        <v>2248</v>
      </c>
      <c r="G84" s="531"/>
      <c r="H84" s="553">
        <f>SUM(H68:H71)</f>
        <v>100</v>
      </c>
      <c r="I84" s="532"/>
      <c r="J84" s="532"/>
      <c r="K84" s="532">
        <f>SUM(K68:K71)</f>
        <v>2805.94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703" priority="21">
      <formula>F47&gt;0</formula>
    </cfRule>
    <cfRule type="expression" dxfId="1702" priority="22">
      <formula>F47&lt;0</formula>
    </cfRule>
  </conditionalFormatting>
  <conditionalFormatting sqref="Q7">
    <cfRule type="expression" dxfId="1701" priority="19">
      <formula>Q7&gt;0</formula>
    </cfRule>
    <cfRule type="expression" dxfId="1700" priority="20">
      <formula>Q7&lt;0</formula>
    </cfRule>
  </conditionalFormatting>
  <conditionalFormatting sqref="Q8">
    <cfRule type="expression" dxfId="1699" priority="17">
      <formula>Q8&gt;0</formula>
    </cfRule>
    <cfRule type="expression" dxfId="1698" priority="18">
      <formula>Q8&lt;0</formula>
    </cfRule>
  </conditionalFormatting>
  <conditionalFormatting sqref="F25:F46">
    <cfRule type="expression" dxfId="1697" priority="15">
      <formula>F25&gt;0</formula>
    </cfRule>
    <cfRule type="expression" dxfId="1696" priority="16">
      <formula>F25&lt;0</formula>
    </cfRule>
  </conditionalFormatting>
  <conditionalFormatting sqref="H25:H46">
    <cfRule type="expression" dxfId="1695" priority="13">
      <formula>H25&gt;0</formula>
    </cfRule>
    <cfRule type="expression" dxfId="1694" priority="14">
      <formula>H25&lt;0</formula>
    </cfRule>
  </conditionalFormatting>
  <conditionalFormatting sqref="F89:F110">
    <cfRule type="expression" dxfId="1693" priority="11">
      <formula>F89&gt;0</formula>
    </cfRule>
    <cfRule type="expression" dxfId="1692" priority="12">
      <formula>F89&lt;0</formula>
    </cfRule>
  </conditionalFormatting>
  <conditionalFormatting sqref="H89:H110">
    <cfRule type="expression" dxfId="1691" priority="9">
      <formula>H89&gt;0</formula>
    </cfRule>
    <cfRule type="expression" dxfId="1690" priority="10">
      <formula>H89&lt;0</formula>
    </cfRule>
  </conditionalFormatting>
  <conditionalFormatting sqref="Q10">
    <cfRule type="expression" dxfId="1689" priority="7">
      <formula>Q10&gt;0</formula>
    </cfRule>
    <cfRule type="expression" dxfId="1688" priority="8">
      <formula>Q10&lt;0</formula>
    </cfRule>
  </conditionalFormatting>
  <conditionalFormatting sqref="J25:J38">
    <cfRule type="expression" dxfId="1687" priority="5">
      <formula>J25&gt;0</formula>
    </cfRule>
    <cfRule type="expression" dxfId="1686" priority="6">
      <formula>J25&lt;0</formula>
    </cfRule>
  </conditionalFormatting>
  <conditionalFormatting sqref="K25:K38">
    <cfRule type="expression" dxfId="1685" priority="3">
      <formula>K25&gt;0</formula>
    </cfRule>
    <cfRule type="expression" dxfId="1684" priority="4">
      <formula>K25&lt;0</formula>
    </cfRule>
  </conditionalFormatting>
  <conditionalFormatting sqref="L25:L38">
    <cfRule type="expression" dxfId="1683" priority="1">
      <formula>L25&gt;0</formula>
    </cfRule>
    <cfRule type="expression" dxfId="168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250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64.13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64.13</v>
      </c>
      <c r="R4" s="487">
        <v>2.6200000000000001E-2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/>
      <c r="K24" s="224" t="s">
        <v>150</v>
      </c>
      <c r="L24" s="224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6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6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6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6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>
        <v>42983</v>
      </c>
      <c r="C29" s="232">
        <v>40</v>
      </c>
      <c r="D29" s="233">
        <v>45.02</v>
      </c>
      <c r="E29" s="233">
        <v>46.17</v>
      </c>
      <c r="F29" s="39">
        <f>(E29-D29)*C29</f>
        <v>45.999999999999943</v>
      </c>
      <c r="G29" s="39">
        <f>D29*C29</f>
        <v>1800.8000000000002</v>
      </c>
      <c r="H29" s="226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>
        <v>43007</v>
      </c>
      <c r="C30" s="10">
        <v>0</v>
      </c>
      <c r="D30" s="39"/>
      <c r="E30" s="39"/>
      <c r="F30" s="39">
        <v>130.36000000000001</v>
      </c>
      <c r="G30" s="39"/>
      <c r="H30" s="226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70.543000000000006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0">O42*$Q$4</f>
        <v>69.901700000000005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69.260400000000004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68.619100000000003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67.977800000000002</v>
      </c>
      <c r="Q45" s="2"/>
      <c r="T45" s="91" t="s">
        <v>99</v>
      </c>
      <c r="U45" s="127" t="s">
        <v>615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67.336500000000001</v>
      </c>
      <c r="Q46" s="2"/>
      <c r="T46" s="91" t="s">
        <v>100</v>
      </c>
      <c r="U46" s="127" t="s">
        <v>616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66.6952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8" t="s">
        <v>250</v>
      </c>
      <c r="B48" s="259">
        <v>42577</v>
      </c>
      <c r="C48" s="254">
        <v>30</v>
      </c>
      <c r="D48" s="255">
        <v>52</v>
      </c>
      <c r="E48" s="255">
        <v>0</v>
      </c>
      <c r="F48" s="255">
        <f>D48*C48+E48</f>
        <v>1560</v>
      </c>
      <c r="G48" s="259">
        <v>42580</v>
      </c>
      <c r="H48" s="260">
        <v>30</v>
      </c>
      <c r="I48" s="255">
        <v>50.75</v>
      </c>
      <c r="J48" s="255">
        <v>0.03</v>
      </c>
      <c r="K48" s="255">
        <f>H48*I48-J48</f>
        <v>1522.47</v>
      </c>
      <c r="L48" s="259"/>
      <c r="M48" s="254"/>
      <c r="O48" s="81">
        <v>1.03</v>
      </c>
      <c r="P48" s="81">
        <f t="shared" si="0"/>
        <v>66.053899999999999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61" t="s">
        <v>71</v>
      </c>
      <c r="B49" s="259">
        <v>42578</v>
      </c>
      <c r="C49" s="254">
        <v>20</v>
      </c>
      <c r="D49" s="255">
        <v>48.52</v>
      </c>
      <c r="E49" s="255">
        <v>0</v>
      </c>
      <c r="F49" s="255">
        <f>D49*C49+E49</f>
        <v>970.40000000000009</v>
      </c>
      <c r="G49" s="259">
        <v>42611</v>
      </c>
      <c r="H49" s="260">
        <v>20</v>
      </c>
      <c r="I49" s="255">
        <v>55.03</v>
      </c>
      <c r="J49" s="255">
        <v>0.02</v>
      </c>
      <c r="K49" s="255">
        <f>H49*I49-J49</f>
        <v>1100.58</v>
      </c>
      <c r="L49" s="254"/>
      <c r="M49" s="254"/>
      <c r="O49" s="81">
        <v>1.02</v>
      </c>
      <c r="P49" s="81">
        <f t="shared" si="0"/>
        <v>65.412599999999998</v>
      </c>
      <c r="Q49" s="2"/>
      <c r="T49" s="91" t="s">
        <v>121</v>
      </c>
      <c r="U49" s="127" t="s">
        <v>399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4"/>
      <c r="B50" s="445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45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4"/>
      <c r="M50" s="254"/>
      <c r="O50" s="81">
        <v>1.01</v>
      </c>
      <c r="P50" s="81">
        <f t="shared" si="0"/>
        <v>64.771299999999997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64.13</v>
      </c>
      <c r="Q51" s="2"/>
      <c r="T51" s="91" t="s">
        <v>104</v>
      </c>
      <c r="U51" s="127" t="s">
        <v>617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4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4"/>
      <c r="O52" s="81">
        <v>0.99</v>
      </c>
      <c r="P52" s="81">
        <f t="shared" si="0"/>
        <v>63.488699999999994</v>
      </c>
      <c r="Q52" s="2"/>
      <c r="T52" s="91" t="s">
        <v>105</v>
      </c>
      <c r="U52" s="127" t="s">
        <v>430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62.847399999999993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62.206099999999992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61.564799999999991</v>
      </c>
      <c r="T55" s="91" t="s">
        <v>107</v>
      </c>
      <c r="U55" s="127" t="s">
        <v>618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60.92349999999999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60.282199999999989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59.640900000000002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58.999600000000001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58.3583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57.716999999999999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50" t="s">
        <v>194</v>
      </c>
      <c r="B65" s="451"/>
      <c r="C65" s="452">
        <f>SumByColor($A$19,C48:C63)</f>
        <v>60</v>
      </c>
      <c r="D65" s="452"/>
      <c r="E65" s="452"/>
      <c r="F65" s="453">
        <f>SumByColor($A$19,F48:F63)</f>
        <v>2724</v>
      </c>
      <c r="G65" s="452"/>
      <c r="H65" s="452">
        <f>SumByColor($A$19,H48:H63)</f>
        <v>60</v>
      </c>
      <c r="I65" s="452"/>
      <c r="J65" s="452"/>
      <c r="K65" s="453">
        <f>SumByColor($A$19,K48:K63)</f>
        <v>2831</v>
      </c>
      <c r="L65" s="452"/>
      <c r="M65" s="453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70">
        <v>42577</v>
      </c>
      <c r="C70" s="371">
        <v>30</v>
      </c>
      <c r="D70" s="372">
        <v>52</v>
      </c>
      <c r="E70" s="372">
        <v>58.09</v>
      </c>
      <c r="F70" s="372">
        <f t="shared" ref="F70:F78" si="1">C70*(E70-D70)</f>
        <v>182.7000000000001</v>
      </c>
      <c r="G70" s="372">
        <f t="shared" ref="G70:G78" si="2">D70*C70</f>
        <v>1560</v>
      </c>
      <c r="H70" s="373">
        <f t="shared" ref="H70:H78" si="3">(E70-D70)/D70</f>
        <v>0.11711538461538468</v>
      </c>
      <c r="I70" s="372" t="s">
        <v>251</v>
      </c>
    </row>
    <row r="71" spans="1:31" x14ac:dyDescent="0.25">
      <c r="B71" s="370">
        <v>42578</v>
      </c>
      <c r="C71" s="371">
        <v>50</v>
      </c>
      <c r="D71" s="372">
        <v>50.607999999999997</v>
      </c>
      <c r="E71" s="372">
        <v>50.51</v>
      </c>
      <c r="F71" s="372">
        <f t="shared" si="1"/>
        <v>-4.8999999999999488</v>
      </c>
      <c r="G71" s="372">
        <f t="shared" si="2"/>
        <v>2530.3999999999996</v>
      </c>
      <c r="H71" s="373">
        <f t="shared" si="3"/>
        <v>-1.9364527347454747E-3</v>
      </c>
      <c r="I71" s="372"/>
    </row>
    <row r="72" spans="1:31" x14ac:dyDescent="0.25">
      <c r="B72" s="370">
        <v>42580</v>
      </c>
      <c r="C72" s="371">
        <v>20</v>
      </c>
      <c r="D72" s="372">
        <v>50.396500000000003</v>
      </c>
      <c r="E72" s="372">
        <v>50.53</v>
      </c>
      <c r="F72" s="372">
        <f t="shared" si="1"/>
        <v>2.6699999999999591</v>
      </c>
      <c r="G72" s="372">
        <f t="shared" si="2"/>
        <v>1007.9300000000001</v>
      </c>
      <c r="H72" s="373">
        <f t="shared" si="3"/>
        <v>2.6489934816901562E-3</v>
      </c>
      <c r="I72" s="372" t="s">
        <v>254</v>
      </c>
    </row>
    <row r="73" spans="1:31" x14ac:dyDescent="0.25">
      <c r="B73" s="370">
        <v>42585</v>
      </c>
      <c r="C73" s="371">
        <v>20</v>
      </c>
      <c r="D73" s="372">
        <v>50.396500000000003</v>
      </c>
      <c r="E73" s="372">
        <v>49.96</v>
      </c>
      <c r="F73" s="372">
        <f t="shared" si="1"/>
        <v>-8.7300000000000466</v>
      </c>
      <c r="G73" s="372">
        <f t="shared" si="2"/>
        <v>1007.9300000000001</v>
      </c>
      <c r="H73" s="373">
        <f t="shared" si="3"/>
        <v>-8.6613157659758567E-3</v>
      </c>
      <c r="I73" s="372"/>
    </row>
    <row r="74" spans="1:31" x14ac:dyDescent="0.25">
      <c r="B74" s="370">
        <v>42593</v>
      </c>
      <c r="C74" s="371">
        <v>20</v>
      </c>
      <c r="D74" s="372">
        <v>50.396500000000003</v>
      </c>
      <c r="E74" s="372">
        <v>52.02</v>
      </c>
      <c r="F74" s="372">
        <f t="shared" si="1"/>
        <v>32.47</v>
      </c>
      <c r="G74" s="372">
        <f t="shared" si="2"/>
        <v>1007.9300000000001</v>
      </c>
      <c r="H74" s="373">
        <f t="shared" si="3"/>
        <v>3.22145387080452E-2</v>
      </c>
      <c r="I74" s="372"/>
    </row>
    <row r="75" spans="1:31" x14ac:dyDescent="0.25">
      <c r="B75" s="370">
        <v>42601</v>
      </c>
      <c r="C75" s="371">
        <v>20</v>
      </c>
      <c r="D75" s="372">
        <v>50.396500000000003</v>
      </c>
      <c r="E75" s="372">
        <v>52.95</v>
      </c>
      <c r="F75" s="372">
        <f t="shared" si="1"/>
        <v>51.069999999999993</v>
      </c>
      <c r="G75" s="372">
        <f t="shared" si="2"/>
        <v>1007.9300000000001</v>
      </c>
      <c r="H75" s="373">
        <f t="shared" si="3"/>
        <v>5.0668201164763414E-2</v>
      </c>
      <c r="I75" s="372"/>
    </row>
    <row r="76" spans="1:31" x14ac:dyDescent="0.25">
      <c r="B76" s="370">
        <v>42605</v>
      </c>
      <c r="C76" s="371">
        <v>20</v>
      </c>
      <c r="D76" s="372">
        <v>50.396500000000003</v>
      </c>
      <c r="E76" s="372">
        <v>53.6</v>
      </c>
      <c r="F76" s="372">
        <f t="shared" si="1"/>
        <v>64.069999999999965</v>
      </c>
      <c r="G76" s="372">
        <f t="shared" si="2"/>
        <v>1007.9300000000001</v>
      </c>
      <c r="H76" s="373">
        <f t="shared" si="3"/>
        <v>6.3565922236663228E-2</v>
      </c>
      <c r="I76" s="372"/>
    </row>
    <row r="77" spans="1:31" x14ac:dyDescent="0.25">
      <c r="B77" s="370">
        <v>42606</v>
      </c>
      <c r="C77" s="371">
        <v>20</v>
      </c>
      <c r="D77" s="372">
        <v>50.396500000000003</v>
      </c>
      <c r="E77" s="372">
        <v>53.98</v>
      </c>
      <c r="F77" s="372">
        <f t="shared" si="1"/>
        <v>71.669999999999874</v>
      </c>
      <c r="G77" s="372">
        <f t="shared" si="2"/>
        <v>1007.9300000000001</v>
      </c>
      <c r="H77" s="373">
        <f t="shared" si="3"/>
        <v>7.1106128401773799E-2</v>
      </c>
      <c r="I77" s="372"/>
    </row>
    <row r="78" spans="1:31" x14ac:dyDescent="0.25">
      <c r="B78" s="370">
        <v>42609</v>
      </c>
      <c r="C78" s="371">
        <v>20</v>
      </c>
      <c r="D78" s="372">
        <v>50.396500000000003</v>
      </c>
      <c r="E78" s="372">
        <v>55.31</v>
      </c>
      <c r="F78" s="372">
        <f t="shared" si="1"/>
        <v>98.269999999999982</v>
      </c>
      <c r="G78" s="372">
        <f t="shared" si="2"/>
        <v>1007.9300000000001</v>
      </c>
      <c r="H78" s="373">
        <f t="shared" si="3"/>
        <v>9.7496849979661265E-2</v>
      </c>
      <c r="I78" s="454"/>
    </row>
    <row r="79" spans="1:31" x14ac:dyDescent="0.25">
      <c r="B79" s="370">
        <v>42611</v>
      </c>
      <c r="C79" s="371">
        <v>0</v>
      </c>
      <c r="D79" s="372"/>
      <c r="E79" s="372"/>
      <c r="F79" s="372">
        <v>92.65</v>
      </c>
      <c r="G79" s="372"/>
      <c r="H79" s="373"/>
      <c r="I79" s="372"/>
    </row>
    <row r="80" spans="1:31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681" priority="23">
      <formula>F34&gt;0</formula>
    </cfRule>
    <cfRule type="expression" dxfId="1680" priority="24">
      <formula>F34&lt;0</formula>
    </cfRule>
  </conditionalFormatting>
  <conditionalFormatting sqref="Q7">
    <cfRule type="expression" dxfId="1679" priority="21">
      <formula>Q7&gt;0</formula>
    </cfRule>
    <cfRule type="expression" dxfId="1678" priority="22">
      <formula>Q7&lt;0</formula>
    </cfRule>
  </conditionalFormatting>
  <conditionalFormatting sqref="Q8">
    <cfRule type="expression" dxfId="1677" priority="19">
      <formula>Q8&gt;0</formula>
    </cfRule>
    <cfRule type="expression" dxfId="1676" priority="20">
      <formula>Q8&lt;0</formula>
    </cfRule>
  </conditionalFormatting>
  <conditionalFormatting sqref="F25:F33">
    <cfRule type="expression" dxfId="1675" priority="17">
      <formula>F25&gt;0</formula>
    </cfRule>
    <cfRule type="expression" dxfId="1674" priority="18">
      <formula>F25&lt;0</formula>
    </cfRule>
  </conditionalFormatting>
  <conditionalFormatting sqref="H25:H33">
    <cfRule type="expression" dxfId="1673" priority="15">
      <formula>H25&gt;0</formula>
    </cfRule>
    <cfRule type="expression" dxfId="1672" priority="16">
      <formula>H25&lt;0</formula>
    </cfRule>
  </conditionalFormatting>
  <conditionalFormatting sqref="M46">
    <cfRule type="expression" dxfId="1671" priority="13">
      <formula>M46&gt;0</formula>
    </cfRule>
    <cfRule type="expression" dxfId="1670" priority="14">
      <formula>M46&lt;0</formula>
    </cfRule>
  </conditionalFormatting>
  <conditionalFormatting sqref="F79:F87 H79:H87">
    <cfRule type="expression" dxfId="1669" priority="11">
      <formula>F79&gt;0</formula>
    </cfRule>
    <cfRule type="expression" dxfId="1668" priority="12">
      <formula>F79&lt;0</formula>
    </cfRule>
  </conditionalFormatting>
  <conditionalFormatting sqref="F70:F78">
    <cfRule type="expression" dxfId="1667" priority="9">
      <formula>F70&gt;0</formula>
    </cfRule>
    <cfRule type="expression" dxfId="1666" priority="10">
      <formula>F70&lt;0</formula>
    </cfRule>
  </conditionalFormatting>
  <conditionalFormatting sqref="H70:H78">
    <cfRule type="expression" dxfId="1665" priority="7">
      <formula>H70&gt;0</formula>
    </cfRule>
    <cfRule type="expression" dxfId="1664" priority="8">
      <formula>H70&lt;0</formula>
    </cfRule>
  </conditionalFormatting>
  <conditionalFormatting sqref="J27:K27 J30:K30 J33:K33 J36:K36 J39:K39 J42:K42">
    <cfRule type="expression" dxfId="1663" priority="5">
      <formula>J27&gt;0</formula>
    </cfRule>
    <cfRule type="expression" dxfId="1662" priority="6">
      <formula>J27&lt;0</formula>
    </cfRule>
  </conditionalFormatting>
  <conditionalFormatting sqref="J28:K29 J31:K32 J34:K35 J37:K38 J40:K41">
    <cfRule type="expression" dxfId="1661" priority="3">
      <formula>J28&gt;0</formula>
    </cfRule>
    <cfRule type="expression" dxfId="1660" priority="4">
      <formula>J28&lt;0</formula>
    </cfRule>
  </conditionalFormatting>
  <conditionalFormatting sqref="L27:L42">
    <cfRule type="expression" dxfId="1659" priority="1">
      <formula>L27&gt;0</formula>
    </cfRule>
    <cfRule type="expression" dxfId="165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E1" s="11" t="s">
        <v>127</v>
      </c>
    </row>
    <row r="2" spans="1:31" x14ac:dyDescent="0.25">
      <c r="A2" s="6" t="s">
        <v>717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24.66</v>
      </c>
      <c r="T3" s="1"/>
      <c r="W3" s="130"/>
      <c r="X3" s="10"/>
      <c r="Y3" s="10"/>
      <c r="Z3" s="10"/>
      <c r="AA3" s="10"/>
      <c r="AB3" s="93"/>
      <c r="AC3" s="10"/>
      <c r="AD3" s="2"/>
      <c r="AE3" s="134" t="e">
        <f t="shared" ref="AE3:AE66" si="0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24.66</v>
      </c>
      <c r="R4" s="487">
        <v>8.6E-3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 t="e">
        <f t="shared" si="0"/>
        <v>#DIV/0!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 t="e">
        <f t="shared" si="0"/>
        <v>#DIV/0!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 t="e">
        <f t="shared" si="0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 t="e">
        <f t="shared" si="0"/>
        <v>#DIV/0!</v>
      </c>
    </row>
    <row r="10" spans="1:31" x14ac:dyDescent="0.25">
      <c r="H10" s="70"/>
      <c r="O10" s="11" t="s">
        <v>209</v>
      </c>
      <c r="P10" s="33"/>
      <c r="Q10" s="2">
        <f>M73</f>
        <v>309.26000000000022</v>
      </c>
      <c r="W10" s="130"/>
      <c r="X10" s="10"/>
      <c r="Y10" s="10"/>
      <c r="Z10" s="10"/>
      <c r="AA10" s="10"/>
      <c r="AB10" s="93"/>
      <c r="AC10" s="10"/>
      <c r="AD10" s="2"/>
      <c r="AE10" s="134" t="e">
        <f t="shared" si="0"/>
        <v>#DIV/0!</v>
      </c>
    </row>
    <row r="11" spans="1:31" x14ac:dyDescent="0.25">
      <c r="H11" s="70"/>
      <c r="O11" s="11" t="s">
        <v>176</v>
      </c>
      <c r="P11" s="33"/>
      <c r="Q11" s="134">
        <v>8.8000000000000005E-3</v>
      </c>
      <c r="W11" s="130"/>
      <c r="X11" s="10"/>
      <c r="Y11" s="10"/>
      <c r="Z11" s="10"/>
      <c r="AA11" s="10"/>
      <c r="AB11" s="93"/>
      <c r="AC11" s="10"/>
      <c r="AD11" s="2"/>
      <c r="AE11" s="134" t="e">
        <f t="shared" si="0"/>
        <v>#DIV/0!</v>
      </c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 t="e">
        <f t="shared" si="0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 t="e">
        <f t="shared" si="0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 t="e">
        <f t="shared" si="0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 t="e">
        <f t="shared" si="0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 t="e">
        <f t="shared" si="0"/>
        <v>#DIV/0!</v>
      </c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 t="e">
        <f t="shared" si="0"/>
        <v>#DIV/0!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 t="e">
        <f t="shared" si="0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 t="e">
        <f t="shared" si="0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 t="e">
        <f t="shared" si="0"/>
        <v>#DIV/0!</v>
      </c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 t="e">
        <f t="shared" si="0"/>
        <v>#DIV/0!</v>
      </c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 t="e">
        <f t="shared" si="0"/>
        <v>#DIV/0!</v>
      </c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 t="e">
        <f t="shared" si="0"/>
        <v>#DIV/0!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/>
      <c r="X24" s="10"/>
      <c r="Y24" s="10"/>
      <c r="Z24" s="10"/>
      <c r="AA24" s="10"/>
      <c r="AB24" s="93"/>
      <c r="AC24" s="10"/>
      <c r="AD24" s="2"/>
      <c r="AE24" s="134" t="e">
        <f t="shared" si="0"/>
        <v>#DIV/0!</v>
      </c>
    </row>
    <row r="25" spans="1:31" x14ac:dyDescent="0.25">
      <c r="B25" s="188">
        <v>42843</v>
      </c>
      <c r="C25" s="10">
        <v>100</v>
      </c>
      <c r="D25" s="39">
        <v>24.68</v>
      </c>
      <c r="E25" s="39">
        <v>25.8</v>
      </c>
      <c r="F25" s="39">
        <f t="shared" ref="F25" si="1">C25*(E25-D25)</f>
        <v>112.0000000000001</v>
      </c>
      <c r="G25" s="39">
        <f t="shared" ref="G25" si="2">D25*C25</f>
        <v>2468</v>
      </c>
      <c r="H25" s="226">
        <f t="shared" ref="H25" si="3">(E25-D25)/D25</f>
        <v>4.5380875202593235E-2</v>
      </c>
      <c r="I25" s="39"/>
      <c r="W25" s="130"/>
      <c r="X25" s="10"/>
      <c r="Y25" s="10"/>
      <c r="Z25" s="10"/>
      <c r="AA25" s="10"/>
      <c r="AB25" s="93"/>
      <c r="AC25" s="10"/>
      <c r="AD25" s="2"/>
      <c r="AE25" s="134" t="e">
        <f t="shared" si="0"/>
        <v>#DIV/0!</v>
      </c>
    </row>
    <row r="26" spans="1:31" x14ac:dyDescent="0.25">
      <c r="B26" s="188">
        <v>42874</v>
      </c>
      <c r="C26" s="10"/>
      <c r="D26" s="39"/>
      <c r="E26" s="39"/>
      <c r="F26" s="39">
        <v>303.26</v>
      </c>
      <c r="G26" s="39"/>
      <c r="H26" s="226"/>
      <c r="I26" s="39"/>
      <c r="W26" s="130"/>
      <c r="X26" s="10"/>
      <c r="Y26" s="10"/>
      <c r="Z26" s="10"/>
      <c r="AA26" s="10"/>
      <c r="AB26" s="93"/>
      <c r="AC26" s="10"/>
      <c r="AD26" s="2"/>
      <c r="AE26" s="134" t="e">
        <f t="shared" si="0"/>
        <v>#DIV/0!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/>
      <c r="X27" s="10"/>
      <c r="Y27" s="10"/>
      <c r="Z27" s="10"/>
      <c r="AA27" s="10"/>
      <c r="AB27" s="93"/>
      <c r="AC27" s="10"/>
      <c r="AD27" s="2"/>
      <c r="AE27" s="134" t="e">
        <f t="shared" si="0"/>
        <v>#DIV/0!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/>
      <c r="X28" s="10"/>
      <c r="Y28" s="10"/>
      <c r="Z28" s="10"/>
      <c r="AA28" s="10"/>
      <c r="AB28" s="93"/>
      <c r="AC28" s="10"/>
      <c r="AD28" s="2"/>
      <c r="AE28" s="134" t="e">
        <f t="shared" si="0"/>
        <v>#DIV/0!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/>
      <c r="X29" s="10"/>
      <c r="Y29" s="10"/>
      <c r="Z29" s="10"/>
      <c r="AA29" s="10"/>
      <c r="AB29" s="93"/>
      <c r="AC29" s="10"/>
      <c r="AD29" s="2"/>
      <c r="AE29" s="134" t="e">
        <f t="shared" si="0"/>
        <v>#DIV/0!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/>
      <c r="X30" s="10"/>
      <c r="Y30" s="10"/>
      <c r="Z30" s="10"/>
      <c r="AA30" s="10"/>
      <c r="AB30" s="93"/>
      <c r="AC30" s="10"/>
      <c r="AD30" s="2"/>
      <c r="AE30" s="134" t="e">
        <f t="shared" si="0"/>
        <v>#DIV/0!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/>
      <c r="X31" s="10"/>
      <c r="Y31" s="10"/>
      <c r="Z31" s="10"/>
      <c r="AA31" s="10"/>
      <c r="AB31" s="93"/>
      <c r="AC31" s="10"/>
      <c r="AD31" s="2"/>
      <c r="AE31" s="134" t="e">
        <f t="shared" si="0"/>
        <v>#DIV/0!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/>
      <c r="X32" s="10"/>
      <c r="Y32" s="10"/>
      <c r="Z32" s="10"/>
      <c r="AA32" s="10"/>
      <c r="AB32" s="93"/>
      <c r="AC32" s="10"/>
      <c r="AD32" s="2"/>
      <c r="AE32" s="134" t="e">
        <f t="shared" si="0"/>
        <v>#DIV/0!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/>
      <c r="X33" s="10"/>
      <c r="Y33" s="10"/>
      <c r="Z33" s="10"/>
      <c r="AA33" s="10"/>
      <c r="AB33" s="93"/>
      <c r="AC33" s="10"/>
      <c r="AD33" s="2"/>
      <c r="AE33" s="134" t="e">
        <f t="shared" si="0"/>
        <v>#DIV/0!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/>
      <c r="X34" s="10"/>
      <c r="Y34" s="10"/>
      <c r="Z34" s="10"/>
      <c r="AA34" s="10"/>
      <c r="AB34" s="93"/>
      <c r="AC34" s="10"/>
      <c r="AD34" s="2"/>
      <c r="AE34" s="134" t="e">
        <f t="shared" si="0"/>
        <v>#DIV/0!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/>
      <c r="X35" s="10"/>
      <c r="Y35" s="10"/>
      <c r="Z35" s="10"/>
      <c r="AA35" s="10"/>
      <c r="AB35" s="93"/>
      <c r="AC35" s="10"/>
      <c r="AD35" s="2"/>
      <c r="AE35" s="134" t="e">
        <f t="shared" si="0"/>
        <v>#DIV/0!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/>
      <c r="X36" s="10"/>
      <c r="Y36" s="10"/>
      <c r="Z36" s="10"/>
      <c r="AA36" s="10"/>
      <c r="AB36" s="93"/>
      <c r="AC36" s="10"/>
      <c r="AD36" s="2"/>
      <c r="AE36" s="134" t="e">
        <f t="shared" si="0"/>
        <v>#DIV/0!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/>
      <c r="X37" s="10"/>
      <c r="Y37" s="10"/>
      <c r="Z37" s="10"/>
      <c r="AA37" s="10"/>
      <c r="AB37" s="93"/>
      <c r="AC37" s="10"/>
      <c r="AD37" s="2"/>
      <c r="AE37" s="134" t="e">
        <f t="shared" si="0"/>
        <v>#DIV/0!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/>
      <c r="X38" s="10"/>
      <c r="Y38" s="10"/>
      <c r="Z38" s="10"/>
      <c r="AA38" s="10"/>
      <c r="AB38" s="93"/>
      <c r="AC38" s="10"/>
      <c r="AD38" s="2"/>
      <c r="AE38" s="134" t="e">
        <f t="shared" si="0"/>
        <v>#DIV/0!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/>
      <c r="X39" s="10"/>
      <c r="Y39" s="10"/>
      <c r="Z39" s="10"/>
      <c r="AA39" s="10"/>
      <c r="AB39" s="93"/>
      <c r="AC39" s="10"/>
      <c r="AD39" s="2"/>
      <c r="AE39" s="134" t="e">
        <f t="shared" si="0"/>
        <v>#DIV/0!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4" t="s">
        <v>78</v>
      </c>
      <c r="P40" s="804"/>
      <c r="W40" s="130"/>
      <c r="X40" s="10"/>
      <c r="Y40" s="10"/>
      <c r="Z40" s="10"/>
      <c r="AA40" s="10"/>
      <c r="AB40" s="93"/>
      <c r="AC40" s="10"/>
      <c r="AD40" s="2"/>
      <c r="AE40" s="134" t="e">
        <f t="shared" si="0"/>
        <v>#DIV/0!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27.126000000000001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 t="e">
        <f t="shared" si="0"/>
        <v>#DIV/0!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4">O42*$Q$4</f>
        <v>26.8794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 t="e">
        <f t="shared" si="0"/>
        <v>#DIV/0!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4"/>
        <v>26.632800000000003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 t="e">
        <f t="shared" si="0"/>
        <v>#DIV/0!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4"/>
        <v>26.386200000000002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 t="e">
        <f t="shared" si="0"/>
        <v>#DIV/0!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4"/>
        <v>26.139600000000002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 t="e">
        <f t="shared" si="0"/>
        <v>#DIV/0!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4"/>
        <v>25.893000000000001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 t="e">
        <f t="shared" si="0"/>
        <v>#DIV/0!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4"/>
        <v>25.6464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 t="e">
        <f t="shared" si="0"/>
        <v>#DIV/0!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4"/>
        <v>25.399799999999999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 t="e">
        <f t="shared" si="0"/>
        <v>#DIV/0!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4"/>
        <v>25.153200000000002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 t="e">
        <f t="shared" si="0"/>
        <v>#DIV/0!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4"/>
        <v>24.906600000000001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 t="e">
        <f t="shared" si="0"/>
        <v>#DIV/0!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4"/>
        <v>24.66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 t="e">
        <f t="shared" si="0"/>
        <v>#DIV/0!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4"/>
        <v>24.413399999999999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 t="e">
        <f t="shared" si="0"/>
        <v>#DIV/0!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4"/>
        <v>24.166799999999999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 t="e">
        <f t="shared" si="0"/>
        <v>#DIV/0!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4"/>
        <v>23.920200000000001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4"/>
        <v>23.6736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 t="e">
        <f t="shared" si="0"/>
        <v>#DIV/0!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4"/>
        <v>23.427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 t="e">
        <f t="shared" si="0"/>
        <v>#DIV/0!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23.180399999999999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 t="e">
        <f t="shared" si="0"/>
        <v>#DIV/0!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22.933800000000002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 t="e">
        <f t="shared" si="0"/>
        <v>#DIV/0!</v>
      </c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22.687200000000001</v>
      </c>
      <c r="W59" s="130"/>
      <c r="X59" s="10"/>
      <c r="Y59" s="10"/>
      <c r="Z59" s="10"/>
      <c r="AA59" s="10"/>
      <c r="AB59" s="93"/>
      <c r="AC59" s="10"/>
      <c r="AD59" s="2"/>
      <c r="AE59" s="134" t="e">
        <f t="shared" si="0"/>
        <v>#DIV/0!</v>
      </c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22.4406</v>
      </c>
      <c r="W60" s="130"/>
      <c r="X60" s="10"/>
      <c r="Y60" s="10"/>
      <c r="Z60" s="10"/>
      <c r="AA60" s="10"/>
      <c r="AB60" s="93"/>
      <c r="AC60" s="10"/>
      <c r="AD60" s="2"/>
      <c r="AE60" s="134" t="e">
        <f t="shared" si="0"/>
        <v>#DIV/0!</v>
      </c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22.193999999999999</v>
      </c>
      <c r="W61" s="130"/>
      <c r="X61" s="10"/>
      <c r="Y61" s="10"/>
      <c r="Z61" s="10"/>
      <c r="AA61" s="10"/>
      <c r="AB61" s="93"/>
      <c r="AC61" s="10"/>
      <c r="AD61" s="2"/>
      <c r="AE61" s="134" t="e">
        <f t="shared" si="0"/>
        <v>#DIV/0!</v>
      </c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 t="e">
        <f t="shared" si="0"/>
        <v>#DIV/0!</v>
      </c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0"/>
      <c r="X66" s="10"/>
      <c r="Y66" s="10"/>
      <c r="Z66" s="10"/>
      <c r="AA66" s="10"/>
      <c r="AB66" s="93"/>
      <c r="AC66" s="10"/>
      <c r="AD66" s="2"/>
      <c r="AE66" s="134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0"/>
      <c r="X67" s="10"/>
      <c r="Y67" s="10"/>
      <c r="Z67" s="10"/>
      <c r="AA67" s="10"/>
      <c r="AB67" s="93"/>
      <c r="AC67" s="10"/>
      <c r="AD67" s="2"/>
      <c r="AE67" s="134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0"/>
      <c r="X68" s="10"/>
      <c r="Y68" s="10"/>
      <c r="Z68" s="10"/>
      <c r="AA68" s="10"/>
      <c r="AB68" s="93"/>
      <c r="AC68" s="10"/>
      <c r="AD68" s="2"/>
      <c r="AE68" s="134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0"/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31" x14ac:dyDescent="0.25">
      <c r="L73" t="s">
        <v>65</v>
      </c>
      <c r="M73" s="2">
        <f>K91+M91-F91</f>
        <v>309.26000000000022</v>
      </c>
    </row>
    <row r="74" spans="1:31" x14ac:dyDescent="0.25">
      <c r="A74" s="377" t="s">
        <v>1</v>
      </c>
      <c r="B74" s="377" t="s">
        <v>2</v>
      </c>
      <c r="C74" s="377" t="s">
        <v>4</v>
      </c>
      <c r="D74" s="379" t="s">
        <v>5</v>
      </c>
      <c r="E74" s="379" t="s">
        <v>94</v>
      </c>
      <c r="F74" s="379" t="s">
        <v>60</v>
      </c>
      <c r="G74" s="377" t="s">
        <v>3</v>
      </c>
      <c r="H74" s="377" t="s">
        <v>6</v>
      </c>
      <c r="I74" s="379" t="s">
        <v>7</v>
      </c>
      <c r="J74" s="379" t="s">
        <v>95</v>
      </c>
      <c r="K74" s="379" t="s">
        <v>61</v>
      </c>
      <c r="L74" s="377" t="s">
        <v>37</v>
      </c>
      <c r="M74" s="377" t="s">
        <v>38</v>
      </c>
    </row>
    <row r="75" spans="1:31" x14ac:dyDescent="0.25">
      <c r="A75" s="380" t="s">
        <v>717</v>
      </c>
      <c r="B75" s="370">
        <v>42843</v>
      </c>
      <c r="C75" s="371">
        <v>100</v>
      </c>
      <c r="D75" s="372">
        <v>24.68</v>
      </c>
      <c r="E75" s="372">
        <v>0</v>
      </c>
      <c r="F75" s="372">
        <f>C75*D75+E75</f>
        <v>2468</v>
      </c>
      <c r="G75" s="370">
        <v>42874</v>
      </c>
      <c r="H75" s="372">
        <v>100</v>
      </c>
      <c r="I75" s="372">
        <v>27.71</v>
      </c>
      <c r="J75" s="372">
        <v>-0.26</v>
      </c>
      <c r="K75" s="372">
        <f>H75*I75-J75</f>
        <v>2771.26</v>
      </c>
      <c r="L75" s="370">
        <v>42880</v>
      </c>
      <c r="M75" s="372">
        <v>6</v>
      </c>
    </row>
    <row r="76" spans="1:31" x14ac:dyDescent="0.25">
      <c r="A76" s="381" t="s">
        <v>71</v>
      </c>
      <c r="B76" s="370"/>
      <c r="C76" s="371"/>
      <c r="D76" s="372"/>
      <c r="E76" s="372"/>
      <c r="F76" s="372"/>
      <c r="G76" s="370"/>
      <c r="H76" s="375"/>
      <c r="I76" s="372"/>
      <c r="J76" s="372"/>
      <c r="K76" s="372"/>
      <c r="L76" s="370"/>
      <c r="M76" s="372"/>
    </row>
    <row r="77" spans="1:31" x14ac:dyDescent="0.25">
      <c r="A77" s="371"/>
      <c r="B77" s="370"/>
      <c r="C77" s="371"/>
      <c r="D77" s="372"/>
      <c r="E77" s="372"/>
      <c r="F77" s="372"/>
      <c r="G77" s="370"/>
      <c r="H77" s="375"/>
      <c r="I77" s="372"/>
      <c r="J77" s="372"/>
      <c r="K77" s="372"/>
      <c r="L77" s="371"/>
      <c r="M77" s="371"/>
    </row>
    <row r="78" spans="1:31" x14ac:dyDescent="0.25">
      <c r="A78" s="371"/>
      <c r="B78" s="370"/>
      <c r="C78" s="371"/>
      <c r="D78" s="372"/>
      <c r="E78" s="372"/>
      <c r="F78" s="372"/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/>
      <c r="C79" s="371"/>
      <c r="D79" s="372"/>
      <c r="E79" s="372"/>
      <c r="F79" s="372"/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370"/>
      <c r="C80" s="371"/>
      <c r="D80" s="372"/>
      <c r="E80" s="372"/>
      <c r="F80" s="372"/>
      <c r="G80" s="371"/>
      <c r="H80" s="375"/>
      <c r="I80" s="372"/>
      <c r="J80" s="372"/>
      <c r="K80" s="372"/>
      <c r="L80" s="371"/>
      <c r="M80" s="371"/>
    </row>
    <row r="81" spans="1:13" x14ac:dyDescent="0.25">
      <c r="A81" s="371"/>
      <c r="B81" s="371"/>
      <c r="C81" s="371"/>
      <c r="D81" s="372"/>
      <c r="E81" s="372"/>
      <c r="F81" s="372"/>
      <c r="G81" s="371"/>
      <c r="H81" s="375"/>
      <c r="I81" s="372"/>
      <c r="J81" s="372"/>
      <c r="K81" s="372"/>
      <c r="L81" s="371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371"/>
      <c r="B85" s="371"/>
      <c r="C85" s="371"/>
      <c r="D85" s="372"/>
      <c r="E85" s="372"/>
      <c r="F85" s="372"/>
      <c r="G85" s="371"/>
      <c r="H85" s="375"/>
      <c r="I85" s="372"/>
      <c r="J85" s="372"/>
      <c r="K85" s="372"/>
      <c r="L85" s="371"/>
      <c r="M85" s="371"/>
    </row>
    <row r="86" spans="1:13" x14ac:dyDescent="0.25">
      <c r="A86" s="371"/>
      <c r="B86" s="371"/>
      <c r="C86" s="371"/>
      <c r="D86" s="372"/>
      <c r="E86" s="372"/>
      <c r="F86" s="372"/>
      <c r="G86" s="371"/>
      <c r="H86" s="375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5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5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5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657" priority="9">
      <formula>F57&gt;0</formula>
    </cfRule>
    <cfRule type="expression" dxfId="1656" priority="10">
      <formula>F57&lt;0</formula>
    </cfRule>
  </conditionalFormatting>
  <conditionalFormatting sqref="Q7">
    <cfRule type="expression" dxfId="1655" priority="7">
      <formula>Q7&gt;0</formula>
    </cfRule>
    <cfRule type="expression" dxfId="1654" priority="8">
      <formula>Q7&lt;0</formula>
    </cfRule>
  </conditionalFormatting>
  <conditionalFormatting sqref="Q8">
    <cfRule type="expression" dxfId="1653" priority="5">
      <formula>Q8&gt;0</formula>
    </cfRule>
    <cfRule type="expression" dxfId="1652" priority="6">
      <formula>Q8&lt;0</formula>
    </cfRule>
  </conditionalFormatting>
  <conditionalFormatting sqref="F25:F56">
    <cfRule type="expression" dxfId="1651" priority="3">
      <formula>F25&gt;0</formula>
    </cfRule>
    <cfRule type="expression" dxfId="1650" priority="4">
      <formula>F25&lt;0</formula>
    </cfRule>
  </conditionalFormatting>
  <conditionalFormatting sqref="H25:H56">
    <cfRule type="expression" dxfId="1649" priority="1">
      <formula>H25&gt;0</formula>
    </cfRule>
    <cfRule type="expression" dxfId="164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E1" s="11" t="s">
        <v>127</v>
      </c>
    </row>
    <row r="2" spans="1:31" x14ac:dyDescent="0.25">
      <c r="A2" s="6" t="s">
        <v>279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473</v>
      </c>
      <c r="W2" s="130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3">
        <v>13266300</v>
      </c>
      <c r="AC2" s="10">
        <v>77.03</v>
      </c>
      <c r="AD2" s="2"/>
      <c r="AE2" s="134">
        <f>AC2/AC3-1</f>
        <v>-1.0787209451650237E-2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478">
        <f>IF(Q2=0, Q4, (F18-K18-M18)/Q2)</f>
        <v>69.39</v>
      </c>
      <c r="T3" s="1"/>
      <c r="W3" s="130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3">
        <v>5639800</v>
      </c>
      <c r="AC3" s="10">
        <v>77.87</v>
      </c>
      <c r="AD3" s="2"/>
      <c r="AE3" s="134">
        <f t="shared" ref="AE3:AE66" si="0">AC3/AC4-1</f>
        <v>-2.3062139654066449E-3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69.39</v>
      </c>
      <c r="R4" s="487">
        <v>-1.6400000000000001E-2</v>
      </c>
      <c r="T4" s="159"/>
      <c r="U4" s="1"/>
      <c r="W4" s="130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3">
        <v>7329700</v>
      </c>
      <c r="AC4" s="10">
        <v>78.05</v>
      </c>
      <c r="AD4" s="2"/>
      <c r="AE4" s="134">
        <f t="shared" si="0"/>
        <v>-5.7324840764331197E-3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3">
        <v>7964600</v>
      </c>
      <c r="AC5" s="10">
        <v>78.5</v>
      </c>
      <c r="AD5" s="2"/>
      <c r="AE5" s="134">
        <f t="shared" si="0"/>
        <v>-4.4388078630309691E-3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3">
        <v>3824700</v>
      </c>
      <c r="AC6" s="10">
        <v>78.849999999999994</v>
      </c>
      <c r="AD6" s="2"/>
      <c r="AE6" s="134">
        <f t="shared" si="0"/>
        <v>1.1427120365665733E-3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  <c r="W7" s="130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3">
        <v>3080000</v>
      </c>
      <c r="AC7" s="10">
        <v>78.760000000000005</v>
      </c>
      <c r="AD7" s="2"/>
      <c r="AE7" s="134">
        <f t="shared" si="0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3">
        <v>5453000</v>
      </c>
      <c r="AC8" s="10">
        <v>78.61</v>
      </c>
      <c r="AD8" s="2"/>
      <c r="AE8" s="134">
        <f t="shared" si="0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3">
        <v>4980300</v>
      </c>
      <c r="AC9" s="10">
        <v>78.510000000000005</v>
      </c>
      <c r="AD9" s="2"/>
      <c r="AE9" s="134">
        <f t="shared" si="0"/>
        <v>2.5480952987644301E-4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M58</f>
        <v>197.20999999999549</v>
      </c>
      <c r="W10" s="130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3">
        <v>3848700</v>
      </c>
      <c r="AC10" s="10">
        <v>78.489999999999995</v>
      </c>
      <c r="AD10" s="2"/>
      <c r="AE10" s="134">
        <f t="shared" si="0"/>
        <v>2.4265644955299148E-3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  <c r="W11" s="130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3">
        <v>5096700</v>
      </c>
      <c r="AC11" s="10">
        <v>78.3</v>
      </c>
      <c r="AD11" s="2"/>
      <c r="AE11" s="134">
        <f t="shared" si="0"/>
        <v>-2.0392556716798405E-3</v>
      </c>
    </row>
    <row r="12" spans="1:31" x14ac:dyDescent="0.25">
      <c r="H12" s="70"/>
      <c r="W12" s="130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3">
        <v>5612800</v>
      </c>
      <c r="AC12" s="10">
        <v>78.459999999999994</v>
      </c>
      <c r="AD12" s="2"/>
      <c r="AE12" s="134">
        <f t="shared" si="0"/>
        <v>-1.9081541788577017E-3</v>
      </c>
    </row>
    <row r="13" spans="1:31" x14ac:dyDescent="0.25">
      <c r="H13" s="70"/>
      <c r="W13" s="130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3">
        <v>6181100</v>
      </c>
      <c r="AC13" s="10">
        <v>78.61</v>
      </c>
      <c r="AD13" s="2"/>
      <c r="AE13" s="134">
        <f t="shared" si="0"/>
        <v>-2.6642984014209059E-3</v>
      </c>
    </row>
    <row r="14" spans="1:31" x14ac:dyDescent="0.25">
      <c r="H14" s="70"/>
      <c r="W14" s="130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3">
        <v>4983900</v>
      </c>
      <c r="AC14" s="10">
        <v>78.819999999999993</v>
      </c>
      <c r="AD14" s="2"/>
      <c r="AE14" s="134">
        <f t="shared" si="0"/>
        <v>-7.6064908722117686E-4</v>
      </c>
    </row>
    <row r="15" spans="1:31" x14ac:dyDescent="0.25">
      <c r="H15" s="70"/>
      <c r="W15" s="130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3">
        <v>19574500</v>
      </c>
      <c r="AC15" s="10">
        <v>78.88</v>
      </c>
      <c r="AD15" s="2"/>
      <c r="AE15" s="134">
        <f t="shared" si="0"/>
        <v>-8.5470085470086277E-3</v>
      </c>
    </row>
    <row r="16" spans="1:31" x14ac:dyDescent="0.25">
      <c r="H16" s="70"/>
      <c r="W16" s="130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3">
        <v>6225600</v>
      </c>
      <c r="AC16" s="10">
        <v>79.56</v>
      </c>
      <c r="AD16" s="2"/>
      <c r="AE16" s="134">
        <f t="shared" si="0"/>
        <v>-2.1321961620469621E-3</v>
      </c>
    </row>
    <row r="17" spans="1:31" x14ac:dyDescent="0.25">
      <c r="W17" s="130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3">
        <v>7880800</v>
      </c>
      <c r="AC17" s="10">
        <v>79.73</v>
      </c>
      <c r="AD17" s="2"/>
      <c r="AE17" s="134">
        <f t="shared" si="0"/>
        <v>-2.0027537864563127E-3</v>
      </c>
    </row>
    <row r="18" spans="1:31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3">
        <v>5511300</v>
      </c>
      <c r="AC18" s="10">
        <v>79.89</v>
      </c>
      <c r="AD18" s="2"/>
      <c r="AE18" s="134">
        <f t="shared" si="0"/>
        <v>-6.8373943311784702E-3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3">
        <v>6113300</v>
      </c>
      <c r="AC19" s="10">
        <v>80.44</v>
      </c>
      <c r="AD19" s="2"/>
      <c r="AE19" s="134">
        <f t="shared" si="0"/>
        <v>4.9751243781082088E-4</v>
      </c>
    </row>
    <row r="20" spans="1:31" x14ac:dyDescent="0.25">
      <c r="W20" s="130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3">
        <v>5456600</v>
      </c>
      <c r="AC20" s="10">
        <v>80.400000000000006</v>
      </c>
      <c r="AD20" s="2"/>
      <c r="AE20" s="134">
        <f t="shared" si="0"/>
        <v>-3.7174721189591198E-3</v>
      </c>
    </row>
    <row r="21" spans="1:31" x14ac:dyDescent="0.25">
      <c r="W21" s="130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3">
        <v>5374200</v>
      </c>
      <c r="AC21" s="10">
        <v>80.7</v>
      </c>
      <c r="AD21" s="2"/>
      <c r="AE21" s="134">
        <f t="shared" si="0"/>
        <v>-4.1954590325765651E-3</v>
      </c>
    </row>
    <row r="22" spans="1:31" x14ac:dyDescent="0.25">
      <c r="W22" s="130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3">
        <v>5656800</v>
      </c>
      <c r="AC22" s="10">
        <v>81.040000000000006</v>
      </c>
      <c r="AD22" s="2"/>
      <c r="AE22" s="134">
        <f t="shared" si="0"/>
        <v>2.8461824031680294E-3</v>
      </c>
    </row>
    <row r="23" spans="1:31" x14ac:dyDescent="0.25">
      <c r="W23" s="130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3">
        <v>6270100</v>
      </c>
      <c r="AC23" s="10">
        <v>80.81</v>
      </c>
      <c r="AD23" s="2"/>
      <c r="AE23" s="134">
        <f t="shared" si="0"/>
        <v>-4.9474335188615104E-4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3">
        <v>4453500</v>
      </c>
      <c r="AC24" s="10">
        <v>80.849999999999994</v>
      </c>
      <c r="AD24" s="2"/>
      <c r="AE24" s="134">
        <f t="shared" si="0"/>
        <v>-2.0982473463342366E-3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3">
        <v>5640600</v>
      </c>
      <c r="AC25" s="10">
        <v>81.02</v>
      </c>
      <c r="AD25" s="2"/>
      <c r="AE25" s="134">
        <f t="shared" si="0"/>
        <v>-4.0565457897971946E-3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3">
        <v>5741500</v>
      </c>
      <c r="AC26" s="10">
        <v>81.349999999999994</v>
      </c>
      <c r="AD26" s="2"/>
      <c r="AE26" s="134">
        <f t="shared" si="0"/>
        <v>8.0545229244113337E-3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3">
        <v>4966900</v>
      </c>
      <c r="AC27" s="10">
        <v>80.7</v>
      </c>
      <c r="AD27" s="2"/>
      <c r="AE27" s="134">
        <f t="shared" si="0"/>
        <v>1.4892032762472418E-3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3">
        <v>7095000</v>
      </c>
      <c r="AC28" s="10">
        <v>80.58</v>
      </c>
      <c r="AD28" s="2"/>
      <c r="AE28" s="134">
        <f t="shared" si="0"/>
        <v>-1.0195307701756473E-2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3">
        <v>4685000</v>
      </c>
      <c r="AC29" s="10">
        <v>81.41</v>
      </c>
      <c r="AD29" s="2"/>
      <c r="AE29" s="134">
        <f t="shared" si="0"/>
        <v>-8.5910652920972996E-4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3">
        <v>5118400</v>
      </c>
      <c r="AC30" s="10">
        <v>81.48</v>
      </c>
      <c r="AD30" s="2"/>
      <c r="AE30" s="134">
        <f t="shared" si="0"/>
        <v>7.6675735839724091E-3</v>
      </c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W31" s="130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3">
        <v>6302400</v>
      </c>
      <c r="AC31" s="10">
        <v>80.86</v>
      </c>
      <c r="AD31" s="2"/>
      <c r="AE31" s="134">
        <f t="shared" si="0"/>
        <v>8.7325349301397015E-3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3">
        <v>4948000</v>
      </c>
      <c r="AC32" s="10">
        <v>80.16</v>
      </c>
      <c r="AD32" s="2"/>
      <c r="AE32" s="134">
        <f t="shared" si="0"/>
        <v>5.015045135406071E-3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3">
        <v>6193800</v>
      </c>
      <c r="AC33" s="10">
        <v>79.760000000000005</v>
      </c>
      <c r="AD33" s="2"/>
      <c r="AE33" s="134">
        <f t="shared" si="0"/>
        <v>8.7840381478243579E-4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3">
        <v>6211600</v>
      </c>
      <c r="AC34" s="10">
        <v>79.69</v>
      </c>
      <c r="AD34" s="2"/>
      <c r="AE34" s="134">
        <f t="shared" si="0"/>
        <v>3.0207677784770404E-3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3">
        <v>4934100</v>
      </c>
      <c r="AC35" s="10">
        <v>79.45</v>
      </c>
      <c r="AD35" s="2"/>
      <c r="AE35" s="134">
        <f t="shared" si="0"/>
        <v>5.037148973681127E-4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3">
        <v>5569100</v>
      </c>
      <c r="AC36" s="10">
        <v>79.41</v>
      </c>
      <c r="AD36" s="2"/>
      <c r="AE36" s="134">
        <f t="shared" si="0"/>
        <v>9.4063810855471441E-3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3">
        <v>5477200</v>
      </c>
      <c r="AC37" s="10">
        <v>78.67</v>
      </c>
      <c r="AD37" s="2"/>
      <c r="AE37" s="134">
        <f t="shared" si="0"/>
        <v>-3.8119440914863301E-4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3">
        <v>5645800</v>
      </c>
      <c r="AC38" s="10">
        <v>78.7</v>
      </c>
      <c r="AD38" s="2"/>
      <c r="AE38" s="134">
        <f t="shared" si="0"/>
        <v>2.1647777919266975E-3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3">
        <v>9367000</v>
      </c>
      <c r="AC39" s="10">
        <v>78.53</v>
      </c>
      <c r="AD39" s="2"/>
      <c r="AE39" s="134">
        <f t="shared" si="0"/>
        <v>1.5780623463976129E-2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4" t="s">
        <v>78</v>
      </c>
      <c r="P40" s="804"/>
      <c r="W40" s="130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3">
        <v>13944000</v>
      </c>
      <c r="AC40" s="10">
        <v>77.31</v>
      </c>
      <c r="AD40" s="2"/>
      <c r="AE40" s="134">
        <f t="shared" si="0"/>
        <v>3.6349474230819023E-3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76.329000000000008</v>
      </c>
      <c r="Q41" s="2"/>
      <c r="W41" s="130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3">
        <v>6788500</v>
      </c>
      <c r="AC41" s="10">
        <v>77.03</v>
      </c>
      <c r="AD41" s="2"/>
      <c r="AE41" s="134">
        <f t="shared" si="0"/>
        <v>8.7742273441593355E-3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1">O42*$Q$4</f>
        <v>75.635100000000008</v>
      </c>
      <c r="Q42" s="2"/>
      <c r="T42" s="89" t="s">
        <v>112</v>
      </c>
      <c r="W42" s="130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3">
        <v>5739900</v>
      </c>
      <c r="AC42" s="10">
        <v>76.36</v>
      </c>
      <c r="AD42" s="2"/>
      <c r="AE42" s="134">
        <f t="shared" si="0"/>
        <v>3.8122781648481929E-3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1"/>
        <v>74.941200000000009</v>
      </c>
      <c r="Q43" s="2"/>
      <c r="T43" s="125" t="s">
        <v>97</v>
      </c>
      <c r="U43" s="126">
        <v>77.87</v>
      </c>
      <c r="W43" s="130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3">
        <v>9559500</v>
      </c>
      <c r="AC43" s="10">
        <v>76.069999999999993</v>
      </c>
      <c r="AD43" s="2"/>
      <c r="AE43" s="134">
        <f t="shared" si="0"/>
        <v>8.0837529817121556E-3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1"/>
        <v>74.24730000000001</v>
      </c>
      <c r="Q44" s="2"/>
      <c r="T44" s="91" t="s">
        <v>98</v>
      </c>
      <c r="U44" s="127">
        <v>77.819999999999993</v>
      </c>
      <c r="W44" s="130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3">
        <v>11937000</v>
      </c>
      <c r="AC44" s="10">
        <v>75.459999999999994</v>
      </c>
      <c r="AD44" s="2"/>
      <c r="AE44" s="134">
        <f t="shared" si="0"/>
        <v>8.8235294117646745E-3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1"/>
        <v>73.553400000000011</v>
      </c>
      <c r="Q45" s="2"/>
      <c r="T45" s="91" t="s">
        <v>99</v>
      </c>
      <c r="U45" s="127" t="s">
        <v>128</v>
      </c>
      <c r="W45" s="130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3">
        <v>18840200</v>
      </c>
      <c r="AC45" s="10">
        <v>74.8</v>
      </c>
      <c r="AD45" s="2"/>
      <c r="AE45" s="134">
        <f t="shared" si="0"/>
        <v>-4.0656662819033018E-2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1"/>
        <v>72.859499999999997</v>
      </c>
      <c r="Q46" s="2"/>
      <c r="T46" s="91" t="s">
        <v>100</v>
      </c>
      <c r="U46" s="127" t="s">
        <v>128</v>
      </c>
      <c r="W46" s="130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3">
        <v>6463100</v>
      </c>
      <c r="AC46" s="10">
        <v>77.97</v>
      </c>
      <c r="AD46" s="2"/>
      <c r="AE46" s="134">
        <f t="shared" si="0"/>
        <v>-1.0658545869813518E-2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1"/>
        <v>72.165599999999998</v>
      </c>
      <c r="Q47" s="2"/>
      <c r="T47" s="91" t="s">
        <v>101</v>
      </c>
      <c r="U47" s="127">
        <v>86.36</v>
      </c>
      <c r="W47" s="130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3">
        <v>6435200</v>
      </c>
      <c r="AC47" s="10">
        <v>78.81</v>
      </c>
      <c r="AD47" s="2"/>
      <c r="AE47" s="134">
        <f t="shared" si="0"/>
        <v>1.6522623284187521E-3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1"/>
        <v>71.471699999999998</v>
      </c>
      <c r="Q48" s="2"/>
      <c r="T48" s="91" t="s">
        <v>102</v>
      </c>
      <c r="U48" s="127">
        <v>0.61025200000000002</v>
      </c>
      <c r="W48" s="130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3">
        <v>7488500</v>
      </c>
      <c r="AC48" s="10">
        <v>78.680000000000007</v>
      </c>
      <c r="AD48" s="2"/>
      <c r="AE48" s="134">
        <f t="shared" si="0"/>
        <v>1.1961414790996772E-2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1"/>
        <v>70.777799999999999</v>
      </c>
      <c r="Q49" s="2"/>
      <c r="T49" s="91" t="s">
        <v>103</v>
      </c>
      <c r="U49" s="127" t="s">
        <v>486</v>
      </c>
      <c r="W49" s="130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3">
        <v>10924400</v>
      </c>
      <c r="AC49" s="10">
        <v>77.75</v>
      </c>
      <c r="AD49" s="2"/>
      <c r="AE49" s="134">
        <f t="shared" si="0"/>
        <v>-1.991680322702627E-2</v>
      </c>
    </row>
    <row r="50" spans="1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1"/>
        <v>70.0839</v>
      </c>
      <c r="Q50" s="2"/>
      <c r="T50" s="91"/>
      <c r="U50" s="127"/>
      <c r="W50" s="130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3">
        <v>7627500</v>
      </c>
      <c r="AC50" s="10">
        <v>79.33</v>
      </c>
      <c r="AD50" s="2"/>
      <c r="AE50" s="134">
        <f t="shared" si="0"/>
        <v>-2.0128318027424763E-3</v>
      </c>
    </row>
    <row r="51" spans="1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1"/>
        <v>69.39</v>
      </c>
      <c r="Q51" s="2"/>
      <c r="T51" s="91" t="s">
        <v>104</v>
      </c>
      <c r="U51" s="127" t="s">
        <v>619</v>
      </c>
      <c r="W51" s="130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3">
        <v>10652200</v>
      </c>
      <c r="AC51" s="10">
        <v>79.489999999999995</v>
      </c>
      <c r="AD51" s="2"/>
      <c r="AE51" s="134">
        <f t="shared" si="0"/>
        <v>-2.8001956468574285E-2</v>
      </c>
    </row>
    <row r="52" spans="1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1"/>
        <v>68.696100000000001</v>
      </c>
      <c r="Q52" s="2"/>
      <c r="T52" s="91" t="s">
        <v>105</v>
      </c>
      <c r="U52" s="127" t="s">
        <v>311</v>
      </c>
      <c r="W52" s="130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3">
        <v>4743700</v>
      </c>
      <c r="AC52" s="10">
        <v>81.78</v>
      </c>
      <c r="AD52" s="2"/>
      <c r="AE52" s="134">
        <f t="shared" si="0"/>
        <v>6.5230769230768537E-3</v>
      </c>
    </row>
    <row r="53" spans="1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1"/>
        <v>68.002200000000002</v>
      </c>
      <c r="Q53" s="2"/>
      <c r="T53" s="91" t="s">
        <v>106</v>
      </c>
      <c r="U53" s="128">
        <v>13351924</v>
      </c>
      <c r="W53" s="130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3">
        <v>6305900</v>
      </c>
      <c r="AC53" s="10">
        <v>81.25</v>
      </c>
      <c r="AD53" s="2"/>
      <c r="AE53" s="134">
        <f t="shared" si="0"/>
        <v>-3.8008827856792493E-3</v>
      </c>
    </row>
    <row r="54" spans="1:31" x14ac:dyDescent="0.25">
      <c r="A54" s="4"/>
      <c r="B54" s="188"/>
      <c r="C54" s="10"/>
      <c r="D54" s="39"/>
      <c r="E54" s="39"/>
      <c r="F54" s="39"/>
      <c r="G54" s="39"/>
      <c r="H54" s="226"/>
      <c r="I54" s="39"/>
      <c r="K54" s="3"/>
      <c r="L54" s="4"/>
      <c r="O54" s="81">
        <v>0.97</v>
      </c>
      <c r="P54" s="81">
        <f t="shared" si="1"/>
        <v>67.308300000000003</v>
      </c>
      <c r="T54" s="91" t="s">
        <v>109</v>
      </c>
      <c r="U54" s="128">
        <v>7021070</v>
      </c>
      <c r="W54" s="130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3">
        <v>8004100</v>
      </c>
      <c r="AC54" s="10">
        <v>81.56</v>
      </c>
      <c r="AD54" s="2"/>
      <c r="AE54" s="134" t="e">
        <f t="shared" si="0"/>
        <v>#DIV/0!</v>
      </c>
    </row>
    <row r="55" spans="1:31" x14ac:dyDescent="0.25">
      <c r="A55" s="4"/>
      <c r="B55" s="188"/>
      <c r="C55" s="10"/>
      <c r="D55" s="39"/>
      <c r="E55" s="39"/>
      <c r="F55" s="39"/>
      <c r="G55" s="39"/>
      <c r="H55" s="226"/>
      <c r="I55" s="39"/>
      <c r="K55" s="3"/>
      <c r="L55" s="4"/>
      <c r="O55" s="81">
        <v>0.96</v>
      </c>
      <c r="P55" s="81">
        <f t="shared" si="1"/>
        <v>66.614400000000003</v>
      </c>
      <c r="T55" s="91" t="s">
        <v>107</v>
      </c>
      <c r="U55" s="127" t="s">
        <v>620</v>
      </c>
      <c r="W55" s="130">
        <v>42755</v>
      </c>
      <c r="X55" s="10" t="s">
        <v>353</v>
      </c>
      <c r="Y55" s="10"/>
      <c r="Z55" s="10"/>
      <c r="AA55" s="10"/>
      <c r="AB55" s="93"/>
      <c r="AC55" s="10"/>
      <c r="AD55" s="2"/>
      <c r="AE55" s="134">
        <f t="shared" si="0"/>
        <v>-1</v>
      </c>
    </row>
    <row r="56" spans="1:31" x14ac:dyDescent="0.25">
      <c r="A56" s="4"/>
      <c r="B56" s="188"/>
      <c r="C56" s="10"/>
      <c r="D56" s="39"/>
      <c r="E56" s="39"/>
      <c r="F56" s="39"/>
      <c r="G56" s="39"/>
      <c r="H56" s="226"/>
      <c r="I56" s="39"/>
      <c r="K56" s="3"/>
      <c r="L56" s="4"/>
      <c r="O56" s="81">
        <v>0.95</v>
      </c>
      <c r="P56" s="81">
        <f t="shared" si="1"/>
        <v>65.920500000000004</v>
      </c>
      <c r="T56" s="91" t="s">
        <v>110</v>
      </c>
      <c r="U56" s="127">
        <v>15.69</v>
      </c>
      <c r="W56" s="130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3">
        <v>5220700</v>
      </c>
      <c r="AC56" s="10">
        <v>82.7</v>
      </c>
      <c r="AD56" s="2"/>
      <c r="AE56" s="134">
        <f t="shared" si="0"/>
        <v>-4.0944123314066161E-3</v>
      </c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"/>
        <v>65.226599999999991</v>
      </c>
      <c r="T57" s="91" t="s">
        <v>111</v>
      </c>
      <c r="U57" s="127">
        <v>4.91</v>
      </c>
      <c r="W57" s="130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3">
        <v>5263100</v>
      </c>
      <c r="AC57" s="10">
        <v>83.04</v>
      </c>
      <c r="AD57" s="2"/>
      <c r="AE57" s="134">
        <f t="shared" si="0"/>
        <v>-4.5552625269719149E-3</v>
      </c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1"/>
        <v>64.532700000000006</v>
      </c>
      <c r="T58" s="91" t="s">
        <v>108</v>
      </c>
      <c r="U58" s="127" t="s">
        <v>540</v>
      </c>
      <c r="W58" s="130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3">
        <v>7292700</v>
      </c>
      <c r="AC58" s="10">
        <v>83.42</v>
      </c>
      <c r="AD58" s="2"/>
      <c r="AE58" s="134">
        <f t="shared" si="0"/>
        <v>2.3683887593569874E-2</v>
      </c>
    </row>
    <row r="59" spans="1:31" x14ac:dyDescent="0.25">
      <c r="A59" s="377" t="s">
        <v>1</v>
      </c>
      <c r="B59" s="377" t="s">
        <v>2</v>
      </c>
      <c r="C59" s="377" t="s">
        <v>4</v>
      </c>
      <c r="D59" s="379" t="s">
        <v>5</v>
      </c>
      <c r="E59" s="379" t="s">
        <v>94</v>
      </c>
      <c r="F59" s="379" t="s">
        <v>60</v>
      </c>
      <c r="G59" s="377" t="s">
        <v>3</v>
      </c>
      <c r="H59" s="377" t="s">
        <v>6</v>
      </c>
      <c r="I59" s="379" t="s">
        <v>7</v>
      </c>
      <c r="J59" s="379" t="s">
        <v>95</v>
      </c>
      <c r="K59" s="379" t="s">
        <v>61</v>
      </c>
      <c r="L59" s="377" t="s">
        <v>37</v>
      </c>
      <c r="M59" s="377" t="s">
        <v>38</v>
      </c>
      <c r="O59" s="81">
        <v>0.92</v>
      </c>
      <c r="P59" s="81">
        <f t="shared" si="1"/>
        <v>63.838800000000006</v>
      </c>
      <c r="W59" s="130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3">
        <v>4809200</v>
      </c>
      <c r="AC59" s="10">
        <v>81.489999999999995</v>
      </c>
      <c r="AD59" s="2"/>
      <c r="AE59" s="134">
        <f t="shared" si="0"/>
        <v>-7.4299634591961095E-3</v>
      </c>
    </row>
    <row r="60" spans="1:31" x14ac:dyDescent="0.25">
      <c r="A60" s="380" t="s">
        <v>279</v>
      </c>
      <c r="B60" s="370">
        <v>42626</v>
      </c>
      <c r="C60" s="371">
        <v>20</v>
      </c>
      <c r="D60" s="372">
        <v>90.85</v>
      </c>
      <c r="E60" s="372">
        <v>0</v>
      </c>
      <c r="F60" s="372">
        <f t="shared" ref="F60:F65" si="2">D60*C60 + E60</f>
        <v>1817</v>
      </c>
      <c r="G60" s="370">
        <v>42762</v>
      </c>
      <c r="H60" s="371">
        <v>40</v>
      </c>
      <c r="I60" s="372">
        <v>77.78</v>
      </c>
      <c r="J60" s="372">
        <v>7.0000000000000007E-2</v>
      </c>
      <c r="K60" s="372">
        <f>I60*H60 - J60</f>
        <v>3111.1299999999997</v>
      </c>
      <c r="L60" s="370">
        <v>42678</v>
      </c>
      <c r="M60" s="372">
        <v>17</v>
      </c>
      <c r="O60" s="81">
        <v>0.91</v>
      </c>
      <c r="P60" s="81">
        <f t="shared" si="1"/>
        <v>63.1449</v>
      </c>
      <c r="W60" s="130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3">
        <v>5774300</v>
      </c>
      <c r="AC60" s="10">
        <v>82.1</v>
      </c>
      <c r="AD60" s="2"/>
      <c r="AE60" s="134">
        <f t="shared" si="0"/>
        <v>-2.0663668408897884E-3</v>
      </c>
    </row>
    <row r="61" spans="1:31" x14ac:dyDescent="0.25">
      <c r="A61" s="381" t="s">
        <v>71</v>
      </c>
      <c r="B61" s="370">
        <v>42646</v>
      </c>
      <c r="C61" s="371">
        <v>20</v>
      </c>
      <c r="D61" s="372">
        <v>87.56</v>
      </c>
      <c r="E61" s="372">
        <v>0</v>
      </c>
      <c r="F61" s="372">
        <f t="shared" si="2"/>
        <v>1751.2</v>
      </c>
      <c r="G61" s="370">
        <v>42788</v>
      </c>
      <c r="H61" s="375">
        <v>40</v>
      </c>
      <c r="I61" s="372">
        <v>80.38</v>
      </c>
      <c r="J61" s="372">
        <v>7.0000000000000007E-2</v>
      </c>
      <c r="K61" s="372">
        <f>I61*H61 - J61</f>
        <v>3215.1299999999997</v>
      </c>
      <c r="L61" s="370">
        <v>42769</v>
      </c>
      <c r="M61" s="372">
        <v>40</v>
      </c>
      <c r="O61" s="81">
        <v>0.9</v>
      </c>
      <c r="P61" s="81">
        <f t="shared" si="1"/>
        <v>62.451000000000001</v>
      </c>
      <c r="W61" s="130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3">
        <v>6404200</v>
      </c>
      <c r="AC61" s="10">
        <v>82.27</v>
      </c>
      <c r="AD61" s="2"/>
      <c r="AE61" s="134">
        <f t="shared" si="0"/>
        <v>1.2169891687963119E-3</v>
      </c>
    </row>
    <row r="62" spans="1:31" x14ac:dyDescent="0.25">
      <c r="A62" s="371"/>
      <c r="B62" s="370">
        <v>42677</v>
      </c>
      <c r="C62" s="371">
        <v>40</v>
      </c>
      <c r="D62" s="372">
        <v>81.98</v>
      </c>
      <c r="E62" s="372">
        <v>0</v>
      </c>
      <c r="F62" s="372">
        <f t="shared" si="2"/>
        <v>3279.2000000000003</v>
      </c>
      <c r="G62" s="370">
        <v>42796</v>
      </c>
      <c r="H62" s="375">
        <v>80</v>
      </c>
      <c r="I62" s="372">
        <v>81.2</v>
      </c>
      <c r="J62" s="372">
        <v>0.14000000000000001</v>
      </c>
      <c r="K62" s="372">
        <f>I62*H62 - J62</f>
        <v>6495.86</v>
      </c>
      <c r="L62" s="370">
        <v>42856</v>
      </c>
      <c r="M62" s="371">
        <v>30</v>
      </c>
      <c r="W62" s="130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3">
        <v>7053300</v>
      </c>
      <c r="AC62" s="10">
        <v>82.17</v>
      </c>
      <c r="AD62" s="2"/>
      <c r="AE62" s="134">
        <f t="shared" si="0"/>
        <v>1.1821204285186626E-2</v>
      </c>
    </row>
    <row r="63" spans="1:31" x14ac:dyDescent="0.25">
      <c r="A63" s="371"/>
      <c r="B63" s="370">
        <v>42760</v>
      </c>
      <c r="C63" s="371">
        <v>20</v>
      </c>
      <c r="D63" s="372">
        <v>80.28</v>
      </c>
      <c r="E63" s="372">
        <v>0</v>
      </c>
      <c r="F63" s="372">
        <f t="shared" si="2"/>
        <v>1605.6</v>
      </c>
      <c r="G63" s="370">
        <v>42850</v>
      </c>
      <c r="H63" s="375">
        <v>60</v>
      </c>
      <c r="I63" s="372">
        <v>81.98</v>
      </c>
      <c r="J63" s="372">
        <v>0.11</v>
      </c>
      <c r="K63" s="372">
        <f>I63*H63 - J63</f>
        <v>4918.6900000000005</v>
      </c>
      <c r="L63" s="371"/>
      <c r="M63" s="371"/>
      <c r="W63" s="130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3">
        <v>6847600</v>
      </c>
      <c r="AC63" s="10">
        <v>81.209999999999994</v>
      </c>
      <c r="AD63" s="2"/>
      <c r="AE63" s="134">
        <f t="shared" si="0"/>
        <v>-6.1192020560518756E-3</v>
      </c>
    </row>
    <row r="64" spans="1:31" x14ac:dyDescent="0.25">
      <c r="A64" s="371"/>
      <c r="B64" s="370">
        <v>42762</v>
      </c>
      <c r="C64" s="371">
        <v>80</v>
      </c>
      <c r="D64" s="372">
        <v>77.180000000000007</v>
      </c>
      <c r="E64" s="372">
        <v>0</v>
      </c>
      <c r="F64" s="372">
        <f t="shared" si="2"/>
        <v>6174.4000000000005</v>
      </c>
      <c r="G64" s="371"/>
      <c r="H64" s="375"/>
      <c r="I64" s="372"/>
      <c r="J64" s="372"/>
      <c r="K64" s="372"/>
      <c r="L64" s="371"/>
      <c r="M64" s="371"/>
      <c r="W64" s="130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3">
        <v>7087100</v>
      </c>
      <c r="AC64" s="10">
        <v>81.709999999999994</v>
      </c>
      <c r="AD64" s="2"/>
      <c r="AE64" s="134">
        <f t="shared" si="0"/>
        <v>9.6379587297663605E-3</v>
      </c>
    </row>
    <row r="65" spans="1:31" x14ac:dyDescent="0.25">
      <c r="A65" s="371"/>
      <c r="B65" s="370">
        <v>42768</v>
      </c>
      <c r="C65" s="371">
        <v>40</v>
      </c>
      <c r="D65" s="372">
        <v>75.08</v>
      </c>
      <c r="E65" s="372">
        <v>0</v>
      </c>
      <c r="F65" s="372">
        <f t="shared" si="2"/>
        <v>3003.2</v>
      </c>
      <c r="G65" s="371"/>
      <c r="H65" s="375"/>
      <c r="I65" s="372"/>
      <c r="J65" s="372"/>
      <c r="K65" s="372"/>
      <c r="L65" s="371"/>
      <c r="M65" s="371"/>
      <c r="W65" s="130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3">
        <v>8805400</v>
      </c>
      <c r="AC65" s="10">
        <v>80.930000000000007</v>
      </c>
      <c r="AD65" s="2"/>
      <c r="AE65" s="134">
        <f t="shared" si="0"/>
        <v>2.0941087422732485E-2</v>
      </c>
    </row>
    <row r="66" spans="1:31" x14ac:dyDescent="0.25">
      <c r="A66" s="371"/>
      <c r="B66" s="371"/>
      <c r="C66" s="371"/>
      <c r="D66" s="372"/>
      <c r="E66" s="372"/>
      <c r="F66" s="372"/>
      <c r="G66" s="371"/>
      <c r="H66" s="375"/>
      <c r="I66" s="372"/>
      <c r="J66" s="372"/>
      <c r="K66" s="372"/>
      <c r="L66" s="371"/>
      <c r="M66" s="371"/>
      <c r="W66" s="130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3">
        <v>7101800</v>
      </c>
      <c r="AC66" s="10">
        <v>79.27</v>
      </c>
      <c r="AD66" s="2"/>
      <c r="AE66" s="134">
        <f t="shared" si="0"/>
        <v>-7.5122073369225939E-3</v>
      </c>
    </row>
    <row r="67" spans="1:31" x14ac:dyDescent="0.25">
      <c r="A67" s="371"/>
      <c r="B67" s="371"/>
      <c r="C67" s="371"/>
      <c r="D67" s="372"/>
      <c r="E67" s="372"/>
      <c r="F67" s="372"/>
      <c r="G67" s="371"/>
      <c r="H67" s="375"/>
      <c r="I67" s="372"/>
      <c r="J67" s="372"/>
      <c r="K67" s="372"/>
      <c r="L67" s="371"/>
      <c r="M67" s="371"/>
      <c r="W67" s="130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3">
        <v>5922800</v>
      </c>
      <c r="AC67" s="10">
        <v>79.87</v>
      </c>
      <c r="AD67" s="2"/>
      <c r="AE67" s="134" t="e">
        <f>AC67/#REF!-1</f>
        <v>#REF!</v>
      </c>
    </row>
    <row r="68" spans="1:31" x14ac:dyDescent="0.25">
      <c r="A68" s="371"/>
      <c r="B68" s="371"/>
      <c r="C68" s="371"/>
      <c r="D68" s="372"/>
      <c r="E68" s="372"/>
      <c r="F68" s="372"/>
      <c r="G68" s="371"/>
      <c r="H68" s="375"/>
      <c r="I68" s="372"/>
      <c r="J68" s="372"/>
      <c r="K68" s="372"/>
      <c r="L68" s="371"/>
      <c r="M68" s="371"/>
      <c r="W68" s="130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3">
        <v>4326100</v>
      </c>
      <c r="AC68" s="10">
        <v>78.44</v>
      </c>
      <c r="AD68" s="2"/>
      <c r="AE68" s="134" t="e">
        <f>#REF!/AC69-1</f>
        <v>#REF!</v>
      </c>
    </row>
    <row r="69" spans="1:31" x14ac:dyDescent="0.25">
      <c r="A69" s="371"/>
      <c r="B69" s="371"/>
      <c r="C69" s="371"/>
      <c r="D69" s="372"/>
      <c r="E69" s="372"/>
      <c r="F69" s="372"/>
      <c r="G69" s="371"/>
      <c r="H69" s="375"/>
      <c r="I69" s="372"/>
      <c r="J69" s="372"/>
      <c r="K69" s="372"/>
      <c r="L69" s="371"/>
      <c r="M69" s="371"/>
      <c r="W69" s="130" t="s">
        <v>120</v>
      </c>
      <c r="X69" s="10"/>
      <c r="Y69" s="10"/>
      <c r="Z69" s="10"/>
      <c r="AA69" s="10"/>
      <c r="AB69" s="93"/>
      <c r="AC69" s="10"/>
      <c r="AD69" s="2"/>
      <c r="AE69" s="134" t="e">
        <f>AC69/AC70-1</f>
        <v>#DIV/0!</v>
      </c>
    </row>
    <row r="70" spans="1:31" x14ac:dyDescent="0.25">
      <c r="A70" s="371"/>
      <c r="B70" s="371"/>
      <c r="C70" s="371"/>
      <c r="D70" s="372"/>
      <c r="E70" s="372"/>
      <c r="F70" s="372"/>
      <c r="G70" s="371"/>
      <c r="H70" s="375"/>
      <c r="I70" s="372"/>
      <c r="J70" s="372"/>
      <c r="K70" s="372"/>
      <c r="L70" s="371"/>
      <c r="M70" s="371"/>
    </row>
    <row r="71" spans="1:31" x14ac:dyDescent="0.25">
      <c r="A71" s="371"/>
      <c r="B71" s="371"/>
      <c r="C71" s="371"/>
      <c r="D71" s="372"/>
      <c r="E71" s="372"/>
      <c r="F71" s="372"/>
      <c r="G71" s="371"/>
      <c r="H71" s="375"/>
      <c r="I71" s="372"/>
      <c r="J71" s="372"/>
      <c r="K71" s="372"/>
      <c r="L71" s="371"/>
      <c r="M71" s="371"/>
    </row>
    <row r="72" spans="1:31" x14ac:dyDescent="0.25">
      <c r="A72" s="371"/>
      <c r="B72" s="371"/>
      <c r="C72" s="371"/>
      <c r="D72" s="372"/>
      <c r="E72" s="372"/>
      <c r="F72" s="372"/>
      <c r="G72" s="371"/>
      <c r="H72" s="375"/>
      <c r="I72" s="372"/>
      <c r="J72" s="372"/>
      <c r="K72" s="372"/>
      <c r="L72" s="371"/>
      <c r="M72" s="371"/>
    </row>
    <row r="73" spans="1:31" x14ac:dyDescent="0.25">
      <c r="A73" s="371"/>
      <c r="B73" s="371"/>
      <c r="C73" s="371"/>
      <c r="D73" s="372"/>
      <c r="E73" s="372"/>
      <c r="F73" s="372"/>
      <c r="G73" s="371"/>
      <c r="H73" s="375"/>
      <c r="I73" s="372"/>
      <c r="J73" s="372"/>
      <c r="K73" s="372"/>
      <c r="L73" s="371"/>
      <c r="M73" s="371"/>
    </row>
    <row r="74" spans="1:31" x14ac:dyDescent="0.25">
      <c r="A74" s="371"/>
      <c r="B74" s="371"/>
      <c r="C74" s="371"/>
      <c r="D74" s="372"/>
      <c r="E74" s="372"/>
      <c r="F74" s="372"/>
      <c r="G74" s="371"/>
      <c r="H74" s="375"/>
      <c r="I74" s="372"/>
      <c r="J74" s="372"/>
      <c r="K74" s="372"/>
      <c r="L74" s="371"/>
      <c r="M74" s="371"/>
    </row>
    <row r="75" spans="1:31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31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31" ht="15.75" thickBot="1" x14ac:dyDescent="0.3">
      <c r="A77" s="455" t="s">
        <v>194</v>
      </c>
      <c r="B77" s="456"/>
      <c r="C77" s="457">
        <f>SumByColor($A$19,C60:C75)</f>
        <v>0</v>
      </c>
      <c r="D77" s="457"/>
      <c r="E77" s="457"/>
      <c r="F77" s="458">
        <f>SumByColor($A$19,F60:F75)</f>
        <v>0</v>
      </c>
      <c r="G77" s="457"/>
      <c r="H77" s="457">
        <f>SumByColor($A$19,H60:H75)</f>
        <v>0</v>
      </c>
      <c r="I77" s="457"/>
      <c r="J77" s="457"/>
      <c r="K77" s="458">
        <f>SumByColor($A$19,K60:K75)</f>
        <v>0</v>
      </c>
      <c r="L77" s="457"/>
      <c r="M77" s="458">
        <f>SumByColor($A$19,M60:M75)</f>
        <v>0</v>
      </c>
    </row>
    <row r="78" spans="1:31" x14ac:dyDescent="0.25">
      <c r="A78" s="371"/>
      <c r="B78" s="371"/>
      <c r="C78" s="371"/>
      <c r="D78" s="372"/>
      <c r="E78" s="372"/>
      <c r="F78" s="372"/>
      <c r="G78" s="371"/>
      <c r="H78" s="371"/>
      <c r="I78" s="372"/>
      <c r="J78" s="372"/>
      <c r="K78" s="372"/>
      <c r="L78" s="371"/>
      <c r="M78" s="371"/>
    </row>
    <row r="82" spans="1:12" x14ac:dyDescent="0.25">
      <c r="A82" s="371"/>
      <c r="B82" s="371"/>
      <c r="C82" s="371"/>
      <c r="D82" s="372"/>
      <c r="E82" s="372"/>
      <c r="F82" s="372"/>
      <c r="G82" s="371"/>
      <c r="H82" s="371"/>
      <c r="I82" s="372"/>
      <c r="J82" s="372"/>
      <c r="K82" s="372"/>
      <c r="L82" s="371"/>
    </row>
    <row r="83" spans="1:12" x14ac:dyDescent="0.25">
      <c r="A83" s="371"/>
      <c r="B83" s="498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372"/>
      <c r="K83" s="372"/>
      <c r="L83" s="371"/>
    </row>
    <row r="84" spans="1:12" x14ac:dyDescent="0.25">
      <c r="A84" s="371"/>
      <c r="B84" s="370">
        <v>42626</v>
      </c>
      <c r="C84" s="371">
        <v>20</v>
      </c>
      <c r="D84" s="372">
        <v>90.85</v>
      </c>
      <c r="E84" s="372">
        <v>90.93</v>
      </c>
      <c r="F84" s="372">
        <f t="shared" ref="F84:F107" si="3">C84*(E84-D84)</f>
        <v>1.6000000000002501</v>
      </c>
      <c r="G84" s="372">
        <f t="shared" ref="G84:G107" si="4">D84*C84</f>
        <v>1817</v>
      </c>
      <c r="H84" s="373">
        <f t="shared" ref="H84:H107" si="5">(E84-D84)/D84</f>
        <v>8.8057237204196487E-4</v>
      </c>
      <c r="I84" s="372"/>
      <c r="J84" s="372"/>
      <c r="K84" s="372"/>
      <c r="L84" s="371"/>
    </row>
    <row r="85" spans="1:12" x14ac:dyDescent="0.25">
      <c r="A85" s="371"/>
      <c r="B85" s="370">
        <v>42627</v>
      </c>
      <c r="C85" s="371">
        <v>20</v>
      </c>
      <c r="D85" s="372">
        <v>90.85</v>
      </c>
      <c r="E85" s="372">
        <v>89.44</v>
      </c>
      <c r="F85" s="372">
        <f t="shared" si="3"/>
        <v>-28.199999999999932</v>
      </c>
      <c r="G85" s="372">
        <f t="shared" si="4"/>
        <v>1817</v>
      </c>
      <c r="H85" s="373">
        <f t="shared" si="5"/>
        <v>-1.5520088057237168E-2</v>
      </c>
      <c r="I85" s="372"/>
      <c r="J85" s="372"/>
      <c r="K85" s="372"/>
      <c r="L85" s="371"/>
    </row>
    <row r="86" spans="1:12" x14ac:dyDescent="0.25">
      <c r="A86" s="371"/>
      <c r="B86" s="370">
        <v>42640</v>
      </c>
      <c r="C86" s="371">
        <v>20</v>
      </c>
      <c r="D86" s="372">
        <v>90.85</v>
      </c>
      <c r="E86" s="372">
        <v>90.56</v>
      </c>
      <c r="F86" s="372">
        <f t="shared" si="3"/>
        <v>-5.7999999999998408</v>
      </c>
      <c r="G86" s="372">
        <f t="shared" si="4"/>
        <v>1817</v>
      </c>
      <c r="H86" s="373">
        <f t="shared" si="5"/>
        <v>-3.1920748486515362E-3</v>
      </c>
      <c r="I86" s="372"/>
      <c r="J86" s="372"/>
      <c r="K86" s="372"/>
      <c r="L86" s="371"/>
    </row>
    <row r="87" spans="1:12" x14ac:dyDescent="0.25">
      <c r="A87" s="371"/>
      <c r="B87" s="370">
        <v>42646</v>
      </c>
      <c r="C87" s="371">
        <v>40</v>
      </c>
      <c r="D87" s="372">
        <v>89.204999999999998</v>
      </c>
      <c r="E87" s="372">
        <v>87.09</v>
      </c>
      <c r="F87" s="372">
        <f t="shared" si="3"/>
        <v>-84.599999999999795</v>
      </c>
      <c r="G87" s="372">
        <f t="shared" si="4"/>
        <v>3568.2</v>
      </c>
      <c r="H87" s="373">
        <f t="shared" si="5"/>
        <v>-2.3709433327728211E-2</v>
      </c>
      <c r="I87" s="372"/>
      <c r="J87" s="372"/>
      <c r="K87" s="372"/>
      <c r="L87" s="371"/>
    </row>
    <row r="88" spans="1:12" x14ac:dyDescent="0.25">
      <c r="A88" s="371"/>
      <c r="B88" s="370">
        <v>42651</v>
      </c>
      <c r="C88" s="371">
        <v>40</v>
      </c>
      <c r="D88" s="372">
        <v>89.204999999999998</v>
      </c>
      <c r="E88" s="372">
        <v>86.4</v>
      </c>
      <c r="F88" s="372">
        <f t="shared" si="3"/>
        <v>-112.1999999999997</v>
      </c>
      <c r="G88" s="372">
        <f t="shared" si="4"/>
        <v>3568.2</v>
      </c>
      <c r="H88" s="373">
        <f t="shared" si="5"/>
        <v>-3.1444425760887761E-2</v>
      </c>
      <c r="I88" s="372"/>
      <c r="J88" s="372"/>
      <c r="K88" s="372"/>
      <c r="L88" s="371"/>
    </row>
    <row r="89" spans="1:12" x14ac:dyDescent="0.25">
      <c r="A89" s="371"/>
      <c r="B89" s="370">
        <v>42674</v>
      </c>
      <c r="C89" s="371">
        <v>40</v>
      </c>
      <c r="D89" s="372">
        <v>89.204999999999998</v>
      </c>
      <c r="E89" s="372">
        <v>84.1</v>
      </c>
      <c r="F89" s="372">
        <f t="shared" si="3"/>
        <v>-204.20000000000016</v>
      </c>
      <c r="G89" s="372">
        <f t="shared" si="4"/>
        <v>3568.2</v>
      </c>
      <c r="H89" s="373">
        <f t="shared" si="5"/>
        <v>-5.7227733871419807E-2</v>
      </c>
      <c r="I89" s="372"/>
      <c r="J89" s="372"/>
      <c r="K89" s="372"/>
      <c r="L89" s="371"/>
    </row>
    <row r="90" spans="1:12" x14ac:dyDescent="0.25">
      <c r="A90" s="371"/>
      <c r="B90" s="370">
        <v>42677</v>
      </c>
      <c r="C90" s="371">
        <v>80</v>
      </c>
      <c r="D90" s="372">
        <v>85.38</v>
      </c>
      <c r="E90" s="372">
        <v>81.569999999999993</v>
      </c>
      <c r="F90" s="372">
        <f t="shared" si="3"/>
        <v>-304.80000000000018</v>
      </c>
      <c r="G90" s="372">
        <f t="shared" si="4"/>
        <v>6830.4</v>
      </c>
      <c r="H90" s="373">
        <f t="shared" si="5"/>
        <v>-4.4624033731553089E-2</v>
      </c>
      <c r="I90" s="372" t="s">
        <v>185</v>
      </c>
      <c r="J90" s="372"/>
      <c r="K90" s="372"/>
      <c r="L90" s="371"/>
    </row>
    <row r="91" spans="1:12" x14ac:dyDescent="0.25">
      <c r="A91" s="371"/>
      <c r="B91" s="370">
        <v>42702</v>
      </c>
      <c r="C91" s="371">
        <v>80</v>
      </c>
      <c r="D91" s="372">
        <v>85.38</v>
      </c>
      <c r="E91" s="372">
        <v>74.06</v>
      </c>
      <c r="F91" s="372">
        <f t="shared" si="3"/>
        <v>-905.59999999999945</v>
      </c>
      <c r="G91" s="372">
        <f t="shared" si="4"/>
        <v>6830.4</v>
      </c>
      <c r="H91" s="373">
        <f t="shared" si="5"/>
        <v>-0.13258374326540165</v>
      </c>
      <c r="I91" s="372"/>
      <c r="J91" s="372"/>
      <c r="K91" s="372"/>
      <c r="L91" s="371"/>
    </row>
    <row r="92" spans="1:12" x14ac:dyDescent="0.25">
      <c r="A92" s="371"/>
      <c r="B92" s="370">
        <v>42704</v>
      </c>
      <c r="C92" s="371">
        <v>80</v>
      </c>
      <c r="D92" s="372">
        <v>85.38</v>
      </c>
      <c r="E92" s="372">
        <v>76.89</v>
      </c>
      <c r="F92" s="372">
        <f t="shared" si="3"/>
        <v>-679.19999999999959</v>
      </c>
      <c r="G92" s="372">
        <f t="shared" si="4"/>
        <v>6830.4</v>
      </c>
      <c r="H92" s="373">
        <f t="shared" si="5"/>
        <v>-9.9437807449051244E-2</v>
      </c>
      <c r="I92" s="372"/>
      <c r="J92" s="372"/>
      <c r="K92" s="372"/>
      <c r="L92" s="371"/>
    </row>
    <row r="93" spans="1:12" x14ac:dyDescent="0.25">
      <c r="A93" s="371"/>
      <c r="B93" s="370">
        <v>42729</v>
      </c>
      <c r="C93" s="371">
        <v>80</v>
      </c>
      <c r="D93" s="372">
        <v>85.38</v>
      </c>
      <c r="E93" s="372">
        <v>79.14</v>
      </c>
      <c r="F93" s="372">
        <f t="shared" si="3"/>
        <v>-499.19999999999959</v>
      </c>
      <c r="G93" s="372">
        <f t="shared" si="4"/>
        <v>6830.4</v>
      </c>
      <c r="H93" s="373">
        <f t="shared" si="5"/>
        <v>-7.3085031623330937E-2</v>
      </c>
      <c r="I93" s="372"/>
      <c r="J93" s="372"/>
      <c r="K93" s="372"/>
      <c r="L93" s="371"/>
    </row>
    <row r="94" spans="1:12" x14ac:dyDescent="0.25">
      <c r="A94" s="371"/>
      <c r="B94" s="370">
        <v>42745</v>
      </c>
      <c r="C94" s="371">
        <v>80</v>
      </c>
      <c r="D94" s="372">
        <v>85.38</v>
      </c>
      <c r="E94" s="372">
        <v>82.67</v>
      </c>
      <c r="F94" s="372">
        <f t="shared" si="3"/>
        <v>-216.7999999999995</v>
      </c>
      <c r="G94" s="372">
        <f t="shared" si="4"/>
        <v>6830.4</v>
      </c>
      <c r="H94" s="373">
        <f t="shared" si="5"/>
        <v>-3.1740454438978612E-2</v>
      </c>
      <c r="I94" s="372"/>
      <c r="J94" s="372"/>
      <c r="K94" s="372"/>
      <c r="L94" s="371"/>
    </row>
    <row r="95" spans="1:12" x14ac:dyDescent="0.25">
      <c r="A95" s="371"/>
      <c r="B95" s="370">
        <v>42756</v>
      </c>
      <c r="C95" s="371">
        <v>80</v>
      </c>
      <c r="D95" s="372">
        <v>85.38</v>
      </c>
      <c r="E95" s="372">
        <v>81.56</v>
      </c>
      <c r="F95" s="372">
        <f t="shared" si="3"/>
        <v>-305.59999999999945</v>
      </c>
      <c r="G95" s="372">
        <f t="shared" si="4"/>
        <v>6830.4</v>
      </c>
      <c r="H95" s="373">
        <f t="shared" si="5"/>
        <v>-4.4741157179667292E-2</v>
      </c>
      <c r="I95" s="372"/>
      <c r="J95" s="372"/>
      <c r="K95" s="372"/>
      <c r="L95" s="371"/>
    </row>
    <row r="96" spans="1:12" x14ac:dyDescent="0.25">
      <c r="A96" s="371"/>
      <c r="B96" s="370">
        <v>42760</v>
      </c>
      <c r="C96" s="371">
        <v>100</v>
      </c>
      <c r="D96" s="372">
        <v>84.36</v>
      </c>
      <c r="E96" s="372">
        <v>79.489999999999995</v>
      </c>
      <c r="F96" s="372">
        <f t="shared" si="3"/>
        <v>-487.00000000000045</v>
      </c>
      <c r="G96" s="372">
        <f t="shared" si="4"/>
        <v>8436</v>
      </c>
      <c r="H96" s="373">
        <f t="shared" si="5"/>
        <v>-5.7728781412991995E-2</v>
      </c>
      <c r="I96" s="372"/>
      <c r="J96" s="372"/>
      <c r="K96" s="372"/>
      <c r="L96" s="371"/>
    </row>
    <row r="97" spans="1:12" x14ac:dyDescent="0.25">
      <c r="A97" s="371"/>
      <c r="B97" s="370">
        <v>42762</v>
      </c>
      <c r="C97" s="371">
        <v>180</v>
      </c>
      <c r="D97" s="372">
        <v>81.169280000000001</v>
      </c>
      <c r="E97" s="372">
        <v>77.75</v>
      </c>
      <c r="F97" s="372">
        <f t="shared" si="3"/>
        <v>-615.47040000000015</v>
      </c>
      <c r="G97" s="372">
        <f t="shared" si="4"/>
        <v>14610.4704</v>
      </c>
      <c r="H97" s="373">
        <f t="shared" si="5"/>
        <v>-4.2125296663959574E-2</v>
      </c>
      <c r="I97" s="372"/>
      <c r="J97" s="372"/>
      <c r="K97" s="372"/>
      <c r="L97" s="371"/>
    </row>
    <row r="98" spans="1:12" x14ac:dyDescent="0.25">
      <c r="A98" s="371" t="s">
        <v>380</v>
      </c>
      <c r="B98" s="370">
        <v>42762</v>
      </c>
      <c r="C98" s="371">
        <v>140</v>
      </c>
      <c r="D98" s="372">
        <v>82.137640000000005</v>
      </c>
      <c r="E98" s="372">
        <v>77.75</v>
      </c>
      <c r="F98" s="372">
        <f t="shared" si="3"/>
        <v>-614.26960000000065</v>
      </c>
      <c r="G98" s="372">
        <f t="shared" si="4"/>
        <v>11499.269600000001</v>
      </c>
      <c r="H98" s="373">
        <f t="shared" si="5"/>
        <v>-5.3418140574771865E-2</v>
      </c>
      <c r="I98" s="372"/>
      <c r="J98" s="372"/>
      <c r="K98" s="372"/>
      <c r="L98" s="371"/>
    </row>
    <row r="99" spans="1:12" x14ac:dyDescent="0.25">
      <c r="A99" s="371" t="s">
        <v>396</v>
      </c>
      <c r="B99" s="370">
        <v>42768</v>
      </c>
      <c r="C99" s="371">
        <v>180</v>
      </c>
      <c r="D99" s="372">
        <v>80.347059999999999</v>
      </c>
      <c r="E99" s="372">
        <v>74.8</v>
      </c>
      <c r="F99" s="372">
        <f t="shared" si="3"/>
        <v>-998.47080000000028</v>
      </c>
      <c r="G99" s="372">
        <f t="shared" si="4"/>
        <v>14462.470799999999</v>
      </c>
      <c r="H99" s="373">
        <f t="shared" si="5"/>
        <v>-6.903874267459198E-2</v>
      </c>
      <c r="I99" s="372" t="s">
        <v>185</v>
      </c>
      <c r="J99" s="372"/>
      <c r="K99" s="372"/>
      <c r="L99" s="371"/>
    </row>
    <row r="100" spans="1:12" x14ac:dyDescent="0.25">
      <c r="A100" s="371" t="s">
        <v>396</v>
      </c>
      <c r="B100" s="370">
        <v>42778</v>
      </c>
      <c r="C100" s="371">
        <v>180</v>
      </c>
      <c r="D100" s="372">
        <v>80.347059999999999</v>
      </c>
      <c r="E100" s="372">
        <v>78.53</v>
      </c>
      <c r="F100" s="372">
        <f t="shared" si="3"/>
        <v>-327.07079999999962</v>
      </c>
      <c r="G100" s="372">
        <f t="shared" si="4"/>
        <v>14462.470799999999</v>
      </c>
      <c r="H100" s="373">
        <f t="shared" si="5"/>
        <v>-2.2615139869461284E-2</v>
      </c>
      <c r="I100" s="372"/>
      <c r="J100" s="372"/>
      <c r="K100" s="372"/>
      <c r="L100" s="371"/>
    </row>
    <row r="101" spans="1:12" x14ac:dyDescent="0.25">
      <c r="A101" s="371" t="s">
        <v>451</v>
      </c>
      <c r="B101" s="370">
        <v>42787</v>
      </c>
      <c r="C101" s="371">
        <v>180</v>
      </c>
      <c r="D101" s="372">
        <v>80.346999999999994</v>
      </c>
      <c r="E101" s="372">
        <v>79.760000000000005</v>
      </c>
      <c r="F101" s="372">
        <f t="shared" si="3"/>
        <v>-105.65999999999804</v>
      </c>
      <c r="G101" s="372">
        <f t="shared" si="4"/>
        <v>14462.46</v>
      </c>
      <c r="H101" s="373">
        <f t="shared" si="5"/>
        <v>-7.3058110445939376E-3</v>
      </c>
      <c r="I101" s="372"/>
      <c r="J101" s="372"/>
      <c r="K101" s="372"/>
      <c r="L101" s="371"/>
    </row>
    <row r="102" spans="1:12" x14ac:dyDescent="0.25">
      <c r="A102" s="371" t="s">
        <v>453</v>
      </c>
      <c r="B102" s="370">
        <v>42788</v>
      </c>
      <c r="C102" s="371">
        <v>140</v>
      </c>
      <c r="D102" s="372">
        <v>80.338139999999996</v>
      </c>
      <c r="E102" s="372">
        <v>80.16</v>
      </c>
      <c r="F102" s="372">
        <f t="shared" si="3"/>
        <v>-24.939599999999871</v>
      </c>
      <c r="G102" s="372">
        <f t="shared" si="4"/>
        <v>11247.339599999999</v>
      </c>
      <c r="H102" s="373">
        <f t="shared" si="5"/>
        <v>-2.2173776988115368E-3</v>
      </c>
      <c r="I102" s="372"/>
      <c r="J102" s="372"/>
      <c r="K102" s="372"/>
      <c r="L102" s="371"/>
    </row>
    <row r="103" spans="1:12" x14ac:dyDescent="0.25">
      <c r="A103" s="371" t="s">
        <v>453</v>
      </c>
      <c r="B103" s="370">
        <v>42790</v>
      </c>
      <c r="C103" s="371">
        <v>140</v>
      </c>
      <c r="D103" s="372">
        <v>80.338139999999996</v>
      </c>
      <c r="E103" s="372">
        <v>81.48</v>
      </c>
      <c r="F103" s="372">
        <f t="shared" si="3"/>
        <v>159.86040000000116</v>
      </c>
      <c r="G103" s="372">
        <f t="shared" si="4"/>
        <v>11247.339599999999</v>
      </c>
      <c r="H103" s="373">
        <f t="shared" si="5"/>
        <v>1.4213174464830881E-2</v>
      </c>
      <c r="I103" s="372"/>
      <c r="J103" s="372"/>
      <c r="K103" s="372"/>
      <c r="L103" s="371"/>
    </row>
    <row r="104" spans="1:12" x14ac:dyDescent="0.25">
      <c r="A104" s="371" t="s">
        <v>483</v>
      </c>
      <c r="B104" s="370">
        <v>42796</v>
      </c>
      <c r="C104" s="371">
        <v>60</v>
      </c>
      <c r="D104" s="372">
        <v>79.191299999999998</v>
      </c>
      <c r="E104" s="372">
        <v>81.349999999999994</v>
      </c>
      <c r="F104" s="372">
        <f t="shared" si="3"/>
        <v>129.52199999999976</v>
      </c>
      <c r="G104" s="372">
        <f t="shared" si="4"/>
        <v>4751.4780000000001</v>
      </c>
      <c r="H104" s="373">
        <f t="shared" si="5"/>
        <v>2.7259307524942718E-2</v>
      </c>
      <c r="I104" s="372"/>
      <c r="J104" s="372"/>
      <c r="K104" s="372"/>
      <c r="L104" s="371"/>
    </row>
    <row r="105" spans="1:12" x14ac:dyDescent="0.25">
      <c r="A105" s="371">
        <v>60</v>
      </c>
      <c r="B105" s="370">
        <v>42809</v>
      </c>
      <c r="C105" s="371">
        <v>60</v>
      </c>
      <c r="D105" s="372">
        <v>79.191299999999998</v>
      </c>
      <c r="E105" s="372">
        <v>79.73</v>
      </c>
      <c r="F105" s="372">
        <f t="shared" si="3"/>
        <v>32.322000000000344</v>
      </c>
      <c r="G105" s="372">
        <f t="shared" si="4"/>
        <v>4751.4780000000001</v>
      </c>
      <c r="H105" s="373">
        <f t="shared" si="5"/>
        <v>6.8025149227251697E-3</v>
      </c>
      <c r="I105" s="372"/>
      <c r="J105" s="372"/>
      <c r="K105" s="372"/>
      <c r="L105" s="371"/>
    </row>
    <row r="106" spans="1:12" x14ac:dyDescent="0.25">
      <c r="A106" s="371">
        <v>60</v>
      </c>
      <c r="B106" s="370">
        <v>42818</v>
      </c>
      <c r="C106" s="371">
        <v>60</v>
      </c>
      <c r="D106" s="372">
        <v>79.191299999999998</v>
      </c>
      <c r="E106" s="372">
        <v>78.489999999999995</v>
      </c>
      <c r="F106" s="372">
        <f t="shared" si="3"/>
        <v>-42.078000000000202</v>
      </c>
      <c r="G106" s="372">
        <f t="shared" si="4"/>
        <v>4751.4780000000001</v>
      </c>
      <c r="H106" s="373">
        <f t="shared" si="5"/>
        <v>-8.8557707727995802E-3</v>
      </c>
      <c r="I106" s="372"/>
      <c r="J106" s="372"/>
      <c r="K106" s="372"/>
      <c r="L106" s="371"/>
    </row>
    <row r="107" spans="1:12" x14ac:dyDescent="0.25">
      <c r="A107" s="371">
        <v>60</v>
      </c>
      <c r="B107" s="370">
        <v>42841</v>
      </c>
      <c r="C107" s="371">
        <v>60</v>
      </c>
      <c r="D107" s="372">
        <v>79.19</v>
      </c>
      <c r="E107" s="372">
        <v>77.959999999999994</v>
      </c>
      <c r="F107" s="372">
        <f t="shared" si="3"/>
        <v>-73.800000000000239</v>
      </c>
      <c r="G107" s="372">
        <f t="shared" si="4"/>
        <v>4751.3999999999996</v>
      </c>
      <c r="H107" s="373">
        <f t="shared" si="5"/>
        <v>-1.5532264174769592E-2</v>
      </c>
      <c r="I107" s="372"/>
      <c r="J107" s="372"/>
      <c r="K107" s="372"/>
      <c r="L107" s="371"/>
    </row>
    <row r="108" spans="1:12" x14ac:dyDescent="0.25">
      <c r="A108" s="371">
        <v>0</v>
      </c>
      <c r="B108" s="370">
        <v>42850</v>
      </c>
      <c r="C108" s="371">
        <v>0</v>
      </c>
      <c r="D108" s="372"/>
      <c r="E108" s="372">
        <v>82.17</v>
      </c>
      <c r="F108" s="372">
        <v>167.21</v>
      </c>
      <c r="G108" s="372"/>
      <c r="H108" s="373"/>
      <c r="I108" s="372"/>
      <c r="J108" s="372"/>
      <c r="K108" s="372"/>
      <c r="L108" s="371"/>
    </row>
    <row r="109" spans="1:12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</row>
    <row r="110" spans="1:12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</row>
    <row r="111" spans="1:12" x14ac:dyDescent="0.25">
      <c r="A111" s="371"/>
      <c r="B111" s="370"/>
      <c r="C111" s="371"/>
      <c r="D111" s="372"/>
      <c r="E111" s="372"/>
      <c r="F111" s="372"/>
      <c r="G111" s="372"/>
      <c r="H111" s="373"/>
      <c r="I111" s="372"/>
      <c r="J111" s="372"/>
      <c r="K111" s="372"/>
      <c r="L111" s="371"/>
    </row>
    <row r="112" spans="1:12" x14ac:dyDescent="0.25">
      <c r="A112" s="371"/>
      <c r="B112" s="370"/>
      <c r="C112" s="371"/>
      <c r="D112" s="372"/>
      <c r="E112" s="372"/>
      <c r="F112" s="372"/>
      <c r="G112" s="372"/>
      <c r="H112" s="373"/>
      <c r="I112" s="372"/>
      <c r="J112" s="372"/>
      <c r="K112" s="372"/>
      <c r="L112" s="371"/>
    </row>
    <row r="113" spans="1:12" x14ac:dyDescent="0.25">
      <c r="A113" s="371"/>
      <c r="B113" s="370"/>
      <c r="C113" s="371"/>
      <c r="D113" s="372"/>
      <c r="E113" s="372"/>
      <c r="F113" s="372"/>
      <c r="G113" s="372"/>
      <c r="H113" s="373"/>
      <c r="I113" s="372"/>
      <c r="J113" s="372"/>
      <c r="K113" s="372"/>
      <c r="L113" s="371"/>
    </row>
    <row r="114" spans="1:12" x14ac:dyDescent="0.25">
      <c r="A114" s="371"/>
      <c r="B114" s="370"/>
      <c r="C114" s="371"/>
      <c r="D114" s="372"/>
      <c r="E114" s="372"/>
      <c r="F114" s="372"/>
      <c r="G114" s="372"/>
      <c r="H114" s="373"/>
      <c r="I114" s="372"/>
      <c r="J114" s="372"/>
      <c r="K114" s="372"/>
      <c r="L114" s="371"/>
    </row>
    <row r="115" spans="1:12" x14ac:dyDescent="0.25">
      <c r="A115" s="371"/>
      <c r="B115" s="370"/>
      <c r="C115" s="371"/>
      <c r="D115" s="372"/>
      <c r="E115" s="372"/>
      <c r="F115" s="372"/>
      <c r="G115" s="372"/>
      <c r="H115" s="373"/>
      <c r="I115" s="372"/>
      <c r="J115" s="372"/>
      <c r="K115" s="372"/>
      <c r="L115" s="37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57:F58 H57:H58">
    <cfRule type="expression" dxfId="1647" priority="15">
      <formula>F57&gt;0</formula>
    </cfRule>
    <cfRule type="expression" dxfId="1646" priority="16">
      <formula>F57&lt;0</formula>
    </cfRule>
  </conditionalFormatting>
  <conditionalFormatting sqref="Q7">
    <cfRule type="expression" dxfId="1645" priority="13">
      <formula>Q7&gt;0</formula>
    </cfRule>
    <cfRule type="expression" dxfId="1644" priority="14">
      <formula>Q7&lt;0</formula>
    </cfRule>
  </conditionalFormatting>
  <conditionalFormatting sqref="Q8">
    <cfRule type="expression" dxfId="1643" priority="11">
      <formula>Q8&gt;0</formula>
    </cfRule>
    <cfRule type="expression" dxfId="1642" priority="12">
      <formula>Q8&lt;0</formula>
    </cfRule>
  </conditionalFormatting>
  <conditionalFormatting sqref="F25:F56">
    <cfRule type="expression" dxfId="1641" priority="9">
      <formula>F25&gt;0</formula>
    </cfRule>
    <cfRule type="expression" dxfId="1640" priority="10">
      <formula>F25&lt;0</formula>
    </cfRule>
  </conditionalFormatting>
  <conditionalFormatting sqref="H25:H56">
    <cfRule type="expression" dxfId="1639" priority="7">
      <formula>H25&gt;0</formula>
    </cfRule>
    <cfRule type="expression" dxfId="1638" priority="8">
      <formula>H25&lt;0</formula>
    </cfRule>
  </conditionalFormatting>
  <conditionalFormatting sqref="M58">
    <cfRule type="expression" dxfId="1637" priority="5">
      <formula>M58&gt;0</formula>
    </cfRule>
    <cfRule type="expression" dxfId="1636" priority="6">
      <formula>M58&lt;0</formula>
    </cfRule>
  </conditionalFormatting>
  <conditionalFormatting sqref="F84:F115">
    <cfRule type="expression" dxfId="1635" priority="3">
      <formula>F84&gt;0</formula>
    </cfRule>
    <cfRule type="expression" dxfId="1634" priority="4">
      <formula>F84&lt;0</formula>
    </cfRule>
  </conditionalFormatting>
  <conditionalFormatting sqref="H84:H115">
    <cfRule type="expression" dxfId="1633" priority="1">
      <formula>H84&gt;0</formula>
    </cfRule>
    <cfRule type="expression" dxfId="1632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787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187.99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187.99</v>
      </c>
      <c r="R4" s="509">
        <v>1.5299999999999999E-2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1" x14ac:dyDescent="0.25">
      <c r="H10" s="70"/>
      <c r="O10" s="11" t="s">
        <v>209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6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6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8">
        <v>43035</v>
      </c>
      <c r="C27" s="10">
        <v>0</v>
      </c>
      <c r="D27" s="39"/>
      <c r="E27" s="39"/>
      <c r="F27" s="39">
        <v>843.18</v>
      </c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1:17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1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1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1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1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1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206.78900000000002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204.90910000000002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203.02920000000003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201.14930000000001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199.26940000000002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197.38950000000003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195.50960000000001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193.62970000000001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191.74980000000002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189.8699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187.99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186.11010000000002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184.2302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182.3503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180.47040000000001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178.59049999999999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176.7106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174.83070000000001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172.95080000000002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171.07090000000002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169.191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30</v>
      </c>
      <c r="D84" s="532"/>
      <c r="E84" s="532"/>
      <c r="F84" s="532">
        <f>SUM(F68:F72)</f>
        <v>4475.0999999999995</v>
      </c>
      <c r="G84" s="531"/>
      <c r="H84" s="553">
        <f>SUM(H68:H71)</f>
        <v>30</v>
      </c>
      <c r="I84" s="532"/>
      <c r="J84" s="532"/>
      <c r="K84" s="532">
        <f>SUM(K68:K71)</f>
        <v>5318.28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31" priority="21">
      <formula>F47&gt;0</formula>
    </cfRule>
    <cfRule type="expression" dxfId="1630" priority="22">
      <formula>F47&lt;0</formula>
    </cfRule>
  </conditionalFormatting>
  <conditionalFormatting sqref="Q7">
    <cfRule type="expression" dxfId="1629" priority="19">
      <formula>Q7&gt;0</formula>
    </cfRule>
    <cfRule type="expression" dxfId="1628" priority="20">
      <formula>Q7&lt;0</formula>
    </cfRule>
  </conditionalFormatting>
  <conditionalFormatting sqref="Q8">
    <cfRule type="expression" dxfId="1627" priority="17">
      <formula>Q8&gt;0</formula>
    </cfRule>
    <cfRule type="expression" dxfId="1626" priority="18">
      <formula>Q8&lt;0</formula>
    </cfRule>
  </conditionalFormatting>
  <conditionalFormatting sqref="F25:F46">
    <cfRule type="expression" dxfId="1625" priority="15">
      <formula>F25&gt;0</formula>
    </cfRule>
    <cfRule type="expression" dxfId="1624" priority="16">
      <formula>F25&lt;0</formula>
    </cfRule>
  </conditionalFormatting>
  <conditionalFormatting sqref="H25:H46">
    <cfRule type="expression" dxfId="1623" priority="13">
      <formula>H25&gt;0</formula>
    </cfRule>
    <cfRule type="expression" dxfId="1622" priority="14">
      <formula>H25&lt;0</formula>
    </cfRule>
  </conditionalFormatting>
  <conditionalFormatting sqref="F89:F110">
    <cfRule type="expression" dxfId="1621" priority="11">
      <formula>F89&gt;0</formula>
    </cfRule>
    <cfRule type="expression" dxfId="1620" priority="12">
      <formula>F89&lt;0</formula>
    </cfRule>
  </conditionalFormatting>
  <conditionalFormatting sqref="H89:H110">
    <cfRule type="expression" dxfId="1619" priority="9">
      <formula>H89&gt;0</formula>
    </cfRule>
    <cfRule type="expression" dxfId="1618" priority="10">
      <formula>H89&lt;0</formula>
    </cfRule>
  </conditionalFormatting>
  <conditionalFormatting sqref="Q10">
    <cfRule type="expression" dxfId="1617" priority="7">
      <formula>Q10&gt;0</formula>
    </cfRule>
    <cfRule type="expression" dxfId="1616" priority="8">
      <formula>Q10&lt;0</formula>
    </cfRule>
  </conditionalFormatting>
  <conditionalFormatting sqref="J25:J38">
    <cfRule type="expression" dxfId="1615" priority="5">
      <formula>J25&gt;0</formula>
    </cfRule>
    <cfRule type="expression" dxfId="1614" priority="6">
      <formula>J25&lt;0</formula>
    </cfRule>
  </conditionalFormatting>
  <conditionalFormatting sqref="K25:K38">
    <cfRule type="expression" dxfId="1613" priority="3">
      <formula>K25&gt;0</formula>
    </cfRule>
    <cfRule type="expression" dxfId="1612" priority="4">
      <formula>K25&lt;0</formula>
    </cfRule>
  </conditionalFormatting>
  <conditionalFormatting sqref="L25:L38">
    <cfRule type="expression" dxfId="1611" priority="1">
      <formula>L25&gt;0</formula>
    </cfRule>
    <cfRule type="expression" dxfId="1610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695"/>
  <sheetViews>
    <sheetView zoomScale="98" zoomScaleNormal="98" workbookViewId="0">
      <pane ySplit="1" topLeftCell="A128" activePane="bottomLeft" state="frozen"/>
      <selection pane="bottomLeft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30" bestFit="1" customWidth="1"/>
    <col min="17" max="17" width="11.140625" customWidth="1"/>
    <col min="18" max="18" width="10.42578125" bestFit="1" customWidth="1"/>
    <col min="20" max="20" width="19.140625" style="41" bestFit="1" customWidth="1"/>
    <col min="21" max="21" width="53.5703125" style="33" bestFit="1" customWidth="1"/>
    <col min="22" max="22" width="25.85546875" customWidth="1"/>
    <col min="23" max="23" width="15.7109375" customWidth="1"/>
    <col min="24" max="24" width="13.140625" customWidth="1"/>
    <col min="25" max="25" width="8.7109375" bestFit="1" customWidth="1"/>
    <col min="26" max="26" width="141.7109375" style="754" customWidth="1"/>
    <col min="27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2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Y1" s="42" t="s">
        <v>70</v>
      </c>
      <c r="Z1" s="82"/>
    </row>
    <row r="2" spans="1:32" x14ac:dyDescent="0.25">
      <c r="A2" s="6" t="s">
        <v>50</v>
      </c>
      <c r="B2" s="488">
        <v>42761</v>
      </c>
      <c r="C2" s="7">
        <v>500</v>
      </c>
      <c r="D2" s="77">
        <v>17.79</v>
      </c>
      <c r="E2" s="43">
        <v>0</v>
      </c>
      <c r="F2" s="43">
        <f t="shared" ref="F2:F61" si="0">C2*D2+E2</f>
        <v>8895</v>
      </c>
      <c r="G2" s="488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>
        <f>C69-H69</f>
        <v>5500</v>
      </c>
      <c r="Y2" s="62">
        <v>42804</v>
      </c>
      <c r="Z2" s="805" t="s">
        <v>721</v>
      </c>
      <c r="AA2" s="805"/>
      <c r="AB2" s="805"/>
    </row>
    <row r="3" spans="1:32" x14ac:dyDescent="0.25">
      <c r="A3" s="22" t="s">
        <v>71</v>
      </c>
      <c r="B3" s="488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88">
        <v>42803</v>
      </c>
      <c r="H3" s="80">
        <v>200</v>
      </c>
      <c r="I3" s="77">
        <v>15.6</v>
      </c>
      <c r="J3" s="43">
        <v>7.0000000000000007E-2</v>
      </c>
      <c r="K3" s="43">
        <f t="shared" ref="K3:K43" si="1">H3*I3-J3</f>
        <v>3119.93</v>
      </c>
      <c r="L3" s="72">
        <v>42846</v>
      </c>
      <c r="M3" s="43">
        <v>3.25</v>
      </c>
      <c r="O3" s="11" t="s">
        <v>58</v>
      </c>
      <c r="Q3" s="494">
        <f>IF(Q2=0, Q4, (F69-K69-M69)/Q2)</f>
        <v>15.825178181818169</v>
      </c>
      <c r="Y3" s="62">
        <v>42866</v>
      </c>
      <c r="Z3" s="805" t="s">
        <v>722</v>
      </c>
      <c r="AA3" s="805"/>
      <c r="AB3" s="805"/>
      <c r="AC3" s="229"/>
      <c r="AF3" s="229"/>
    </row>
    <row r="4" spans="1:32" ht="15" customHeight="1" x14ac:dyDescent="0.25">
      <c r="B4" s="488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88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15.51</v>
      </c>
      <c r="R4" s="487">
        <v>-1.0800000000000001E-2</v>
      </c>
      <c r="Y4" s="62">
        <v>43088</v>
      </c>
      <c r="Z4" s="754" t="s">
        <v>834</v>
      </c>
      <c r="AC4" s="229"/>
      <c r="AF4" s="229"/>
    </row>
    <row r="5" spans="1:32" x14ac:dyDescent="0.25">
      <c r="B5" s="488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88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783</v>
      </c>
      <c r="O5" s="11" t="s">
        <v>67</v>
      </c>
      <c r="Q5" s="3">
        <f>Q4*Q2</f>
        <v>85305</v>
      </c>
      <c r="Y5" s="62">
        <v>43096</v>
      </c>
      <c r="Z5" s="754" t="s">
        <v>839</v>
      </c>
    </row>
    <row r="6" spans="1:32" x14ac:dyDescent="0.25">
      <c r="B6" s="488">
        <v>42765</v>
      </c>
      <c r="C6" s="4">
        <v>500</v>
      </c>
      <c r="D6" s="235">
        <v>16.649999999999999</v>
      </c>
      <c r="E6" s="3">
        <v>0</v>
      </c>
      <c r="F6" s="3">
        <f t="shared" si="0"/>
        <v>8325</v>
      </c>
      <c r="G6" s="488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87038.479999999923</v>
      </c>
      <c r="Y6" s="62">
        <v>43103</v>
      </c>
      <c r="Z6" s="754" t="s">
        <v>890</v>
      </c>
    </row>
    <row r="7" spans="1:32" x14ac:dyDescent="0.25">
      <c r="B7" s="488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88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O7" s="11" t="s">
        <v>178</v>
      </c>
      <c r="Q7" s="2">
        <f>Q10+Q8</f>
        <v>12882.091000001703</v>
      </c>
      <c r="R7">
        <v>2300</v>
      </c>
      <c r="U7" s="179"/>
      <c r="Y7" s="62"/>
      <c r="Z7" s="754" t="s">
        <v>891</v>
      </c>
    </row>
    <row r="8" spans="1:32" x14ac:dyDescent="0.25">
      <c r="A8" s="622"/>
      <c r="B8" s="488">
        <v>42766</v>
      </c>
      <c r="C8" s="4">
        <v>100</v>
      </c>
      <c r="D8" s="235">
        <v>16.59</v>
      </c>
      <c r="E8" s="3">
        <v>0</v>
      </c>
      <c r="F8" s="3">
        <f t="shared" si="0"/>
        <v>1659</v>
      </c>
      <c r="G8" s="488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O8" s="11" t="s">
        <v>180</v>
      </c>
      <c r="P8" s="33"/>
      <c r="Q8" s="2">
        <f>K69+M69-F69+Q2*Q4</f>
        <v>-1733.4799999999232</v>
      </c>
      <c r="Y8" s="62"/>
    </row>
    <row r="9" spans="1:32" x14ac:dyDescent="0.25">
      <c r="A9" s="622"/>
      <c r="B9" s="488">
        <v>42766</v>
      </c>
      <c r="C9" s="4">
        <v>200</v>
      </c>
      <c r="D9" s="235">
        <v>16.32</v>
      </c>
      <c r="E9" s="3">
        <v>0</v>
      </c>
      <c r="F9" s="3">
        <f t="shared" si="0"/>
        <v>3264</v>
      </c>
      <c r="G9" s="488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210</v>
      </c>
      <c r="Q9" s="134">
        <f>IF(Q2=0, 0, Q8/Q6)</f>
        <v>-1.9916248537427638E-2</v>
      </c>
      <c r="Y9" s="62">
        <v>43106</v>
      </c>
      <c r="Z9" s="765" t="s">
        <v>913</v>
      </c>
    </row>
    <row r="10" spans="1:32" ht="15" customHeight="1" x14ac:dyDescent="0.25">
      <c r="A10" s="622"/>
      <c r="B10" s="488">
        <v>42767</v>
      </c>
      <c r="C10" s="4">
        <v>500</v>
      </c>
      <c r="D10" s="235">
        <v>16.559999999999999</v>
      </c>
      <c r="E10" s="3">
        <v>-0.5</v>
      </c>
      <c r="F10" s="3">
        <f t="shared" si="0"/>
        <v>8279.5</v>
      </c>
      <c r="G10" s="488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209</v>
      </c>
      <c r="P10" s="33"/>
      <c r="Q10" s="2">
        <f>M430</f>
        <v>14615.571000001626</v>
      </c>
      <c r="Y10" s="62"/>
    </row>
    <row r="11" spans="1:32" x14ac:dyDescent="0.25">
      <c r="A11" s="622"/>
      <c r="B11" s="488">
        <v>42767</v>
      </c>
      <c r="C11" s="4">
        <v>500</v>
      </c>
      <c r="D11" s="78">
        <v>16.29</v>
      </c>
      <c r="E11" s="2">
        <v>0</v>
      </c>
      <c r="F11" s="2">
        <f t="shared" si="0"/>
        <v>8145</v>
      </c>
      <c r="G11" s="488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1.2894906511927789E-2</v>
      </c>
      <c r="R11">
        <f>0.05</f>
        <v>0.05</v>
      </c>
      <c r="Y11" s="62">
        <v>43117</v>
      </c>
      <c r="Z11" s="754" t="s">
        <v>952</v>
      </c>
    </row>
    <row r="12" spans="1:32" x14ac:dyDescent="0.25">
      <c r="A12" s="622"/>
      <c r="B12" s="488">
        <v>42767</v>
      </c>
      <c r="C12" s="4">
        <v>200</v>
      </c>
      <c r="D12" s="78">
        <v>16.399999999999999</v>
      </c>
      <c r="E12" s="2">
        <v>0</v>
      </c>
      <c r="F12" s="2">
        <f t="shared" si="0"/>
        <v>3279.9999999999995</v>
      </c>
      <c r="G12" s="488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Y12" s="62"/>
    </row>
    <row r="13" spans="1:32" x14ac:dyDescent="0.25">
      <c r="A13" s="622"/>
      <c r="B13" s="488">
        <v>42768</v>
      </c>
      <c r="C13" s="4">
        <v>200</v>
      </c>
      <c r="D13" s="235">
        <v>16.54</v>
      </c>
      <c r="E13" s="3">
        <v>0.4</v>
      </c>
      <c r="F13" s="3">
        <f t="shared" si="0"/>
        <v>3308.4</v>
      </c>
      <c r="G13" s="488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Y13" s="1">
        <v>43120</v>
      </c>
      <c r="Z13" s="754" t="s">
        <v>958</v>
      </c>
    </row>
    <row r="14" spans="1:32" x14ac:dyDescent="0.25">
      <c r="A14" s="622"/>
      <c r="B14" s="488">
        <v>42768</v>
      </c>
      <c r="C14" s="4">
        <v>500</v>
      </c>
      <c r="D14" s="78">
        <v>16.32</v>
      </c>
      <c r="E14" s="2">
        <v>0</v>
      </c>
      <c r="F14" s="2">
        <f t="shared" si="0"/>
        <v>8160</v>
      </c>
      <c r="G14" s="488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694" t="s">
        <v>113</v>
      </c>
      <c r="P14" s="694" t="s">
        <v>734</v>
      </c>
      <c r="Q14" s="694" t="s">
        <v>735</v>
      </c>
      <c r="R14" s="692" t="s">
        <v>728</v>
      </c>
      <c r="S14" s="692" t="s">
        <v>729</v>
      </c>
      <c r="T14" s="694" t="s">
        <v>731</v>
      </c>
      <c r="U14" s="694" t="s">
        <v>732</v>
      </c>
      <c r="V14" s="692" t="s">
        <v>730</v>
      </c>
      <c r="W14" s="693" t="s">
        <v>733</v>
      </c>
      <c r="Y14" s="62"/>
      <c r="Z14" s="754" t="s">
        <v>961</v>
      </c>
    </row>
    <row r="15" spans="1:32" x14ac:dyDescent="0.25">
      <c r="B15" s="488">
        <v>42772</v>
      </c>
      <c r="C15" s="4">
        <v>400</v>
      </c>
      <c r="D15" s="78">
        <v>16.72</v>
      </c>
      <c r="E15" s="2">
        <v>0</v>
      </c>
      <c r="F15" s="2">
        <f t="shared" si="0"/>
        <v>6688</v>
      </c>
      <c r="G15" s="488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695">
        <v>42949</v>
      </c>
      <c r="P15" s="691" t="s">
        <v>736</v>
      </c>
      <c r="Q15" s="691"/>
      <c r="R15" s="690">
        <v>-0.15</v>
      </c>
      <c r="S15" s="690">
        <v>-0.24</v>
      </c>
      <c r="T15" s="691">
        <v>1.02</v>
      </c>
      <c r="U15" s="691">
        <v>1.04</v>
      </c>
      <c r="V15" s="688"/>
      <c r="W15" s="689"/>
      <c r="Y15" s="62"/>
    </row>
    <row r="16" spans="1:32" x14ac:dyDescent="0.25">
      <c r="B16" s="488">
        <v>42772</v>
      </c>
      <c r="C16" s="4">
        <v>300</v>
      </c>
      <c r="D16" s="235">
        <v>16.48</v>
      </c>
      <c r="E16" s="3">
        <v>0</v>
      </c>
      <c r="F16" s="3">
        <f t="shared" si="0"/>
        <v>4944</v>
      </c>
      <c r="G16" s="488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O16" s="734">
        <v>43040</v>
      </c>
      <c r="P16" s="691" t="s">
        <v>737</v>
      </c>
      <c r="Q16" s="691" t="s">
        <v>727</v>
      </c>
      <c r="R16" s="690">
        <v>-0.14599999999999999</v>
      </c>
      <c r="S16" s="688">
        <v>-0.08</v>
      </c>
      <c r="T16" s="691">
        <v>1.05</v>
      </c>
      <c r="U16" s="691">
        <v>1.25</v>
      </c>
      <c r="V16" s="688"/>
      <c r="W16" s="689"/>
      <c r="Y16" s="62">
        <v>43131</v>
      </c>
      <c r="Z16" s="754" t="s">
        <v>960</v>
      </c>
    </row>
    <row r="17" spans="2:26" x14ac:dyDescent="0.25">
      <c r="B17" s="488">
        <v>42773</v>
      </c>
      <c r="C17" s="4">
        <v>300</v>
      </c>
      <c r="D17" s="235">
        <v>16.079999999999998</v>
      </c>
      <c r="E17" s="3">
        <v>0</v>
      </c>
      <c r="F17" s="3">
        <f t="shared" si="0"/>
        <v>4823.9999999999991</v>
      </c>
      <c r="G17" s="488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O17" s="696"/>
      <c r="P17" s="691"/>
      <c r="Q17" s="691"/>
      <c r="R17" s="688"/>
      <c r="S17" s="688"/>
      <c r="T17" s="691"/>
      <c r="U17" s="691"/>
      <c r="V17" s="688"/>
      <c r="W17" s="689"/>
      <c r="Y17" s="786">
        <v>43136</v>
      </c>
      <c r="Z17" s="754" t="s">
        <v>959</v>
      </c>
    </row>
    <row r="18" spans="2:26" x14ac:dyDescent="0.25">
      <c r="B18" s="488">
        <v>42773</v>
      </c>
      <c r="C18" s="4">
        <v>300</v>
      </c>
      <c r="D18" s="235">
        <v>15.85</v>
      </c>
      <c r="E18" s="3">
        <v>0</v>
      </c>
      <c r="F18" s="3">
        <f t="shared" si="0"/>
        <v>4755</v>
      </c>
      <c r="G18" s="488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2:26" x14ac:dyDescent="0.25">
      <c r="B19" s="488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88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O19" s="696"/>
      <c r="P19" s="691"/>
      <c r="Q19" s="691"/>
      <c r="R19" s="688"/>
      <c r="S19" s="688"/>
      <c r="T19" s="691"/>
      <c r="U19" s="691"/>
      <c r="V19" s="688"/>
      <c r="W19" s="689"/>
      <c r="Y19" s="62">
        <v>43139</v>
      </c>
      <c r="Z19" s="754" t="s">
        <v>988</v>
      </c>
    </row>
    <row r="20" spans="2:26" x14ac:dyDescent="0.25">
      <c r="B20" s="488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88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O20" s="696"/>
      <c r="P20" s="691"/>
      <c r="Q20" s="691"/>
      <c r="R20" s="688"/>
      <c r="S20" s="688"/>
      <c r="T20" s="691"/>
      <c r="U20" s="691"/>
      <c r="V20" s="688"/>
      <c r="W20" s="689"/>
      <c r="Y20" s="62"/>
    </row>
    <row r="21" spans="2:26" x14ac:dyDescent="0.25">
      <c r="B21" s="488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88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O21" s="696"/>
      <c r="P21" s="691"/>
      <c r="Q21" s="691"/>
      <c r="R21" s="688"/>
      <c r="S21" s="688"/>
      <c r="T21" s="691"/>
      <c r="U21" s="691"/>
      <c r="V21" s="688"/>
      <c r="W21" s="689"/>
    </row>
    <row r="22" spans="2:26" x14ac:dyDescent="0.25">
      <c r="B22" s="488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88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O22" s="696"/>
      <c r="P22" s="691"/>
      <c r="Q22" s="691"/>
      <c r="R22" s="688"/>
      <c r="S22" s="688"/>
      <c r="T22" s="691"/>
      <c r="U22" s="691"/>
      <c r="V22" s="688"/>
      <c r="W22" s="689"/>
      <c r="Y22" s="786">
        <v>43145</v>
      </c>
      <c r="Z22" s="754" t="s">
        <v>82</v>
      </c>
    </row>
    <row r="23" spans="2:26" x14ac:dyDescent="0.25">
      <c r="B23" s="488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88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2:26" x14ac:dyDescent="0.25">
      <c r="B24" s="488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88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2:26" x14ac:dyDescent="0.25">
      <c r="B25" s="488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88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696"/>
      <c r="P25" s="691"/>
      <c r="Q25" s="691"/>
      <c r="R25" s="688"/>
      <c r="S25" s="688"/>
      <c r="T25" s="691"/>
      <c r="U25" s="691"/>
      <c r="V25" s="688"/>
      <c r="W25" s="689"/>
    </row>
    <row r="26" spans="2:26" ht="15" customHeight="1" x14ac:dyDescent="0.25">
      <c r="B26" s="488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88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Q26" s="2"/>
    </row>
    <row r="27" spans="2:26" ht="15" customHeight="1" x14ac:dyDescent="0.25">
      <c r="B27" s="488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88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Q27" s="2"/>
    </row>
    <row r="28" spans="2:26" x14ac:dyDescent="0.25">
      <c r="B28" s="488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88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Q28" s="2"/>
    </row>
    <row r="29" spans="2:26" x14ac:dyDescent="0.25">
      <c r="B29" s="488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88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Q29" s="2"/>
    </row>
    <row r="30" spans="2:26" x14ac:dyDescent="0.25">
      <c r="B30" s="488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88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Q30" s="2"/>
    </row>
    <row r="31" spans="2:26" x14ac:dyDescent="0.25">
      <c r="B31" s="488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88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Q31" s="2"/>
    </row>
    <row r="32" spans="2:26" x14ac:dyDescent="0.25">
      <c r="B32" s="488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88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Q32" s="2"/>
    </row>
    <row r="33" spans="1:16" x14ac:dyDescent="0.25">
      <c r="B33" s="488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88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</row>
    <row r="34" spans="1:16" x14ac:dyDescent="0.25">
      <c r="B34" s="488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88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</row>
    <row r="35" spans="1:16" x14ac:dyDescent="0.25">
      <c r="B35" s="488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88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</row>
    <row r="36" spans="1:16" x14ac:dyDescent="0.25">
      <c r="B36" s="488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88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</row>
    <row r="37" spans="1:16" x14ac:dyDescent="0.25">
      <c r="B37" s="488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88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</row>
    <row r="38" spans="1:16" x14ac:dyDescent="0.25">
      <c r="B38" s="488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88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</row>
    <row r="39" spans="1:16" x14ac:dyDescent="0.25">
      <c r="B39" s="488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88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</row>
    <row r="40" spans="1:16" x14ac:dyDescent="0.25">
      <c r="B40" s="488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88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</row>
    <row r="41" spans="1:16" ht="20.25" thickBot="1" x14ac:dyDescent="0.35">
      <c r="B41" s="489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88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04" t="s">
        <v>78</v>
      </c>
      <c r="P41" s="804"/>
    </row>
    <row r="42" spans="1:16" ht="15.75" thickTop="1" x14ac:dyDescent="0.25">
      <c r="B42" s="489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88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1.22</v>
      </c>
      <c r="P42" s="81">
        <f>O42*$Q$4</f>
        <v>18.9222</v>
      </c>
    </row>
    <row r="43" spans="1:16" x14ac:dyDescent="0.25">
      <c r="A43" s="2"/>
      <c r="B43" s="489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88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1.21</v>
      </c>
      <c r="P43" s="81">
        <f>O43*$Q$4</f>
        <v>18.767099999999999</v>
      </c>
    </row>
    <row r="44" spans="1:16" x14ac:dyDescent="0.25">
      <c r="B44" s="489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29"/>
      <c r="O44" s="81">
        <v>1.2</v>
      </c>
      <c r="P44" s="81">
        <f>O44*$Q$4</f>
        <v>18.611999999999998</v>
      </c>
    </row>
    <row r="45" spans="1:16" x14ac:dyDescent="0.25">
      <c r="B45" s="489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29"/>
      <c r="O45" s="81">
        <v>1.19</v>
      </c>
      <c r="P45" s="81">
        <f>O45*$Q$4</f>
        <v>18.456899999999997</v>
      </c>
    </row>
    <row r="46" spans="1:16" x14ac:dyDescent="0.25">
      <c r="B46" s="489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29"/>
      <c r="O46" s="81">
        <v>1.18</v>
      </c>
      <c r="P46" s="81">
        <f>O46*$Q$4</f>
        <v>18.3018</v>
      </c>
    </row>
    <row r="47" spans="1:16" x14ac:dyDescent="0.25">
      <c r="B47" s="489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29"/>
      <c r="O47" s="81">
        <v>1.17</v>
      </c>
      <c r="P47" s="81">
        <f t="shared" ref="P47:P53" si="2">O47*$Q$4</f>
        <v>18.146699999999999</v>
      </c>
    </row>
    <row r="48" spans="1:16" x14ac:dyDescent="0.25">
      <c r="B48" s="489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29"/>
      <c r="O48" s="81">
        <v>1.1599999999999999</v>
      </c>
      <c r="P48" s="81">
        <f t="shared" si="2"/>
        <v>17.991599999999998</v>
      </c>
    </row>
    <row r="49" spans="2:16" x14ac:dyDescent="0.25">
      <c r="B49" s="489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29"/>
      <c r="O49" s="81">
        <v>1.1499999999999999</v>
      </c>
      <c r="P49" s="81">
        <f t="shared" si="2"/>
        <v>17.836499999999997</v>
      </c>
    </row>
    <row r="50" spans="2:16" x14ac:dyDescent="0.25">
      <c r="B50" s="489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29"/>
      <c r="O50" s="81">
        <v>1.1399999999999999</v>
      </c>
      <c r="P50" s="81">
        <f t="shared" si="2"/>
        <v>17.6814</v>
      </c>
    </row>
    <row r="51" spans="2:16" x14ac:dyDescent="0.25">
      <c r="B51" s="752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29"/>
      <c r="O51" s="81">
        <v>1.1299999999999999</v>
      </c>
      <c r="P51" s="81">
        <f t="shared" si="2"/>
        <v>17.526299999999999</v>
      </c>
    </row>
    <row r="52" spans="2:16" x14ac:dyDescent="0.25">
      <c r="B52" s="752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29"/>
      <c r="O52" s="81">
        <v>1.1200000000000001</v>
      </c>
      <c r="P52" s="81">
        <f t="shared" si="2"/>
        <v>17.371200000000002</v>
      </c>
    </row>
    <row r="53" spans="2:16" ht="15" customHeight="1" x14ac:dyDescent="0.25">
      <c r="B53" s="752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29"/>
      <c r="O53" s="81">
        <v>1.1100000000000001</v>
      </c>
      <c r="P53" s="81">
        <f t="shared" si="2"/>
        <v>17.216100000000001</v>
      </c>
    </row>
    <row r="54" spans="2:16" x14ac:dyDescent="0.25">
      <c r="B54" s="752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89"/>
      <c r="O54" s="81">
        <v>1.1000000000000001</v>
      </c>
      <c r="P54" s="81">
        <f>O54*$Q$4</f>
        <v>17.061</v>
      </c>
    </row>
    <row r="55" spans="2:16" x14ac:dyDescent="0.25">
      <c r="B55" s="752">
        <v>43125</v>
      </c>
      <c r="C55" s="4">
        <v>100</v>
      </c>
      <c r="D55" s="235">
        <v>18.88</v>
      </c>
      <c r="E55" s="3">
        <v>0</v>
      </c>
      <c r="F55" s="3">
        <f t="shared" si="0"/>
        <v>1888</v>
      </c>
      <c r="G55" s="29"/>
      <c r="O55" s="81">
        <v>1.0900000000000001</v>
      </c>
      <c r="P55" s="81">
        <f t="shared" ref="P55:P74" si="3">O55*$Q$4</f>
        <v>16.905900000000003</v>
      </c>
    </row>
    <row r="56" spans="2:16" x14ac:dyDescent="0.25">
      <c r="B56" s="752">
        <v>43130</v>
      </c>
      <c r="C56" s="4">
        <v>500</v>
      </c>
      <c r="D56" s="235">
        <v>18.38</v>
      </c>
      <c r="E56" s="3">
        <v>0</v>
      </c>
      <c r="F56" s="3">
        <f t="shared" si="0"/>
        <v>9190</v>
      </c>
      <c r="G56" s="29"/>
      <c r="O56" s="81">
        <v>1.08</v>
      </c>
      <c r="P56" s="81">
        <f t="shared" si="3"/>
        <v>16.750800000000002</v>
      </c>
    </row>
    <row r="57" spans="2:16" x14ac:dyDescent="0.25">
      <c r="B57" s="752">
        <v>43130</v>
      </c>
      <c r="C57" s="4">
        <v>200</v>
      </c>
      <c r="D57" s="78">
        <v>17.82</v>
      </c>
      <c r="E57" s="2">
        <v>0</v>
      </c>
      <c r="F57" s="2">
        <f t="shared" si="0"/>
        <v>3564</v>
      </c>
      <c r="G57" s="29"/>
      <c r="O57" s="81">
        <v>1.07</v>
      </c>
      <c r="P57" s="81">
        <f t="shared" si="3"/>
        <v>16.595700000000001</v>
      </c>
    </row>
    <row r="58" spans="2:16" x14ac:dyDescent="0.25">
      <c r="B58" s="752">
        <v>43133</v>
      </c>
      <c r="C58" s="4">
        <v>200</v>
      </c>
      <c r="D58" s="78">
        <v>17.579999999999998</v>
      </c>
      <c r="E58" s="2">
        <v>0</v>
      </c>
      <c r="F58" s="2">
        <f t="shared" si="0"/>
        <v>3515.9999999999995</v>
      </c>
      <c r="G58" s="29"/>
      <c r="O58" s="81">
        <v>1.06</v>
      </c>
      <c r="P58" s="81">
        <f t="shared" si="3"/>
        <v>16.4406</v>
      </c>
    </row>
    <row r="59" spans="2:16" x14ac:dyDescent="0.25">
      <c r="B59" s="752">
        <v>43139</v>
      </c>
      <c r="C59" s="4">
        <v>500</v>
      </c>
      <c r="D59" s="78">
        <v>15.88</v>
      </c>
      <c r="E59" s="2">
        <v>0</v>
      </c>
      <c r="F59" s="2">
        <f t="shared" si="0"/>
        <v>7940</v>
      </c>
      <c r="O59" s="81">
        <v>1.05</v>
      </c>
      <c r="P59" s="81">
        <f t="shared" si="3"/>
        <v>16.285499999999999</v>
      </c>
    </row>
    <row r="60" spans="2:16" x14ac:dyDescent="0.25">
      <c r="B60" s="752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O60" s="81">
        <v>1.04</v>
      </c>
      <c r="P60" s="81">
        <f t="shared" si="3"/>
        <v>16.130400000000002</v>
      </c>
    </row>
    <row r="61" spans="2:16" x14ac:dyDescent="0.25">
      <c r="B61" s="752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O61" s="81">
        <v>1.03</v>
      </c>
      <c r="P61" s="81">
        <f t="shared" si="3"/>
        <v>15.975300000000001</v>
      </c>
    </row>
    <row r="62" spans="2:16" x14ac:dyDescent="0.25">
      <c r="O62" s="81">
        <v>1.02</v>
      </c>
      <c r="P62" s="81">
        <f t="shared" si="3"/>
        <v>15.8202</v>
      </c>
    </row>
    <row r="63" spans="2:16" x14ac:dyDescent="0.25">
      <c r="O63" s="81">
        <v>1.01</v>
      </c>
      <c r="P63" s="81">
        <f t="shared" si="3"/>
        <v>15.665100000000001</v>
      </c>
    </row>
    <row r="64" spans="2:16" x14ac:dyDescent="0.25">
      <c r="O64" s="81">
        <v>1</v>
      </c>
      <c r="P64" s="81">
        <f t="shared" si="3"/>
        <v>15.51</v>
      </c>
    </row>
    <row r="65" spans="1:16" x14ac:dyDescent="0.25">
      <c r="O65" s="81">
        <v>0.99</v>
      </c>
      <c r="P65" s="81">
        <f t="shared" si="3"/>
        <v>15.354899999999999</v>
      </c>
    </row>
    <row r="66" spans="1:16" x14ac:dyDescent="0.25">
      <c r="O66" s="81">
        <v>0.98</v>
      </c>
      <c r="P66" s="81">
        <f t="shared" si="3"/>
        <v>15.1998</v>
      </c>
    </row>
    <row r="67" spans="1:16" x14ac:dyDescent="0.25">
      <c r="O67" s="81">
        <v>0.97</v>
      </c>
      <c r="P67" s="81">
        <f t="shared" si="3"/>
        <v>15.044699999999999</v>
      </c>
    </row>
    <row r="68" spans="1:16" x14ac:dyDescent="0.25">
      <c r="G68" s="29"/>
      <c r="O68" s="81">
        <v>0.96</v>
      </c>
      <c r="P68" s="81">
        <f t="shared" si="3"/>
        <v>14.8896</v>
      </c>
    </row>
    <row r="69" spans="1:16" x14ac:dyDescent="0.25">
      <c r="A69" s="31" t="s">
        <v>81</v>
      </c>
      <c r="B69" s="490"/>
      <c r="C69" s="71">
        <f>SUM(C2:C68)</f>
        <v>17800</v>
      </c>
      <c r="D69" s="18"/>
      <c r="E69" s="18"/>
      <c r="F69" s="18">
        <f>SUM(F2:F68)</f>
        <v>272568.84999999998</v>
      </c>
      <c r="G69" s="14"/>
      <c r="H69" s="71">
        <f>SUM(H2:H68)</f>
        <v>12300</v>
      </c>
      <c r="I69" s="79"/>
      <c r="J69" s="18"/>
      <c r="K69" s="18">
        <f>SUM(K2:K68)</f>
        <v>184192.12000000005</v>
      </c>
      <c r="L69" s="14"/>
      <c r="M69" s="18">
        <f>SUM(M2:M68)</f>
        <v>1338.25</v>
      </c>
      <c r="O69" s="81">
        <v>0.95</v>
      </c>
      <c r="P69" s="81">
        <f t="shared" si="3"/>
        <v>14.734499999999999</v>
      </c>
    </row>
    <row r="70" spans="1:16" ht="15.75" thickBot="1" x14ac:dyDescent="0.3">
      <c r="A70" s="347" t="s">
        <v>194</v>
      </c>
      <c r="B70" s="491"/>
      <c r="C70" s="349">
        <f>SumByColor($A$70, C2:C68)</f>
        <v>12300</v>
      </c>
      <c r="D70" s="349"/>
      <c r="E70" s="349"/>
      <c r="F70" s="350">
        <f>SumByColor($A$70, F2:F68)</f>
        <v>180839</v>
      </c>
      <c r="G70" s="349"/>
      <c r="H70" s="349">
        <f>SumByColor($A$70, H2:H68)</f>
        <v>12300</v>
      </c>
      <c r="I70" s="349"/>
      <c r="J70" s="350"/>
      <c r="K70" s="350">
        <f>SumByColor($A$70, K2:K68)</f>
        <v>184196</v>
      </c>
      <c r="L70" s="349"/>
      <c r="M70" s="350">
        <f>SumByColor($A$70, M2:M68)</f>
        <v>1338</v>
      </c>
      <c r="O70" s="81">
        <v>0.94</v>
      </c>
      <c r="P70" s="81">
        <f t="shared" si="3"/>
        <v>14.5794</v>
      </c>
    </row>
    <row r="71" spans="1:16" x14ac:dyDescent="0.25">
      <c r="O71" s="81">
        <v>0.93</v>
      </c>
      <c r="P71" s="81">
        <f t="shared" si="3"/>
        <v>14.424300000000001</v>
      </c>
    </row>
    <row r="72" spans="1:16" x14ac:dyDescent="0.25">
      <c r="O72" s="81">
        <v>0.92</v>
      </c>
      <c r="P72" s="81">
        <f t="shared" si="3"/>
        <v>14.2692</v>
      </c>
    </row>
    <row r="73" spans="1:16" x14ac:dyDescent="0.25">
      <c r="B73" s="492" t="s">
        <v>113</v>
      </c>
      <c r="C73" s="186" t="s">
        <v>146</v>
      </c>
      <c r="D73" s="194" t="s">
        <v>145</v>
      </c>
      <c r="E73" s="189" t="s">
        <v>147</v>
      </c>
      <c r="F73" s="190" t="s">
        <v>65</v>
      </c>
      <c r="G73" s="224" t="s">
        <v>151</v>
      </c>
      <c r="H73" s="190" t="s">
        <v>88</v>
      </c>
      <c r="I73" s="224" t="s">
        <v>154</v>
      </c>
      <c r="J73" s="224" t="s">
        <v>514</v>
      </c>
      <c r="K73" s="224" t="s">
        <v>150</v>
      </c>
      <c r="L73" s="224" t="s">
        <v>987</v>
      </c>
      <c r="O73" s="81">
        <v>0.91</v>
      </c>
      <c r="P73" s="81">
        <f t="shared" si="3"/>
        <v>14.114100000000001</v>
      </c>
    </row>
    <row r="74" spans="1:16" ht="15" customHeight="1" x14ac:dyDescent="0.25">
      <c r="A74" t="s">
        <v>443</v>
      </c>
      <c r="B74" s="153">
        <v>42787</v>
      </c>
      <c r="C74" s="10">
        <v>5700</v>
      </c>
      <c r="D74" s="237">
        <v>16.667088</v>
      </c>
      <c r="E74" s="39">
        <v>16.38</v>
      </c>
      <c r="F74" s="39">
        <f t="shared" ref="F74" si="4">C74*(E74-D74)</f>
        <v>-1636.4016000000038</v>
      </c>
      <c r="G74" s="39">
        <f t="shared" ref="G74" si="5">D74*C74</f>
        <v>95002.401599999997</v>
      </c>
      <c r="H74" s="226">
        <f t="shared" ref="H74" si="6">(E74-D74)/D74</f>
        <v>-1.7224844555929666E-2</v>
      </c>
      <c r="I74" s="39"/>
      <c r="J74" s="39"/>
      <c r="K74" s="39"/>
      <c r="L74" s="39"/>
      <c r="O74" s="81">
        <v>0.9</v>
      </c>
      <c r="P74" s="81">
        <f t="shared" si="3"/>
        <v>13.959</v>
      </c>
    </row>
    <row r="75" spans="1:16" x14ac:dyDescent="0.25">
      <c r="A75" t="s">
        <v>455</v>
      </c>
      <c r="B75" s="153">
        <v>42788</v>
      </c>
      <c r="C75" s="435">
        <v>6000</v>
      </c>
      <c r="D75" s="657">
        <v>16.620999999999999</v>
      </c>
      <c r="E75" s="39">
        <v>15.76</v>
      </c>
      <c r="F75" s="39">
        <f t="shared" ref="F75" si="7">C75*(E75-D75)</f>
        <v>-5165.9999999999936</v>
      </c>
      <c r="G75" s="39">
        <f t="shared" ref="G75" si="8">D75*C75</f>
        <v>99725.999999999985</v>
      </c>
      <c r="H75" s="226">
        <f t="shared" ref="H75" si="9">(E75-D75)/D75</f>
        <v>-5.1801937308224473E-2</v>
      </c>
      <c r="I75" s="39"/>
      <c r="J75" s="39"/>
      <c r="K75" s="39"/>
      <c r="L75" s="39"/>
      <c r="O75" s="81">
        <v>0.89</v>
      </c>
      <c r="P75" s="81">
        <f>O75*$Q$4</f>
        <v>13.803900000000001</v>
      </c>
    </row>
    <row r="76" spans="1:16" x14ac:dyDescent="0.25">
      <c r="A76">
        <v>600</v>
      </c>
      <c r="B76" s="153">
        <v>42795</v>
      </c>
      <c r="C76" s="10">
        <v>5500</v>
      </c>
      <c r="D76" s="237">
        <v>16.619900000000001</v>
      </c>
      <c r="E76" s="39">
        <v>16.45</v>
      </c>
      <c r="F76" s="39">
        <f t="shared" ref="F76" si="10">C76*(E76-D76)</f>
        <v>-934.45000000001062</v>
      </c>
      <c r="G76" s="39">
        <f t="shared" ref="G76" si="11">D76*C76</f>
        <v>91409.450000000012</v>
      </c>
      <c r="H76" s="226">
        <f t="shared" ref="H76" si="12">(E76-D76)/D76</f>
        <v>-1.0222684853699596E-2</v>
      </c>
      <c r="I76" s="39">
        <v>16.399999999999999</v>
      </c>
      <c r="J76" s="39"/>
      <c r="K76" s="39">
        <v>13681</v>
      </c>
      <c r="L76" s="39"/>
      <c r="O76" s="81">
        <v>0.88</v>
      </c>
      <c r="P76" s="81">
        <f>O76*$Q$4</f>
        <v>13.6488</v>
      </c>
    </row>
    <row r="77" spans="1:16" x14ac:dyDescent="0.25">
      <c r="A77">
        <v>1400</v>
      </c>
      <c r="B77" s="153">
        <v>42796</v>
      </c>
      <c r="C77" s="10">
        <v>6000</v>
      </c>
      <c r="D77" s="237">
        <v>16.589099999999998</v>
      </c>
      <c r="E77" s="39">
        <v>16.14</v>
      </c>
      <c r="F77" s="39">
        <f t="shared" ref="F77" si="13">C77*(E77-D77)</f>
        <v>-2694.5999999999872</v>
      </c>
      <c r="G77" s="39">
        <f t="shared" ref="G77" si="14">D77*C77</f>
        <v>99534.599999999991</v>
      </c>
      <c r="H77" s="226">
        <f t="shared" ref="H77" si="15">(E77-D77)/D77</f>
        <v>-2.7071993055681011E-2</v>
      </c>
      <c r="I77" s="39">
        <v>16.25</v>
      </c>
      <c r="J77" s="39"/>
      <c r="K77" s="39">
        <v>11921</v>
      </c>
      <c r="L77" s="39"/>
      <c r="O77" s="81">
        <v>0.87</v>
      </c>
      <c r="P77" s="81">
        <f>O77*$Q$4</f>
        <v>13.4937</v>
      </c>
    </row>
    <row r="78" spans="1:16" x14ac:dyDescent="0.25">
      <c r="A78">
        <v>3600</v>
      </c>
      <c r="B78" s="153">
        <v>42798</v>
      </c>
      <c r="C78" s="10">
        <v>6000</v>
      </c>
      <c r="D78" s="237">
        <v>16.589099999999998</v>
      </c>
      <c r="E78" s="39">
        <v>16.14</v>
      </c>
      <c r="F78" s="39">
        <f t="shared" ref="F78" si="16">C78*(E78-D78)</f>
        <v>-2694.5999999999872</v>
      </c>
      <c r="G78" s="39">
        <f t="shared" ref="G78" si="17">D78*C78</f>
        <v>99534.599999999991</v>
      </c>
      <c r="H78" s="226">
        <f t="shared" ref="H78" si="18">(E78-D78)/D78</f>
        <v>-2.7071993055681011E-2</v>
      </c>
      <c r="I78" s="39">
        <v>16.25</v>
      </c>
      <c r="J78" s="39"/>
      <c r="K78" s="39">
        <v>12161</v>
      </c>
      <c r="L78" s="39"/>
      <c r="O78" s="81">
        <v>0.86</v>
      </c>
      <c r="P78" s="81">
        <f>O78*$Q$4</f>
        <v>13.3386</v>
      </c>
    </row>
    <row r="79" spans="1:16" x14ac:dyDescent="0.25">
      <c r="A79">
        <v>3600</v>
      </c>
      <c r="B79" s="153">
        <v>42800</v>
      </c>
      <c r="C79" s="10">
        <v>6000</v>
      </c>
      <c r="D79" s="237">
        <v>16.589099999999998</v>
      </c>
      <c r="E79" s="39">
        <v>16.47</v>
      </c>
      <c r="F79" s="39">
        <f t="shared" ref="F79:F80" si="19">C79*(E79-D79)</f>
        <v>-714.59999999999718</v>
      </c>
      <c r="G79" s="39">
        <f t="shared" ref="G79:G80" si="20">D79*C79</f>
        <v>99534.599999999991</v>
      </c>
      <c r="H79" s="226">
        <f t="shared" ref="H79:H80" si="21">(E79-D79)/D79</f>
        <v>-7.1794129880463405E-3</v>
      </c>
      <c r="I79" s="39">
        <v>16.25</v>
      </c>
      <c r="J79" s="39"/>
      <c r="K79" s="39">
        <v>13901</v>
      </c>
      <c r="L79" s="39"/>
      <c r="O79" s="81">
        <v>0.85</v>
      </c>
      <c r="P79" s="81">
        <f>O79*$Q$4</f>
        <v>13.183499999999999</v>
      </c>
    </row>
    <row r="80" spans="1:16" x14ac:dyDescent="0.25">
      <c r="A80">
        <v>3600</v>
      </c>
      <c r="B80" s="153">
        <v>42802</v>
      </c>
      <c r="C80" s="10">
        <v>6700</v>
      </c>
      <c r="D80" s="237">
        <v>16.427</v>
      </c>
      <c r="E80" s="39">
        <v>14.87</v>
      </c>
      <c r="F80" s="39">
        <f t="shared" si="19"/>
        <v>-10431.900000000003</v>
      </c>
      <c r="G80" s="39">
        <f t="shared" si="20"/>
        <v>110060.9</v>
      </c>
      <c r="H80" s="227">
        <f t="shared" si="21"/>
        <v>-9.478297924149269E-2</v>
      </c>
      <c r="I80" s="39"/>
      <c r="J80" s="39"/>
      <c r="K80" s="39">
        <v>4183.99</v>
      </c>
      <c r="L80" s="39"/>
    </row>
    <row r="81" spans="1:12" x14ac:dyDescent="0.25">
      <c r="A81">
        <v>3600</v>
      </c>
      <c r="B81" s="153">
        <v>42803</v>
      </c>
      <c r="C81" s="10">
        <v>6000</v>
      </c>
      <c r="D81" s="237">
        <v>16.50263</v>
      </c>
      <c r="E81" s="39">
        <v>16.07</v>
      </c>
      <c r="F81" s="39">
        <f t="shared" ref="F81" si="22">C81*(E81-D81)</f>
        <v>-2595.7799999999979</v>
      </c>
      <c r="G81" s="39">
        <f t="shared" ref="G81" si="23">D81*C81</f>
        <v>99015.78</v>
      </c>
      <c r="H81" s="227">
        <f t="shared" ref="H81" si="24">(E81-D81)/D81</f>
        <v>-2.6215821356959445E-2</v>
      </c>
      <c r="I81" s="39">
        <v>16.25</v>
      </c>
      <c r="J81" s="39"/>
      <c r="K81" s="39">
        <v>12020</v>
      </c>
      <c r="L81" s="39"/>
    </row>
    <row r="82" spans="1:12" x14ac:dyDescent="0.25">
      <c r="A82">
        <v>4200</v>
      </c>
      <c r="B82" s="153">
        <v>42805</v>
      </c>
      <c r="C82" s="435">
        <v>6000</v>
      </c>
      <c r="D82" s="657">
        <v>16.447600000000001</v>
      </c>
      <c r="E82" s="39">
        <v>16.16</v>
      </c>
      <c r="F82" s="39">
        <f t="shared" ref="F82" si="25">C82*(E82-D82)</f>
        <v>-1725.6000000000072</v>
      </c>
      <c r="G82" s="39">
        <f t="shared" ref="G82" si="26">D82*C82</f>
        <v>98685.6</v>
      </c>
      <c r="H82" s="227">
        <f t="shared" ref="H82" si="27">(E82-D82)/D82</f>
        <v>-1.7485833799460174E-2</v>
      </c>
      <c r="I82" s="39" t="s">
        <v>185</v>
      </c>
      <c r="J82" s="39"/>
      <c r="K82" s="39">
        <v>12890</v>
      </c>
      <c r="L82" s="39"/>
    </row>
    <row r="83" spans="1:12" x14ac:dyDescent="0.25">
      <c r="A83">
        <v>4200</v>
      </c>
      <c r="B83" s="153">
        <v>42807</v>
      </c>
      <c r="C83" s="10">
        <v>6000</v>
      </c>
      <c r="D83" s="237">
        <v>16.447600000000001</v>
      </c>
      <c r="E83" s="39">
        <v>15.84</v>
      </c>
      <c r="F83" s="39">
        <f t="shared" ref="F83" si="28">C83*(E83-D83)</f>
        <v>-3645.600000000009</v>
      </c>
      <c r="G83" s="39">
        <f t="shared" ref="G83" si="29">D83*C83</f>
        <v>98685.6</v>
      </c>
      <c r="H83" s="227">
        <f t="shared" ref="H83" si="30">(E83-D83)/D83</f>
        <v>-3.6941559862837217E-2</v>
      </c>
      <c r="I83" s="39"/>
      <c r="J83" s="39"/>
      <c r="K83" s="39">
        <v>10970</v>
      </c>
      <c r="L83" s="39"/>
    </row>
    <row r="84" spans="1:12" x14ac:dyDescent="0.25">
      <c r="A84">
        <v>3700</v>
      </c>
      <c r="B84" s="153">
        <v>42808</v>
      </c>
      <c r="C84" s="435">
        <v>6000</v>
      </c>
      <c r="D84" s="657">
        <v>16.422999999999998</v>
      </c>
      <c r="E84" s="39">
        <v>15.32</v>
      </c>
      <c r="F84" s="39">
        <f t="shared" ref="F84" si="31">C84*(E84-D84)</f>
        <v>-6617.9999999999882</v>
      </c>
      <c r="G84" s="39">
        <f t="shared" ref="G84" si="32">D84*C84</f>
        <v>98537.999999999985</v>
      </c>
      <c r="H84" s="227">
        <f t="shared" ref="H84" si="33">(E84-D84)/D84</f>
        <v>-6.7161907081531885E-2</v>
      </c>
      <c r="I84" s="39">
        <v>16.25</v>
      </c>
      <c r="J84" s="39">
        <v>41.23</v>
      </c>
      <c r="K84" s="39">
        <v>8000</v>
      </c>
      <c r="L84" s="39"/>
    </row>
    <row r="85" spans="1:12" x14ac:dyDescent="0.25">
      <c r="A85">
        <v>3700</v>
      </c>
      <c r="B85" s="153">
        <v>42809</v>
      </c>
      <c r="C85" s="10">
        <v>6000</v>
      </c>
      <c r="D85" s="237">
        <v>16.422999999999998</v>
      </c>
      <c r="E85" s="39">
        <v>15.56</v>
      </c>
      <c r="F85" s="39">
        <f t="shared" ref="F85" si="34">C85*(E85-D85)</f>
        <v>-5177.9999999999864</v>
      </c>
      <c r="G85" s="39">
        <f t="shared" ref="G85" si="35">D85*C85</f>
        <v>98537.999999999985</v>
      </c>
      <c r="H85" s="227">
        <f t="shared" ref="H85" si="36">(E85-D85)/D85</f>
        <v>-5.254825549534177E-2</v>
      </c>
      <c r="I85" s="39">
        <v>16.25</v>
      </c>
      <c r="J85" s="39">
        <v>44</v>
      </c>
      <c r="K85" s="39">
        <v>9439</v>
      </c>
      <c r="L85" s="39"/>
    </row>
    <row r="86" spans="1:12" x14ac:dyDescent="0.25">
      <c r="A86">
        <v>4000</v>
      </c>
      <c r="B86" s="153">
        <v>42815</v>
      </c>
      <c r="C86" s="10">
        <v>6400</v>
      </c>
      <c r="D86" s="237">
        <v>16.349399999999999</v>
      </c>
      <c r="E86" s="39">
        <v>15.05</v>
      </c>
      <c r="F86" s="39">
        <f t="shared" ref="F86" si="37">C86*(E86-D86)</f>
        <v>-8316.1599999999908</v>
      </c>
      <c r="G86" s="39">
        <f t="shared" ref="G86" si="38">D86*C86</f>
        <v>104636.15999999999</v>
      </c>
      <c r="H86" s="227">
        <f t="shared" ref="H86" si="39">(E86-D86)/D86</f>
        <v>-7.9476922700527156E-2</v>
      </c>
      <c r="I86" s="39"/>
      <c r="J86" s="39"/>
      <c r="K86" s="39">
        <v>6300</v>
      </c>
      <c r="L86" s="39"/>
    </row>
    <row r="87" spans="1:12" x14ac:dyDescent="0.25">
      <c r="A87">
        <v>4300</v>
      </c>
      <c r="B87" s="153">
        <v>42819</v>
      </c>
      <c r="C87" s="10">
        <v>6400</v>
      </c>
      <c r="D87" s="237">
        <v>16.349399999999999</v>
      </c>
      <c r="E87" s="39">
        <v>14.61</v>
      </c>
      <c r="F87" s="39">
        <f t="shared" ref="F87" si="40">C87*(E87-D87)</f>
        <v>-11132.16</v>
      </c>
      <c r="G87" s="39">
        <f t="shared" ref="G87" si="41">D87*C87</f>
        <v>104636.15999999999</v>
      </c>
      <c r="H87" s="227">
        <f t="shared" ref="H87" si="42">(E87-D87)/D87</f>
        <v>-0.10638922529267128</v>
      </c>
      <c r="I87" s="39"/>
      <c r="J87" s="39"/>
      <c r="K87" s="39">
        <v>3484</v>
      </c>
      <c r="L87" s="39"/>
    </row>
    <row r="88" spans="1:12" x14ac:dyDescent="0.25">
      <c r="A88">
        <v>4300</v>
      </c>
      <c r="B88" s="153">
        <v>42821</v>
      </c>
      <c r="C88" s="10">
        <v>6400</v>
      </c>
      <c r="D88" s="237">
        <v>16.349399999999999</v>
      </c>
      <c r="E88" s="39">
        <v>14.75</v>
      </c>
      <c r="F88" s="39">
        <f t="shared" ref="F88" si="43">C88*(E88-D88)</f>
        <v>-10236.159999999996</v>
      </c>
      <c r="G88" s="39">
        <f t="shared" ref="G88" si="44">D88*C88</f>
        <v>104636.15999999999</v>
      </c>
      <c r="H88" s="227">
        <f t="shared" ref="H88" si="45">(E88-D88)/D88</f>
        <v>-9.78262199224436E-2</v>
      </c>
      <c r="I88" s="39"/>
      <c r="J88" s="39"/>
      <c r="K88" s="39">
        <v>4380</v>
      </c>
      <c r="L88" s="39"/>
    </row>
    <row r="89" spans="1:12" x14ac:dyDescent="0.25">
      <c r="A89">
        <v>4300</v>
      </c>
      <c r="B89" s="153">
        <v>42822</v>
      </c>
      <c r="C89" s="10">
        <v>6400</v>
      </c>
      <c r="D89" s="237">
        <v>16.349399999999999</v>
      </c>
      <c r="E89" s="39">
        <v>15.23</v>
      </c>
      <c r="F89" s="39">
        <f t="shared" ref="F89:F90" si="46">C89*(E89-D89)</f>
        <v>-7164.1599999999926</v>
      </c>
      <c r="G89" s="39">
        <f t="shared" ref="G89:G90" si="47">D89*C89</f>
        <v>104636.15999999999</v>
      </c>
      <c r="H89" s="227">
        <f t="shared" ref="H89:H90" si="48">(E89-D89)/D89</f>
        <v>-6.8467344367377322E-2</v>
      </c>
      <c r="I89" s="39"/>
      <c r="J89" s="39"/>
      <c r="K89" s="39">
        <v>7452</v>
      </c>
      <c r="L89" s="39"/>
    </row>
    <row r="90" spans="1:12" x14ac:dyDescent="0.25">
      <c r="A90">
        <v>3900</v>
      </c>
      <c r="B90" s="153">
        <v>42823</v>
      </c>
      <c r="C90" s="435">
        <v>6000</v>
      </c>
      <c r="D90" s="657">
        <v>16.407399999999999</v>
      </c>
      <c r="E90" s="39">
        <v>15.48</v>
      </c>
      <c r="F90" s="39">
        <f t="shared" si="46"/>
        <v>-5564.3999999999924</v>
      </c>
      <c r="G90" s="39">
        <f t="shared" si="47"/>
        <v>98444.4</v>
      </c>
      <c r="H90" s="227">
        <f t="shared" si="48"/>
        <v>-5.6523276082743074E-2</v>
      </c>
      <c r="I90" s="39">
        <v>16.25</v>
      </c>
      <c r="J90" s="39"/>
      <c r="K90" s="39">
        <v>9051</v>
      </c>
      <c r="L90" s="39"/>
    </row>
    <row r="91" spans="1:12" x14ac:dyDescent="0.25">
      <c r="A91">
        <v>4100</v>
      </c>
      <c r="B91" s="153">
        <v>42830</v>
      </c>
      <c r="C91" s="435">
        <v>6000</v>
      </c>
      <c r="D91" s="657">
        <v>16.388999999999999</v>
      </c>
      <c r="E91" s="39">
        <v>15.98</v>
      </c>
      <c r="F91" s="39">
        <f t="shared" ref="F91:F104" si="49">C91*(E91-D91)</f>
        <v>-2453.9999999999936</v>
      </c>
      <c r="G91" s="39">
        <f t="shared" ref="G91:G104" si="50">D91*C91</f>
        <v>98334</v>
      </c>
      <c r="H91" s="227">
        <f t="shared" ref="H91:H104" si="51">(E91-D91)/D91</f>
        <v>-2.4955763011776128E-2</v>
      </c>
      <c r="I91" s="39">
        <v>16.25</v>
      </c>
      <c r="J91" s="39"/>
      <c r="K91" s="39">
        <v>12159</v>
      </c>
      <c r="L91" s="39"/>
    </row>
    <row r="92" spans="1:12" x14ac:dyDescent="0.25">
      <c r="A92">
        <v>4800</v>
      </c>
      <c r="B92" s="153">
        <v>42838</v>
      </c>
      <c r="C92" s="10">
        <v>6200</v>
      </c>
      <c r="D92" s="237">
        <v>16.375</v>
      </c>
      <c r="E92" s="39">
        <v>15.9</v>
      </c>
      <c r="F92" s="39">
        <f t="shared" si="49"/>
        <v>-2944.9999999999977</v>
      </c>
      <c r="G92" s="39">
        <f t="shared" si="50"/>
        <v>101525</v>
      </c>
      <c r="H92" s="226">
        <f t="shared" si="51"/>
        <v>-2.9007633587786238E-2</v>
      </c>
      <c r="I92" s="39"/>
      <c r="J92" s="39"/>
      <c r="K92" s="39">
        <v>11731</v>
      </c>
      <c r="L92" s="39"/>
    </row>
    <row r="93" spans="1:12" x14ac:dyDescent="0.25">
      <c r="A93">
        <v>5300</v>
      </c>
      <c r="B93" s="153">
        <v>42844</v>
      </c>
      <c r="C93" s="10">
        <v>6400</v>
      </c>
      <c r="D93" s="237">
        <v>16.335000000000001</v>
      </c>
      <c r="E93" s="39">
        <v>15.06</v>
      </c>
      <c r="F93" s="39">
        <f t="shared" si="49"/>
        <v>-8160.0000000000018</v>
      </c>
      <c r="G93" s="39">
        <f t="shared" si="50"/>
        <v>104544</v>
      </c>
      <c r="H93" s="226">
        <f t="shared" si="51"/>
        <v>-7.805325987144171E-2</v>
      </c>
      <c r="I93" s="39"/>
      <c r="J93" s="39"/>
      <c r="K93" s="39">
        <v>6457</v>
      </c>
      <c r="L93" s="39"/>
    </row>
    <row r="94" spans="1:12" x14ac:dyDescent="0.25">
      <c r="A94">
        <v>5700</v>
      </c>
      <c r="B94" s="153">
        <v>42854</v>
      </c>
      <c r="C94" s="10">
        <v>6400</v>
      </c>
      <c r="D94" s="237">
        <v>16.334199999999999</v>
      </c>
      <c r="E94" s="39">
        <v>14.87</v>
      </c>
      <c r="F94" s="39">
        <f t="shared" si="49"/>
        <v>-9370.8799999999992</v>
      </c>
      <c r="G94" s="39">
        <f t="shared" si="50"/>
        <v>104538.87999999999</v>
      </c>
      <c r="H94" s="226">
        <f t="shared" si="51"/>
        <v>-8.9640141543509938E-2</v>
      </c>
      <c r="I94" s="39"/>
      <c r="J94" s="39"/>
      <c r="K94" s="39">
        <v>5245</v>
      </c>
      <c r="L94" s="39"/>
    </row>
    <row r="95" spans="1:12" x14ac:dyDescent="0.25">
      <c r="A95">
        <v>5700</v>
      </c>
      <c r="B95" s="153">
        <v>42860</v>
      </c>
      <c r="C95" s="10">
        <v>6700</v>
      </c>
      <c r="D95" s="237">
        <v>16.225999999999999</v>
      </c>
      <c r="E95" s="39">
        <v>14.29</v>
      </c>
      <c r="F95" s="39">
        <f t="shared" si="49"/>
        <v>-12971.199999999999</v>
      </c>
      <c r="G95" s="39">
        <f t="shared" si="50"/>
        <v>108714.2</v>
      </c>
      <c r="H95" s="226">
        <f t="shared" si="51"/>
        <v>-0.11931468014298041</v>
      </c>
      <c r="I95" s="39"/>
      <c r="J95" s="39"/>
      <c r="K95" s="39">
        <v>1644</v>
      </c>
      <c r="L95" s="39"/>
    </row>
    <row r="96" spans="1:12" x14ac:dyDescent="0.25">
      <c r="A96">
        <v>6000</v>
      </c>
      <c r="B96" s="153">
        <v>42862</v>
      </c>
      <c r="C96" s="10">
        <v>6700</v>
      </c>
      <c r="D96" s="237">
        <v>16.225999999999999</v>
      </c>
      <c r="E96" s="39">
        <v>14.29</v>
      </c>
      <c r="F96" s="39">
        <f t="shared" si="49"/>
        <v>-12971.199999999999</v>
      </c>
      <c r="G96" s="39">
        <f t="shared" si="50"/>
        <v>108714.2</v>
      </c>
      <c r="H96" s="226">
        <f t="shared" si="51"/>
        <v>-0.11931468014298041</v>
      </c>
      <c r="I96" s="39"/>
      <c r="J96" s="39"/>
      <c r="K96" s="39">
        <v>1644</v>
      </c>
      <c r="L96" s="39"/>
    </row>
    <row r="97" spans="1:12" x14ac:dyDescent="0.25">
      <c r="A97">
        <v>5700</v>
      </c>
      <c r="B97" s="153">
        <v>42863</v>
      </c>
      <c r="C97" s="10">
        <v>6400</v>
      </c>
      <c r="D97" s="237">
        <v>16.318000000000001</v>
      </c>
      <c r="E97" s="39">
        <v>14.59</v>
      </c>
      <c r="F97" s="39">
        <f t="shared" si="49"/>
        <v>-11059.20000000001</v>
      </c>
      <c r="G97" s="39">
        <f t="shared" si="50"/>
        <v>104435.20000000001</v>
      </c>
      <c r="H97" s="226">
        <f t="shared" si="51"/>
        <v>-0.1058953303100871</v>
      </c>
      <c r="I97" s="39"/>
      <c r="J97" s="39"/>
      <c r="K97" s="39">
        <v>3559</v>
      </c>
      <c r="L97" s="39"/>
    </row>
    <row r="98" spans="1:12" x14ac:dyDescent="0.25">
      <c r="A98">
        <v>5700</v>
      </c>
      <c r="B98" s="153">
        <v>42866</v>
      </c>
      <c r="C98" s="10">
        <v>6400</v>
      </c>
      <c r="D98" s="237">
        <v>16.318000000000001</v>
      </c>
      <c r="E98" s="39">
        <v>14.48</v>
      </c>
      <c r="F98" s="39">
        <f t="shared" si="49"/>
        <v>-11763.200000000006</v>
      </c>
      <c r="G98" s="39">
        <f t="shared" si="50"/>
        <v>104435.20000000001</v>
      </c>
      <c r="H98" s="226">
        <f t="shared" si="51"/>
        <v>-0.11263635249417826</v>
      </c>
      <c r="I98" s="39"/>
      <c r="J98" s="39"/>
      <c r="K98" s="39">
        <v>2855</v>
      </c>
      <c r="L98" s="39"/>
    </row>
    <row r="99" spans="1:12" x14ac:dyDescent="0.25">
      <c r="A99">
        <v>5900</v>
      </c>
      <c r="B99" s="153">
        <v>42872</v>
      </c>
      <c r="C99" s="10">
        <v>6531</v>
      </c>
      <c r="D99" s="237">
        <v>16.274999999999999</v>
      </c>
      <c r="E99" s="39">
        <v>14.35</v>
      </c>
      <c r="F99" s="39">
        <f t="shared" si="49"/>
        <v>-12572.174999999994</v>
      </c>
      <c r="G99" s="39">
        <f t="shared" si="50"/>
        <v>106292.02499999999</v>
      </c>
      <c r="H99" s="226">
        <f t="shared" si="51"/>
        <v>-0.11827956989247307</v>
      </c>
      <c r="I99" s="39"/>
      <c r="J99" s="39"/>
      <c r="K99" s="39">
        <v>2044</v>
      </c>
      <c r="L99" s="39"/>
    </row>
    <row r="100" spans="1:12" x14ac:dyDescent="0.25">
      <c r="B100" s="153">
        <v>42873</v>
      </c>
      <c r="C100" s="10">
        <v>6400</v>
      </c>
      <c r="D100" s="237">
        <v>16.306000000000001</v>
      </c>
      <c r="E100" s="39">
        <v>14.35</v>
      </c>
      <c r="F100" s="39">
        <f t="shared" si="49"/>
        <v>-12518.400000000009</v>
      </c>
      <c r="G100" s="39">
        <f t="shared" si="50"/>
        <v>104358.40000000001</v>
      </c>
      <c r="H100" s="226">
        <f t="shared" si="51"/>
        <v>-0.11995584447442667</v>
      </c>
      <c r="I100" s="39"/>
      <c r="J100" s="39"/>
      <c r="K100" s="39">
        <v>2098</v>
      </c>
      <c r="L100" s="39"/>
    </row>
    <row r="101" spans="1:12" x14ac:dyDescent="0.25">
      <c r="A101">
        <v>5600</v>
      </c>
      <c r="B101" s="153">
        <v>42873</v>
      </c>
      <c r="C101" s="10">
        <v>6700</v>
      </c>
      <c r="D101" s="237">
        <v>16.21</v>
      </c>
      <c r="E101" s="39">
        <v>14.16</v>
      </c>
      <c r="F101" s="39">
        <f t="shared" si="49"/>
        <v>-13735.000000000005</v>
      </c>
      <c r="G101" s="39">
        <f t="shared" si="50"/>
        <v>108607</v>
      </c>
      <c r="H101" s="226">
        <f t="shared" si="51"/>
        <v>-0.1264651449722394</v>
      </c>
      <c r="I101" s="39"/>
      <c r="J101" s="39"/>
      <c r="K101" s="39">
        <v>1016</v>
      </c>
      <c r="L101" s="39"/>
    </row>
    <row r="102" spans="1:12" x14ac:dyDescent="0.25">
      <c r="A102">
        <v>5300</v>
      </c>
      <c r="B102" s="153">
        <v>42874</v>
      </c>
      <c r="C102" s="10">
        <v>6400</v>
      </c>
      <c r="D102" s="237">
        <v>16.286000000000001</v>
      </c>
      <c r="E102" s="39">
        <v>14.58</v>
      </c>
      <c r="F102" s="39">
        <f t="shared" si="49"/>
        <v>-10918.400000000009</v>
      </c>
      <c r="G102" s="39">
        <f t="shared" si="50"/>
        <v>104230.40000000001</v>
      </c>
      <c r="H102" s="226">
        <f t="shared" si="51"/>
        <v>-0.10475254820090883</v>
      </c>
      <c r="I102" s="39"/>
      <c r="J102" s="39"/>
      <c r="K102" s="39">
        <v>3664</v>
      </c>
      <c r="L102" s="39"/>
    </row>
    <row r="103" spans="1:12" x14ac:dyDescent="0.25">
      <c r="B103" s="153">
        <v>42880</v>
      </c>
      <c r="C103" s="10">
        <v>7000</v>
      </c>
      <c r="D103" s="237">
        <v>16.05</v>
      </c>
      <c r="E103" s="39">
        <v>13.5</v>
      </c>
      <c r="F103" s="39">
        <f t="shared" si="49"/>
        <v>-17850.000000000004</v>
      </c>
      <c r="G103" s="39">
        <f t="shared" si="50"/>
        <v>112350</v>
      </c>
      <c r="H103" s="226">
        <f t="shared" si="51"/>
        <v>-0.15887850467289724</v>
      </c>
      <c r="I103" s="39"/>
      <c r="J103" s="39"/>
      <c r="K103" s="39">
        <v>-3227</v>
      </c>
      <c r="L103" s="39"/>
    </row>
    <row r="104" spans="1:12" x14ac:dyDescent="0.25">
      <c r="A104">
        <v>5800</v>
      </c>
      <c r="B104" s="153">
        <v>42899</v>
      </c>
      <c r="C104" s="10">
        <v>8000</v>
      </c>
      <c r="D104" s="237">
        <v>15.624000000000001</v>
      </c>
      <c r="E104" s="39">
        <v>13.01</v>
      </c>
      <c r="F104" s="39">
        <f t="shared" si="49"/>
        <v>-20912.000000000007</v>
      </c>
      <c r="G104" s="39">
        <f t="shared" si="50"/>
        <v>124992</v>
      </c>
      <c r="H104" s="226">
        <f t="shared" si="51"/>
        <v>-0.16730670762928831</v>
      </c>
      <c r="I104" s="39"/>
      <c r="J104" s="39"/>
      <c r="K104" s="39">
        <v>-6296</v>
      </c>
      <c r="L104" s="39"/>
    </row>
    <row r="105" spans="1:12" x14ac:dyDescent="0.25">
      <c r="A105">
        <v>8000</v>
      </c>
      <c r="B105" s="153">
        <v>42939</v>
      </c>
      <c r="C105" s="10">
        <v>8000</v>
      </c>
      <c r="D105" s="237">
        <v>15.584</v>
      </c>
      <c r="E105" s="39">
        <v>11.85</v>
      </c>
      <c r="F105" s="39">
        <f t="shared" ref="F105:F106" si="52">C105*(E105-D105)</f>
        <v>-29872</v>
      </c>
      <c r="G105" s="39">
        <f t="shared" ref="G105:G106" si="53">D105*C105</f>
        <v>124672</v>
      </c>
      <c r="H105" s="226">
        <f t="shared" ref="H105:H106" si="54">(E105-D105)/D105</f>
        <v>-0.2396047227926078</v>
      </c>
      <c r="I105" s="39"/>
      <c r="J105" s="39"/>
      <c r="K105" s="39">
        <v>-15256</v>
      </c>
      <c r="L105" s="39"/>
    </row>
    <row r="106" spans="1:12" x14ac:dyDescent="0.25">
      <c r="A106">
        <v>8000</v>
      </c>
      <c r="B106" s="153">
        <v>42943</v>
      </c>
      <c r="C106" s="10">
        <v>8200</v>
      </c>
      <c r="D106" s="237">
        <v>15.5</v>
      </c>
      <c r="E106" s="39">
        <v>12.23</v>
      </c>
      <c r="F106" s="39">
        <f t="shared" si="52"/>
        <v>-26813.999999999996</v>
      </c>
      <c r="G106" s="39">
        <f t="shared" si="53"/>
        <v>127100</v>
      </c>
      <c r="H106" s="226">
        <f t="shared" si="54"/>
        <v>-0.21096774193548384</v>
      </c>
      <c r="I106" s="39"/>
      <c r="J106" s="39"/>
      <c r="K106" s="39">
        <v>-12200</v>
      </c>
      <c r="L106" s="39"/>
    </row>
    <row r="107" spans="1:12" x14ac:dyDescent="0.25">
      <c r="B107" s="153">
        <v>42944</v>
      </c>
      <c r="C107" s="10">
        <v>8000</v>
      </c>
      <c r="D107" s="237">
        <v>15.5733</v>
      </c>
      <c r="E107" s="39">
        <v>12.36</v>
      </c>
      <c r="F107" s="39">
        <f t="shared" ref="F107:F108" si="55">C107*(E107-D107)</f>
        <v>-25706.400000000001</v>
      </c>
      <c r="G107" s="39">
        <f t="shared" ref="G107:G108" si="56">D107*C107</f>
        <v>124586.4</v>
      </c>
      <c r="H107" s="226">
        <f t="shared" ref="H107:H108" si="57">(E107-D107)/D107</f>
        <v>-0.20633391766677586</v>
      </c>
      <c r="I107" s="39"/>
      <c r="J107" s="39"/>
      <c r="K107" s="39">
        <v>-11091</v>
      </c>
      <c r="L107" s="39"/>
    </row>
    <row r="108" spans="1:12" x14ac:dyDescent="0.25">
      <c r="A108">
        <v>7400</v>
      </c>
      <c r="B108" s="153">
        <v>42950</v>
      </c>
      <c r="C108" s="10">
        <v>8000</v>
      </c>
      <c r="D108" s="237">
        <v>15.516999999999999</v>
      </c>
      <c r="E108" s="39">
        <v>12.51</v>
      </c>
      <c r="F108" s="39">
        <f t="shared" si="55"/>
        <v>-24055.999999999996</v>
      </c>
      <c r="G108" s="39">
        <f t="shared" si="56"/>
        <v>124136</v>
      </c>
      <c r="H108" s="226">
        <f t="shared" si="57"/>
        <v>-0.19378745891602756</v>
      </c>
      <c r="I108" s="39"/>
      <c r="J108" s="39"/>
      <c r="K108" s="39">
        <v>-9442</v>
      </c>
      <c r="L108" s="39"/>
    </row>
    <row r="109" spans="1:12" x14ac:dyDescent="0.25">
      <c r="A109">
        <v>7200</v>
      </c>
      <c r="B109" s="153">
        <v>42953</v>
      </c>
      <c r="C109" s="10">
        <v>8000</v>
      </c>
      <c r="D109" s="237">
        <v>15.516999999999999</v>
      </c>
      <c r="E109" s="39">
        <v>12.9</v>
      </c>
      <c r="F109" s="39">
        <f t="shared" ref="F109:F113" si="58">C109*(E109-D109)</f>
        <v>-20935.999999999993</v>
      </c>
      <c r="G109" s="39">
        <f t="shared" ref="G109:G113" si="59">D109*C109</f>
        <v>124136</v>
      </c>
      <c r="H109" s="226">
        <f t="shared" ref="H109:H113" si="60">(E109-D109)/D109</f>
        <v>-0.16865373461364949</v>
      </c>
      <c r="I109" s="39"/>
      <c r="J109" s="39"/>
      <c r="K109" s="39">
        <v>-6322</v>
      </c>
      <c r="L109" s="39"/>
    </row>
    <row r="110" spans="1:12" x14ac:dyDescent="0.25">
      <c r="A110">
        <v>7200</v>
      </c>
      <c r="B110" s="153">
        <v>42967</v>
      </c>
      <c r="C110" s="10">
        <v>8900</v>
      </c>
      <c r="D110" s="237">
        <v>15.09</v>
      </c>
      <c r="E110" s="39">
        <v>10.87</v>
      </c>
      <c r="F110" s="39">
        <f t="shared" si="58"/>
        <v>-37558.000000000007</v>
      </c>
      <c r="G110" s="39">
        <f t="shared" si="59"/>
        <v>134301</v>
      </c>
      <c r="H110" s="226">
        <f t="shared" si="60"/>
        <v>-0.27965540092776675</v>
      </c>
      <c r="I110" s="39"/>
      <c r="J110" s="39"/>
      <c r="K110" s="39">
        <v>-22952</v>
      </c>
      <c r="L110" s="39"/>
    </row>
    <row r="111" spans="1:12" x14ac:dyDescent="0.25">
      <c r="A111">
        <v>7100</v>
      </c>
      <c r="B111" s="153">
        <v>42978</v>
      </c>
      <c r="C111" s="10">
        <v>8600</v>
      </c>
      <c r="D111" s="237">
        <v>15.226800000000001</v>
      </c>
      <c r="E111" s="39">
        <v>11.27</v>
      </c>
      <c r="F111" s="39">
        <f t="shared" si="58"/>
        <v>-34028.48000000001</v>
      </c>
      <c r="G111" s="39">
        <f t="shared" si="59"/>
        <v>130950.48000000001</v>
      </c>
      <c r="H111" s="226">
        <f t="shared" si="60"/>
        <v>-0.25985761946042513</v>
      </c>
      <c r="I111" s="39"/>
      <c r="J111" s="39"/>
      <c r="K111" s="39">
        <v>-19413</v>
      </c>
      <c r="L111" s="39"/>
    </row>
    <row r="112" spans="1:12" x14ac:dyDescent="0.25">
      <c r="A112">
        <v>7300</v>
      </c>
      <c r="B112" s="153">
        <v>42984</v>
      </c>
      <c r="C112" s="10">
        <v>8200</v>
      </c>
      <c r="D112" s="237">
        <v>15.403</v>
      </c>
      <c r="E112" s="39">
        <v>11.6</v>
      </c>
      <c r="F112" s="39">
        <f t="shared" si="58"/>
        <v>-31184.600000000006</v>
      </c>
      <c r="G112" s="39">
        <f t="shared" si="59"/>
        <v>126304.6</v>
      </c>
      <c r="H112" s="226">
        <f t="shared" si="60"/>
        <v>-0.24689995455430766</v>
      </c>
      <c r="I112" s="39"/>
      <c r="J112" s="39"/>
      <c r="K112" s="39">
        <v>-17305</v>
      </c>
      <c r="L112" s="39"/>
    </row>
    <row r="113" spans="1:12" x14ac:dyDescent="0.25">
      <c r="A113">
        <v>7300</v>
      </c>
      <c r="B113" s="153">
        <v>42986</v>
      </c>
      <c r="C113" s="10">
        <v>8600</v>
      </c>
      <c r="D113" s="237">
        <v>15.202999999999999</v>
      </c>
      <c r="E113" s="39">
        <v>11.11</v>
      </c>
      <c r="F113" s="39">
        <f t="shared" si="58"/>
        <v>-35199.800000000003</v>
      </c>
      <c r="G113" s="39">
        <f t="shared" si="59"/>
        <v>130745.79999999999</v>
      </c>
      <c r="H113" s="226">
        <f t="shared" si="60"/>
        <v>-0.26922317963559822</v>
      </c>
      <c r="I113" s="39"/>
      <c r="J113" s="39"/>
      <c r="K113" s="39">
        <v>-20585</v>
      </c>
      <c r="L113" s="39"/>
    </row>
    <row r="114" spans="1:12" x14ac:dyDescent="0.25">
      <c r="A114">
        <v>6900</v>
      </c>
      <c r="B114" s="153">
        <v>42987</v>
      </c>
      <c r="C114" s="10">
        <v>8200</v>
      </c>
      <c r="D114" s="237">
        <v>15.3935</v>
      </c>
      <c r="E114" s="39">
        <v>11.3</v>
      </c>
      <c r="F114" s="39">
        <f t="shared" ref="F114:F115" si="61">C114*(E114-D114)</f>
        <v>-33566.69999999999</v>
      </c>
      <c r="G114" s="39">
        <f t="shared" ref="G114:G115" si="62">D114*C114</f>
        <v>126226.7</v>
      </c>
      <c r="H114" s="226">
        <f t="shared" ref="H114:H115" si="63">(E114-D114)/D114</f>
        <v>-0.26592392893104227</v>
      </c>
      <c r="I114" s="39"/>
      <c r="J114" s="39"/>
      <c r="K114" s="39">
        <v>-18951</v>
      </c>
      <c r="L114" s="39"/>
    </row>
    <row r="115" spans="1:12" x14ac:dyDescent="0.25">
      <c r="A115">
        <v>7500</v>
      </c>
      <c r="B115" s="153">
        <v>42996</v>
      </c>
      <c r="C115" s="10">
        <v>8000</v>
      </c>
      <c r="D115" s="237">
        <v>15.43</v>
      </c>
      <c r="E115" s="39">
        <v>12.02</v>
      </c>
      <c r="F115" s="39">
        <f t="shared" si="61"/>
        <v>-27280</v>
      </c>
      <c r="G115" s="39">
        <f t="shared" si="62"/>
        <v>123440</v>
      </c>
      <c r="H115" s="226">
        <f t="shared" si="63"/>
        <v>-0.22099805573558004</v>
      </c>
      <c r="I115" s="39">
        <v>15</v>
      </c>
      <c r="J115" s="39"/>
      <c r="K115" s="39">
        <v>-12635</v>
      </c>
      <c r="L115" s="39"/>
    </row>
    <row r="116" spans="1:12" x14ac:dyDescent="0.25">
      <c r="A116">
        <v>7600</v>
      </c>
      <c r="B116" s="153">
        <v>42999</v>
      </c>
      <c r="C116" s="10">
        <v>8000</v>
      </c>
      <c r="D116" s="237">
        <v>15.43</v>
      </c>
      <c r="E116" s="39">
        <v>12.73</v>
      </c>
      <c r="F116" s="39">
        <f t="shared" ref="F116:F122" si="64">C116*(E116-D116)</f>
        <v>-21599.999999999993</v>
      </c>
      <c r="G116" s="39">
        <f t="shared" ref="G116:G122" si="65">D116*C116</f>
        <v>123440</v>
      </c>
      <c r="H116" s="226">
        <f t="shared" ref="H116:H122" si="66">(E116-D116)/D116</f>
        <v>-0.17498379779650028</v>
      </c>
      <c r="I116" s="39">
        <v>15</v>
      </c>
      <c r="J116" s="39"/>
      <c r="K116" s="39">
        <v>-6955</v>
      </c>
      <c r="L116" s="39"/>
    </row>
    <row r="117" spans="1:12" x14ac:dyDescent="0.25">
      <c r="A117">
        <v>7100</v>
      </c>
      <c r="B117" s="153">
        <v>43000</v>
      </c>
      <c r="C117" s="10">
        <v>7500</v>
      </c>
      <c r="D117" s="237">
        <v>15.6</v>
      </c>
      <c r="E117" s="39">
        <v>12.83</v>
      </c>
      <c r="F117" s="39">
        <f t="shared" si="64"/>
        <v>-20774.999999999996</v>
      </c>
      <c r="G117" s="39">
        <f t="shared" si="65"/>
        <v>117000</v>
      </c>
      <c r="H117" s="226">
        <f t="shared" si="66"/>
        <v>-0.17756410256410254</v>
      </c>
      <c r="I117" s="39"/>
      <c r="J117" s="39"/>
      <c r="K117" s="39"/>
      <c r="L117" s="39"/>
    </row>
    <row r="118" spans="1:12" x14ac:dyDescent="0.25">
      <c r="A118">
        <v>6600</v>
      </c>
      <c r="B118" s="153">
        <v>43000</v>
      </c>
      <c r="C118" s="10">
        <v>7000</v>
      </c>
      <c r="D118" s="237">
        <v>15.788</v>
      </c>
      <c r="E118" s="39">
        <v>12.79</v>
      </c>
      <c r="F118" s="39">
        <f t="shared" si="64"/>
        <v>-20986.000000000007</v>
      </c>
      <c r="G118" s="39">
        <f t="shared" si="65"/>
        <v>110516</v>
      </c>
      <c r="H118" s="226">
        <f t="shared" si="66"/>
        <v>-0.1898910564986066</v>
      </c>
      <c r="I118" s="39">
        <v>15.5</v>
      </c>
      <c r="J118" s="39"/>
      <c r="K118" s="39">
        <v>-6370</v>
      </c>
      <c r="L118" s="39"/>
    </row>
    <row r="119" spans="1:12" x14ac:dyDescent="0.25">
      <c r="A119">
        <v>6300</v>
      </c>
      <c r="B119" s="153">
        <v>43004</v>
      </c>
      <c r="C119" s="10">
        <v>6700</v>
      </c>
      <c r="D119" s="237">
        <v>15.903</v>
      </c>
      <c r="E119" s="39">
        <v>13.4</v>
      </c>
      <c r="F119" s="39">
        <f t="shared" si="64"/>
        <v>-16770.100000000002</v>
      </c>
      <c r="G119" s="39">
        <f t="shared" si="65"/>
        <v>106550.1</v>
      </c>
      <c r="H119" s="226">
        <f t="shared" si="66"/>
        <v>-0.15739168710306231</v>
      </c>
      <c r="I119" s="39">
        <v>15.5</v>
      </c>
      <c r="J119" s="39"/>
      <c r="K119" s="39">
        <v>-2155</v>
      </c>
      <c r="L119" s="39"/>
    </row>
    <row r="120" spans="1:12" x14ac:dyDescent="0.25">
      <c r="A120">
        <v>6000</v>
      </c>
      <c r="B120" s="153">
        <v>43005</v>
      </c>
      <c r="C120" s="10">
        <v>6400</v>
      </c>
      <c r="D120" s="237">
        <v>16.003</v>
      </c>
      <c r="E120" s="39">
        <v>13.73</v>
      </c>
      <c r="F120" s="39">
        <f t="shared" si="64"/>
        <v>-14547.199999999997</v>
      </c>
      <c r="G120" s="39">
        <f t="shared" si="65"/>
        <v>102419.2</v>
      </c>
      <c r="H120" s="226">
        <f t="shared" si="66"/>
        <v>-0.14203586827469847</v>
      </c>
      <c r="I120" s="39"/>
      <c r="J120" s="39"/>
      <c r="K120" s="39">
        <v>71</v>
      </c>
      <c r="L120" s="39"/>
    </row>
    <row r="121" spans="1:12" x14ac:dyDescent="0.25">
      <c r="A121">
        <v>6000</v>
      </c>
      <c r="B121" s="153">
        <v>43006</v>
      </c>
      <c r="C121" s="10">
        <v>6700</v>
      </c>
      <c r="D121" s="237">
        <v>15.8888</v>
      </c>
      <c r="E121" s="39">
        <v>13.53</v>
      </c>
      <c r="F121" s="39">
        <f t="shared" si="64"/>
        <v>-15803.960000000003</v>
      </c>
      <c r="G121" s="39">
        <f t="shared" si="65"/>
        <v>106454.95999999999</v>
      </c>
      <c r="H121" s="226">
        <f t="shared" si="66"/>
        <v>-0.14845677458335435</v>
      </c>
      <c r="I121" s="39">
        <v>15.5</v>
      </c>
      <c r="J121" s="39"/>
      <c r="K121" s="39">
        <v>-1188</v>
      </c>
      <c r="L121" s="39"/>
    </row>
    <row r="122" spans="1:12" x14ac:dyDescent="0.25">
      <c r="A122">
        <v>5700</v>
      </c>
      <c r="B122" s="153">
        <v>43011</v>
      </c>
      <c r="C122" s="10">
        <v>6400</v>
      </c>
      <c r="D122" s="237">
        <v>15.99</v>
      </c>
      <c r="E122" s="39">
        <v>13.76</v>
      </c>
      <c r="F122" s="39">
        <f t="shared" si="64"/>
        <v>-14272.000000000004</v>
      </c>
      <c r="G122" s="39">
        <f t="shared" si="65"/>
        <v>102336</v>
      </c>
      <c r="H122" s="226">
        <f t="shared" si="66"/>
        <v>-0.13946216385240778</v>
      </c>
      <c r="I122" s="39"/>
      <c r="J122" s="39"/>
      <c r="K122" s="39">
        <v>341</v>
      </c>
      <c r="L122" s="39"/>
    </row>
    <row r="123" spans="1:12" x14ac:dyDescent="0.25">
      <c r="A123">
        <v>6100</v>
      </c>
      <c r="B123" s="153">
        <v>43023</v>
      </c>
      <c r="C123" s="10">
        <v>6400</v>
      </c>
      <c r="D123" s="237">
        <v>15.99</v>
      </c>
      <c r="E123" s="39">
        <v>13.75</v>
      </c>
      <c r="F123" s="39">
        <f t="shared" ref="F123" si="67">C123*(E123-D123)</f>
        <v>-14336.000000000002</v>
      </c>
      <c r="G123" s="39">
        <f t="shared" ref="G123" si="68">D123*C123</f>
        <v>102336</v>
      </c>
      <c r="H123" s="226">
        <f t="shared" ref="H123" si="69">(E123-D123)/D123</f>
        <v>-0.14008755472170106</v>
      </c>
      <c r="I123" s="39">
        <v>15.5</v>
      </c>
      <c r="J123" s="39">
        <v>69.28</v>
      </c>
      <c r="K123" s="39">
        <v>277</v>
      </c>
      <c r="L123" s="39"/>
    </row>
    <row r="124" spans="1:12" x14ac:dyDescent="0.25">
      <c r="B124" s="153">
        <v>43028</v>
      </c>
      <c r="C124" s="10">
        <v>6400</v>
      </c>
      <c r="D124" s="237">
        <v>15.99</v>
      </c>
      <c r="E124" s="39">
        <v>13.93</v>
      </c>
      <c r="F124" s="39">
        <f t="shared" ref="F124" si="70">C124*(E124-D124)</f>
        <v>-13184.000000000004</v>
      </c>
      <c r="G124" s="39">
        <f t="shared" ref="G124" si="71">D124*C124</f>
        <v>102336</v>
      </c>
      <c r="H124" s="226">
        <f t="shared" ref="H124" si="72">(E124-D124)/D124</f>
        <v>-0.12883051907442156</v>
      </c>
      <c r="I124" s="39"/>
      <c r="J124" s="39"/>
      <c r="K124" s="39">
        <v>1429</v>
      </c>
      <c r="L124" s="39"/>
    </row>
    <row r="125" spans="1:12" x14ac:dyDescent="0.25">
      <c r="A125">
        <v>6100</v>
      </c>
      <c r="B125" s="153">
        <v>43031</v>
      </c>
      <c r="C125" s="10">
        <v>6400</v>
      </c>
      <c r="D125" s="237">
        <v>15.99</v>
      </c>
      <c r="E125" s="39">
        <v>13.63</v>
      </c>
      <c r="F125" s="39">
        <f t="shared" ref="F125:F137" si="73">C125*(E125-D125)</f>
        <v>-15103.999999999996</v>
      </c>
      <c r="G125" s="39">
        <f t="shared" ref="G125:G137" si="74">D125*C125</f>
        <v>102336</v>
      </c>
      <c r="H125" s="226">
        <f t="shared" ref="H125:H137" si="75">(E125-D125)/D125</f>
        <v>-0.14759224515322072</v>
      </c>
      <c r="I125" s="39"/>
      <c r="J125" s="39"/>
      <c r="K125" s="39">
        <v>-491</v>
      </c>
      <c r="L125" s="39"/>
    </row>
    <row r="126" spans="1:12" x14ac:dyDescent="0.25">
      <c r="A126">
        <v>6000</v>
      </c>
      <c r="B126" s="153">
        <v>43040</v>
      </c>
      <c r="C126" s="435">
        <v>6000</v>
      </c>
      <c r="D126" s="657">
        <v>16.091100000000001</v>
      </c>
      <c r="E126" s="39">
        <v>14.87</v>
      </c>
      <c r="F126" s="39">
        <f t="shared" si="73"/>
        <v>-7326.6000000000095</v>
      </c>
      <c r="G126" s="39">
        <f t="shared" si="74"/>
        <v>96546.6</v>
      </c>
      <c r="H126" s="226">
        <f t="shared" si="75"/>
        <v>-7.5886670271143777E-2</v>
      </c>
      <c r="I126" s="197" t="s">
        <v>820</v>
      </c>
      <c r="J126" s="39"/>
      <c r="K126" s="39">
        <v>7289</v>
      </c>
      <c r="L126" s="39"/>
    </row>
    <row r="127" spans="1:12" x14ac:dyDescent="0.25">
      <c r="A127">
        <v>5700</v>
      </c>
      <c r="B127" s="153">
        <v>43042</v>
      </c>
      <c r="C127" s="10">
        <v>5700</v>
      </c>
      <c r="D127" s="237">
        <v>16.117999999999999</v>
      </c>
      <c r="E127" s="39">
        <v>15.58</v>
      </c>
      <c r="F127" s="39">
        <f t="shared" si="73"/>
        <v>-3066.5999999999913</v>
      </c>
      <c r="G127" s="39">
        <f t="shared" si="74"/>
        <v>91872.599999999991</v>
      </c>
      <c r="H127" s="226">
        <f t="shared" si="75"/>
        <v>-3.337883112048632E-2</v>
      </c>
      <c r="I127" s="39"/>
      <c r="J127" s="39"/>
      <c r="K127" s="39">
        <v>11549</v>
      </c>
      <c r="L127" s="39"/>
    </row>
    <row r="128" spans="1:12" x14ac:dyDescent="0.25">
      <c r="A128">
        <v>5600</v>
      </c>
      <c r="B128" s="153">
        <v>43045</v>
      </c>
      <c r="C128" s="10">
        <v>5600</v>
      </c>
      <c r="D128" s="237">
        <v>16.114000000000001</v>
      </c>
      <c r="E128" s="39">
        <v>16.329999999999998</v>
      </c>
      <c r="F128" s="39">
        <f t="shared" si="73"/>
        <v>1209.5999999999863</v>
      </c>
      <c r="G128" s="39">
        <f t="shared" si="74"/>
        <v>90238.400000000009</v>
      </c>
      <c r="H128" s="226">
        <f t="shared" si="75"/>
        <v>1.3404492987464163E-2</v>
      </c>
      <c r="I128" s="39"/>
      <c r="J128" s="39"/>
      <c r="K128" s="39">
        <v>15824</v>
      </c>
      <c r="L128" s="39"/>
    </row>
    <row r="129" spans="1:12" x14ac:dyDescent="0.25">
      <c r="A129">
        <v>5600</v>
      </c>
      <c r="B129" s="153">
        <v>43047</v>
      </c>
      <c r="C129" s="10">
        <v>5700</v>
      </c>
      <c r="D129" s="237">
        <v>16.1084</v>
      </c>
      <c r="E129" s="39">
        <v>15.8</v>
      </c>
      <c r="F129" s="39">
        <f t="shared" si="73"/>
        <v>-1757.8799999999937</v>
      </c>
      <c r="G129" s="39">
        <f t="shared" si="74"/>
        <v>91817.88</v>
      </c>
      <c r="H129" s="226">
        <f t="shared" si="75"/>
        <v>-1.9145290655806842E-2</v>
      </c>
      <c r="I129" s="39"/>
      <c r="J129" s="39"/>
      <c r="K129" s="39">
        <v>12858</v>
      </c>
      <c r="L129" s="39"/>
    </row>
    <row r="130" spans="1:12" x14ac:dyDescent="0.25">
      <c r="A130">
        <v>5600</v>
      </c>
      <c r="B130" s="153">
        <v>43053</v>
      </c>
      <c r="C130" s="435">
        <v>6000</v>
      </c>
      <c r="D130" s="657">
        <v>16.059999999999999</v>
      </c>
      <c r="E130" s="39">
        <v>14.84</v>
      </c>
      <c r="F130" s="39">
        <f t="shared" si="73"/>
        <v>-7319.9999999999927</v>
      </c>
      <c r="G130" s="39">
        <f t="shared" si="74"/>
        <v>96359.999999999985</v>
      </c>
      <c r="H130" s="226">
        <f t="shared" si="75"/>
        <v>-7.5965130759651237E-2</v>
      </c>
      <c r="I130" s="39">
        <v>15.75</v>
      </c>
      <c r="J130" s="39">
        <v>52.87</v>
      </c>
      <c r="K130" s="39">
        <v>7308</v>
      </c>
      <c r="L130" s="39"/>
    </row>
    <row r="131" spans="1:12" x14ac:dyDescent="0.25">
      <c r="A131">
        <v>5600</v>
      </c>
      <c r="B131" s="153">
        <v>43060</v>
      </c>
      <c r="C131" s="10">
        <v>6400</v>
      </c>
      <c r="D131" s="237">
        <v>15.96</v>
      </c>
      <c r="E131" s="39">
        <v>14.52</v>
      </c>
      <c r="F131" s="39">
        <f t="shared" si="73"/>
        <v>-9216.0000000000073</v>
      </c>
      <c r="G131" s="39">
        <f t="shared" si="74"/>
        <v>102144</v>
      </c>
      <c r="H131" s="226">
        <f t="shared" si="75"/>
        <v>-9.0225563909774514E-2</v>
      </c>
      <c r="I131" s="39"/>
      <c r="J131" s="39"/>
      <c r="K131" s="39">
        <v>5398</v>
      </c>
      <c r="L131" s="39"/>
    </row>
    <row r="132" spans="1:12" x14ac:dyDescent="0.25">
      <c r="B132" s="153">
        <v>43068</v>
      </c>
      <c r="C132" s="10">
        <v>6000</v>
      </c>
      <c r="D132" s="237">
        <v>16.010999999999999</v>
      </c>
      <c r="E132" s="39">
        <v>14.78</v>
      </c>
      <c r="F132" s="39">
        <f t="shared" si="73"/>
        <v>-7385.9999999999991</v>
      </c>
      <c r="G132" s="39">
        <f t="shared" si="74"/>
        <v>96066</v>
      </c>
      <c r="H132" s="226">
        <f t="shared" si="75"/>
        <v>-7.6884641808756482E-2</v>
      </c>
      <c r="I132" s="39"/>
      <c r="J132" s="39"/>
      <c r="K132" s="39"/>
      <c r="L132" s="39"/>
    </row>
    <row r="133" spans="1:12" x14ac:dyDescent="0.25">
      <c r="B133" s="153">
        <v>43069</v>
      </c>
      <c r="C133" s="10">
        <v>6100</v>
      </c>
      <c r="D133" s="237">
        <v>15.989000000000001</v>
      </c>
      <c r="E133" s="39">
        <v>14.69</v>
      </c>
      <c r="F133" s="39">
        <f t="shared" si="73"/>
        <v>-7923.9000000000078</v>
      </c>
      <c r="G133" s="39">
        <f t="shared" si="74"/>
        <v>97532.900000000009</v>
      </c>
      <c r="H133" s="226">
        <f t="shared" si="75"/>
        <v>-8.1243354806429496E-2</v>
      </c>
      <c r="I133" s="39"/>
      <c r="J133" s="39"/>
      <c r="K133" s="39"/>
      <c r="L133" s="39"/>
    </row>
    <row r="134" spans="1:12" x14ac:dyDescent="0.25">
      <c r="A134">
        <v>5100</v>
      </c>
      <c r="B134" s="153">
        <v>43070</v>
      </c>
      <c r="C134" s="435">
        <v>6000</v>
      </c>
      <c r="D134" s="657">
        <v>16.002800000000001</v>
      </c>
      <c r="E134" s="39">
        <v>15.08</v>
      </c>
      <c r="F134" s="39">
        <f t="shared" si="73"/>
        <v>-5536.8000000000029</v>
      </c>
      <c r="G134" s="39">
        <f t="shared" si="74"/>
        <v>96016.8</v>
      </c>
      <c r="H134" s="226">
        <f t="shared" si="75"/>
        <v>-5.7664908640987854E-2</v>
      </c>
      <c r="I134" s="39"/>
      <c r="J134" s="39"/>
      <c r="K134" s="39">
        <v>9079</v>
      </c>
      <c r="L134" s="39"/>
    </row>
    <row r="135" spans="1:12" x14ac:dyDescent="0.25">
      <c r="A135">
        <v>5200</v>
      </c>
      <c r="B135" s="153">
        <v>43081</v>
      </c>
      <c r="C135" s="435">
        <v>6000</v>
      </c>
      <c r="D135" s="657">
        <v>15.955</v>
      </c>
      <c r="E135" s="39">
        <v>15.18</v>
      </c>
      <c r="F135" s="39">
        <f t="shared" si="73"/>
        <v>-4650.0000000000018</v>
      </c>
      <c r="G135" s="39">
        <f t="shared" si="74"/>
        <v>95730</v>
      </c>
      <c r="H135" s="226">
        <f t="shared" si="75"/>
        <v>-4.8574114697586983E-2</v>
      </c>
      <c r="I135" s="197" t="s">
        <v>827</v>
      </c>
      <c r="J135" s="39">
        <v>56.3</v>
      </c>
      <c r="K135" s="39">
        <v>9964</v>
      </c>
      <c r="L135" s="39"/>
    </row>
    <row r="136" spans="1:12" x14ac:dyDescent="0.25">
      <c r="B136" s="153">
        <v>43087</v>
      </c>
      <c r="C136" s="10">
        <v>5800</v>
      </c>
      <c r="D136" s="237">
        <v>15.977</v>
      </c>
      <c r="E136" s="39">
        <v>15.33</v>
      </c>
      <c r="F136" s="39">
        <f t="shared" si="73"/>
        <v>-3752.6000000000013</v>
      </c>
      <c r="G136" s="39">
        <f t="shared" si="74"/>
        <v>92666.6</v>
      </c>
      <c r="H136" s="226">
        <f t="shared" si="75"/>
        <v>-4.0495712586843605E-2</v>
      </c>
      <c r="I136" s="39"/>
      <c r="J136" s="39"/>
      <c r="K136" s="39">
        <v>10864</v>
      </c>
      <c r="L136" s="39"/>
    </row>
    <row r="137" spans="1:12" x14ac:dyDescent="0.25">
      <c r="A137">
        <v>5200</v>
      </c>
      <c r="B137" s="153">
        <v>43087</v>
      </c>
      <c r="C137" s="10">
        <v>5700</v>
      </c>
      <c r="D137" s="237">
        <v>15.986000000000001</v>
      </c>
      <c r="E137" s="39">
        <v>15.44</v>
      </c>
      <c r="F137" s="39">
        <f t="shared" si="73"/>
        <v>-3112.2000000000066</v>
      </c>
      <c r="G137" s="39">
        <f t="shared" si="74"/>
        <v>91120.2</v>
      </c>
      <c r="H137" s="226">
        <f t="shared" si="75"/>
        <v>-3.4154885524834304E-2</v>
      </c>
      <c r="I137" s="39"/>
      <c r="J137" s="39"/>
      <c r="K137" s="39">
        <v>11502</v>
      </c>
      <c r="L137" s="39"/>
    </row>
    <row r="138" spans="1:12" x14ac:dyDescent="0.25">
      <c r="A138">
        <v>5100</v>
      </c>
      <c r="B138" s="153">
        <v>43088</v>
      </c>
      <c r="C138" s="10">
        <v>5600</v>
      </c>
      <c r="D138" s="237">
        <v>15.986000000000001</v>
      </c>
      <c r="E138" s="39">
        <v>16.02</v>
      </c>
      <c r="F138" s="39">
        <f t="shared" ref="F138:F141" si="76">C138*(E138-D138)</f>
        <v>190.39999999999395</v>
      </c>
      <c r="G138" s="39">
        <f t="shared" ref="G138:G141" si="77">D138*C138</f>
        <v>89521.600000000006</v>
      </c>
      <c r="H138" s="226">
        <f t="shared" ref="H138:H141" si="78">(E138-D138)/D138</f>
        <v>2.1268610033778881E-3</v>
      </c>
      <c r="I138" s="39"/>
      <c r="J138" s="39">
        <v>66</v>
      </c>
      <c r="K138" s="39">
        <v>14803</v>
      </c>
      <c r="L138" s="39"/>
    </row>
    <row r="139" spans="1:12" x14ac:dyDescent="0.25">
      <c r="B139" s="153">
        <v>43089</v>
      </c>
      <c r="C139" s="10">
        <v>5500</v>
      </c>
      <c r="D139" s="237">
        <v>15.981</v>
      </c>
      <c r="E139" s="39">
        <v>16.32</v>
      </c>
      <c r="F139" s="39">
        <f t="shared" si="76"/>
        <v>1864.5000000000023</v>
      </c>
      <c r="G139" s="39">
        <f t="shared" si="77"/>
        <v>87895.5</v>
      </c>
      <c r="H139" s="226">
        <f t="shared" si="78"/>
        <v>2.1212690069457505E-2</v>
      </c>
      <c r="I139" s="39"/>
      <c r="J139" s="39"/>
      <c r="K139" s="39">
        <v>16478</v>
      </c>
      <c r="L139" s="39"/>
    </row>
    <row r="140" spans="1:12" ht="15" customHeight="1" x14ac:dyDescent="0.25">
      <c r="B140" s="153">
        <v>43090</v>
      </c>
      <c r="C140" s="10">
        <v>5000</v>
      </c>
      <c r="D140" s="237">
        <v>15.917999999999999</v>
      </c>
      <c r="E140" s="39">
        <v>16.8</v>
      </c>
      <c r="F140" s="39">
        <f t="shared" si="76"/>
        <v>4410.0000000000073</v>
      </c>
      <c r="G140" s="39">
        <f t="shared" si="77"/>
        <v>79590</v>
      </c>
      <c r="H140" s="226">
        <f t="shared" si="78"/>
        <v>5.5408970976253392E-2</v>
      </c>
      <c r="I140" s="39"/>
      <c r="J140" s="39"/>
      <c r="K140" s="39">
        <v>18624</v>
      </c>
      <c r="L140" s="39"/>
    </row>
    <row r="141" spans="1:12" x14ac:dyDescent="0.25">
      <c r="A141">
        <v>4500</v>
      </c>
      <c r="B141" s="153">
        <v>43090</v>
      </c>
      <c r="C141" s="10">
        <v>4800</v>
      </c>
      <c r="D141" s="237">
        <v>15.877000000000001</v>
      </c>
      <c r="E141" s="39">
        <v>17.05</v>
      </c>
      <c r="F141" s="39">
        <f t="shared" si="76"/>
        <v>5630.4000000000005</v>
      </c>
      <c r="G141" s="39">
        <f t="shared" si="77"/>
        <v>76209.600000000006</v>
      </c>
      <c r="H141" s="226">
        <f t="shared" si="78"/>
        <v>7.3880456005542605E-2</v>
      </c>
      <c r="I141" s="39"/>
      <c r="J141" s="39"/>
      <c r="K141" s="39">
        <v>20244</v>
      </c>
      <c r="L141" s="39"/>
    </row>
    <row r="142" spans="1:12" x14ac:dyDescent="0.25">
      <c r="A142">
        <v>4700</v>
      </c>
      <c r="B142" s="153">
        <v>43096</v>
      </c>
      <c r="C142" s="10">
        <v>4800</v>
      </c>
      <c r="D142" s="237">
        <v>15.877000000000001</v>
      </c>
      <c r="E142" s="39">
        <v>17.010000000000002</v>
      </c>
      <c r="F142" s="39">
        <f t="shared" ref="F142:F143" si="79">C142*(E142-D142)</f>
        <v>5438.4000000000042</v>
      </c>
      <c r="G142" s="39">
        <f t="shared" ref="G142:G143" si="80">D142*C142</f>
        <v>76209.600000000006</v>
      </c>
      <c r="H142" s="226">
        <f t="shared" ref="H142:H143" si="81">(E142-D142)/D142</f>
        <v>7.136108836681998E-2</v>
      </c>
      <c r="I142" s="39"/>
      <c r="J142" s="39">
        <v>69.88</v>
      </c>
      <c r="K142" s="39">
        <v>20245</v>
      </c>
      <c r="L142" s="39"/>
    </row>
    <row r="143" spans="1:12" x14ac:dyDescent="0.25">
      <c r="A143">
        <v>4700</v>
      </c>
      <c r="B143" s="153">
        <v>43102</v>
      </c>
      <c r="C143" s="10">
        <v>4700</v>
      </c>
      <c r="D143" s="237">
        <v>15.84563</v>
      </c>
      <c r="E143" s="39">
        <v>17.38</v>
      </c>
      <c r="F143" s="39">
        <f t="shared" si="79"/>
        <v>7211.5389999999961</v>
      </c>
      <c r="G143" s="39">
        <f t="shared" si="80"/>
        <v>74474.460999999996</v>
      </c>
      <c r="H143" s="226">
        <f t="shared" si="81"/>
        <v>9.6832375866406015E-2</v>
      </c>
      <c r="I143" s="39"/>
      <c r="J143" s="39"/>
      <c r="K143" s="39">
        <v>21827</v>
      </c>
      <c r="L143" s="39"/>
    </row>
    <row r="144" spans="1:12" x14ac:dyDescent="0.25">
      <c r="A144">
        <v>4700</v>
      </c>
      <c r="B144" s="153">
        <v>43103</v>
      </c>
      <c r="C144" s="10">
        <v>4700</v>
      </c>
      <c r="D144" s="237">
        <v>15.84563</v>
      </c>
      <c r="E144" s="39">
        <v>17.670000000000002</v>
      </c>
      <c r="F144" s="39">
        <f t="shared" ref="F144:F145" si="82">C144*(E144-D144)</f>
        <v>8574.5390000000079</v>
      </c>
      <c r="G144" s="39">
        <f t="shared" ref="G144:G145" si="83">D144*C144</f>
        <v>74474.460999999996</v>
      </c>
      <c r="H144" s="226">
        <f t="shared" ref="H144:H145" si="84">(E144-D144)/D144</f>
        <v>0.11513395175830825</v>
      </c>
      <c r="I144" s="39"/>
      <c r="J144" s="39">
        <v>73</v>
      </c>
      <c r="K144" s="39">
        <v>23190</v>
      </c>
      <c r="L144" s="39"/>
    </row>
    <row r="145" spans="1:12" x14ac:dyDescent="0.25">
      <c r="A145">
        <v>4600</v>
      </c>
      <c r="B145" s="153">
        <v>43104</v>
      </c>
      <c r="C145" s="10">
        <v>4600</v>
      </c>
      <c r="D145" s="237">
        <v>15.8</v>
      </c>
      <c r="E145" s="39">
        <v>18.12</v>
      </c>
      <c r="F145" s="39">
        <f t="shared" si="82"/>
        <v>10672.000000000002</v>
      </c>
      <c r="G145" s="39">
        <f t="shared" si="83"/>
        <v>72680</v>
      </c>
      <c r="H145" s="226">
        <f t="shared" si="84"/>
        <v>0.14683544303797469</v>
      </c>
      <c r="I145" s="39"/>
      <c r="J145" s="39"/>
      <c r="K145" s="39">
        <v>25283</v>
      </c>
      <c r="L145" s="39"/>
    </row>
    <row r="146" spans="1:12" x14ac:dyDescent="0.25">
      <c r="A146">
        <v>4600</v>
      </c>
      <c r="B146" s="153">
        <v>43105</v>
      </c>
      <c r="C146" s="10">
        <v>4600</v>
      </c>
      <c r="D146" s="237">
        <v>15.8</v>
      </c>
      <c r="E146" s="39">
        <v>17.89</v>
      </c>
      <c r="F146" s="39">
        <f t="shared" ref="F146" si="85">C146*(E146-D146)</f>
        <v>9614</v>
      </c>
      <c r="G146" s="39">
        <f t="shared" ref="G146" si="86">D146*C146</f>
        <v>72680</v>
      </c>
      <c r="H146" s="226">
        <f t="shared" ref="H146" si="87">(E146-D146)/D146</f>
        <v>0.13227848101265821</v>
      </c>
      <c r="I146" s="39"/>
      <c r="J146" s="39">
        <v>59.81</v>
      </c>
      <c r="K146" s="39">
        <v>24225</v>
      </c>
      <c r="L146" s="39"/>
    </row>
    <row r="147" spans="1:12" x14ac:dyDescent="0.25">
      <c r="A147">
        <v>4600</v>
      </c>
      <c r="B147" s="153">
        <v>43109</v>
      </c>
      <c r="C147" s="10">
        <v>4600</v>
      </c>
      <c r="D147" s="237">
        <v>15.8</v>
      </c>
      <c r="E147" s="39">
        <v>18.05</v>
      </c>
      <c r="F147" s="39">
        <f t="shared" ref="F147:F154" si="88">C147*(E147-D147)</f>
        <v>10350</v>
      </c>
      <c r="G147" s="39">
        <f t="shared" ref="G147:G154" si="89">D147*C147</f>
        <v>72680</v>
      </c>
      <c r="H147" s="226">
        <f t="shared" ref="H147:H154" si="90">(E147-D147)/D147</f>
        <v>0.14240506329113922</v>
      </c>
      <c r="I147" s="39"/>
      <c r="J147" s="39">
        <v>73.349999999999994</v>
      </c>
      <c r="K147" s="39">
        <v>24961</v>
      </c>
      <c r="L147" s="39"/>
    </row>
    <row r="148" spans="1:12" x14ac:dyDescent="0.25">
      <c r="A148">
        <v>4233</v>
      </c>
      <c r="B148" s="153">
        <v>43111</v>
      </c>
      <c r="C148" s="10">
        <v>4233</v>
      </c>
      <c r="D148" s="237">
        <v>15.564</v>
      </c>
      <c r="E148" s="39">
        <v>18.600000000000001</v>
      </c>
      <c r="F148" s="39">
        <f t="shared" si="88"/>
        <v>12851.388000000006</v>
      </c>
      <c r="G148" s="39">
        <f t="shared" si="89"/>
        <v>65882.411999999997</v>
      </c>
      <c r="H148" s="226">
        <f t="shared" si="90"/>
        <v>0.19506553585196615</v>
      </c>
      <c r="I148" s="39"/>
      <c r="J148" s="39"/>
      <c r="K148" s="39">
        <v>27465</v>
      </c>
      <c r="L148" s="39"/>
    </row>
    <row r="149" spans="1:12" x14ac:dyDescent="0.25">
      <c r="A149">
        <v>4100</v>
      </c>
      <c r="B149" s="153">
        <v>43112</v>
      </c>
      <c r="C149" s="10">
        <v>4100</v>
      </c>
      <c r="D149" s="237">
        <v>15.455299999999999</v>
      </c>
      <c r="E149" s="39">
        <v>18.82</v>
      </c>
      <c r="F149" s="39">
        <f t="shared" si="88"/>
        <v>13795.270000000004</v>
      </c>
      <c r="G149" s="39">
        <f t="shared" si="89"/>
        <v>63366.729999999996</v>
      </c>
      <c r="H149" s="226">
        <f t="shared" si="90"/>
        <v>0.21770525321410786</v>
      </c>
      <c r="I149" s="39"/>
      <c r="J149" s="39">
        <v>76.94</v>
      </c>
      <c r="K149" s="39">
        <v>28411</v>
      </c>
      <c r="L149" s="39"/>
    </row>
    <row r="150" spans="1:12" x14ac:dyDescent="0.25">
      <c r="A150">
        <v>4100</v>
      </c>
      <c r="B150" s="153">
        <v>43116</v>
      </c>
      <c r="C150" s="10">
        <v>4300</v>
      </c>
      <c r="D150" s="237">
        <v>15.59</v>
      </c>
      <c r="E150" s="39">
        <v>18.239999999999998</v>
      </c>
      <c r="F150" s="39">
        <f t="shared" si="88"/>
        <v>11394.999999999995</v>
      </c>
      <c r="G150" s="39">
        <f t="shared" si="89"/>
        <v>67037</v>
      </c>
      <c r="H150" s="226">
        <f t="shared" si="90"/>
        <v>0.1699807568954457</v>
      </c>
      <c r="I150" s="39"/>
      <c r="J150" s="39"/>
      <c r="K150" s="39">
        <v>26011</v>
      </c>
      <c r="L150" s="39"/>
    </row>
    <row r="151" spans="1:12" x14ac:dyDescent="0.25">
      <c r="A151">
        <v>4100</v>
      </c>
      <c r="B151" s="153">
        <v>43116</v>
      </c>
      <c r="C151" s="10">
        <v>4500</v>
      </c>
      <c r="D151" s="237">
        <v>15.708</v>
      </c>
      <c r="E151" s="39">
        <v>18.239999999999998</v>
      </c>
      <c r="F151" s="39">
        <f t="shared" si="88"/>
        <v>11393.999999999993</v>
      </c>
      <c r="G151" s="39">
        <f t="shared" si="89"/>
        <v>70686</v>
      </c>
      <c r="H151" s="226">
        <f t="shared" si="90"/>
        <v>0.16119174942704342</v>
      </c>
      <c r="I151" s="39"/>
      <c r="J151" s="39"/>
      <c r="K151" s="39">
        <v>26011</v>
      </c>
      <c r="L151" s="39"/>
    </row>
    <row r="152" spans="1:12" x14ac:dyDescent="0.25">
      <c r="B152" s="153">
        <v>43117</v>
      </c>
      <c r="C152" s="10">
        <v>4100</v>
      </c>
      <c r="D152" s="237">
        <v>15.41</v>
      </c>
      <c r="E152" s="39">
        <v>18.600000000000001</v>
      </c>
      <c r="F152" s="39">
        <f t="shared" si="88"/>
        <v>13079.000000000005</v>
      </c>
      <c r="G152" s="39">
        <f t="shared" si="89"/>
        <v>63181</v>
      </c>
      <c r="H152" s="226">
        <f t="shared" si="90"/>
        <v>0.20700843608046732</v>
      </c>
      <c r="I152" s="39"/>
      <c r="J152" s="39"/>
      <c r="K152" s="39">
        <v>27692</v>
      </c>
      <c r="L152" s="39"/>
    </row>
    <row r="153" spans="1:12" x14ac:dyDescent="0.25">
      <c r="A153">
        <v>3500</v>
      </c>
      <c r="B153" s="153">
        <v>43117</v>
      </c>
      <c r="C153" s="10">
        <v>4000</v>
      </c>
      <c r="D153" s="237">
        <v>15.321</v>
      </c>
      <c r="E153" s="39">
        <v>18.989999999999998</v>
      </c>
      <c r="F153" s="39">
        <f t="shared" si="88"/>
        <v>14675.999999999995</v>
      </c>
      <c r="G153" s="39">
        <f t="shared" si="89"/>
        <v>61284</v>
      </c>
      <c r="H153" s="226">
        <f t="shared" si="90"/>
        <v>0.2394752300763657</v>
      </c>
      <c r="I153" s="39"/>
      <c r="J153" s="39">
        <v>66.36</v>
      </c>
      <c r="K153" s="39">
        <v>29291</v>
      </c>
      <c r="L153" s="39"/>
    </row>
    <row r="154" spans="1:12" ht="15" customHeight="1" x14ac:dyDescent="0.25">
      <c r="A154">
        <v>3300</v>
      </c>
      <c r="B154" s="153">
        <v>43123</v>
      </c>
      <c r="C154" s="10">
        <v>4000</v>
      </c>
      <c r="D154" s="237">
        <v>15.303000000000001</v>
      </c>
      <c r="E154" s="39">
        <v>19.22</v>
      </c>
      <c r="F154" s="39">
        <f t="shared" si="88"/>
        <v>15667.999999999993</v>
      </c>
      <c r="G154" s="39">
        <f t="shared" si="89"/>
        <v>61212</v>
      </c>
      <c r="H154" s="226">
        <f t="shared" si="90"/>
        <v>0.25596288309481785</v>
      </c>
      <c r="I154" s="39"/>
      <c r="J154" s="39">
        <v>70.61</v>
      </c>
      <c r="K154" s="39">
        <v>30285</v>
      </c>
      <c r="L154" s="39"/>
    </row>
    <row r="155" spans="1:12" x14ac:dyDescent="0.25">
      <c r="A155">
        <v>3300</v>
      </c>
      <c r="B155" s="153">
        <v>43125</v>
      </c>
      <c r="C155" s="10">
        <v>4100</v>
      </c>
      <c r="D155" s="237">
        <v>15.39</v>
      </c>
      <c r="E155" s="39">
        <v>18.68</v>
      </c>
      <c r="F155" s="39">
        <f t="shared" ref="F155" si="91">C155*(E155-D155)</f>
        <v>13488.999999999996</v>
      </c>
      <c r="G155" s="39">
        <f t="shared" ref="G155" si="92">D155*C155</f>
        <v>63099</v>
      </c>
      <c r="H155" s="226">
        <f t="shared" ref="H155" si="93">(E155-D155)/D155</f>
        <v>0.21377517868745932</v>
      </c>
      <c r="I155" s="39"/>
      <c r="J155" s="39"/>
      <c r="K155" s="39">
        <v>28105</v>
      </c>
      <c r="L155" s="39"/>
    </row>
    <row r="156" spans="1:12" x14ac:dyDescent="0.25">
      <c r="A156">
        <v>3300</v>
      </c>
      <c r="B156" s="153">
        <v>43126</v>
      </c>
      <c r="C156" s="10">
        <v>4100</v>
      </c>
      <c r="D156" s="237">
        <v>15.39</v>
      </c>
      <c r="E156" s="39">
        <v>18.84</v>
      </c>
      <c r="F156" s="39">
        <f t="shared" ref="F156:F163" si="94">C156*(E156-D156)</f>
        <v>14144.999999999996</v>
      </c>
      <c r="G156" s="39">
        <f t="shared" ref="G156:G163" si="95">D156*C156</f>
        <v>63099</v>
      </c>
      <c r="H156" s="226">
        <f t="shared" ref="H156:H163" si="96">(E156-D156)/D156</f>
        <v>0.22417153996101358</v>
      </c>
      <c r="I156" s="39"/>
      <c r="J156" s="39">
        <v>62.61</v>
      </c>
      <c r="K156" s="39">
        <v>28106</v>
      </c>
      <c r="L156" s="39"/>
    </row>
    <row r="157" spans="1:12" x14ac:dyDescent="0.25">
      <c r="A157">
        <v>3300</v>
      </c>
      <c r="B157" s="153">
        <v>43130</v>
      </c>
      <c r="C157" s="10">
        <v>4800</v>
      </c>
      <c r="D157" s="237">
        <v>15.803000000000001</v>
      </c>
      <c r="E157" s="39">
        <v>18.059999999999999</v>
      </c>
      <c r="F157" s="39">
        <f t="shared" si="94"/>
        <v>10833.599999999989</v>
      </c>
      <c r="G157" s="39">
        <f t="shared" si="95"/>
        <v>75854.400000000009</v>
      </c>
      <c r="H157" s="226">
        <f t="shared" si="96"/>
        <v>0.14282098335759019</v>
      </c>
      <c r="I157" s="39"/>
      <c r="J157" s="39"/>
      <c r="K157" s="39">
        <v>25451</v>
      </c>
      <c r="L157" s="39"/>
    </row>
    <row r="158" spans="1:12" x14ac:dyDescent="0.25">
      <c r="A158">
        <v>3300</v>
      </c>
      <c r="B158" s="153">
        <v>43133</v>
      </c>
      <c r="C158" s="10">
        <v>5000</v>
      </c>
      <c r="D158" s="237">
        <v>15.874000000000001</v>
      </c>
      <c r="E158" s="39">
        <v>17.52</v>
      </c>
      <c r="F158" s="39">
        <f t="shared" si="94"/>
        <v>8229.9999999999945</v>
      </c>
      <c r="G158" s="39">
        <f t="shared" si="95"/>
        <v>79370</v>
      </c>
      <c r="H158" s="226">
        <f t="shared" si="96"/>
        <v>0.10369157112259034</v>
      </c>
      <c r="I158" s="39"/>
      <c r="J158" s="39"/>
      <c r="K158" s="39">
        <v>22847</v>
      </c>
      <c r="L158" s="39"/>
    </row>
    <row r="159" spans="1:12" x14ac:dyDescent="0.25">
      <c r="A159">
        <v>3300</v>
      </c>
      <c r="B159" s="153">
        <v>43139</v>
      </c>
      <c r="C159" s="10">
        <v>5500</v>
      </c>
      <c r="D159" s="237">
        <v>15.87</v>
      </c>
      <c r="E159" s="39">
        <v>15.68</v>
      </c>
      <c r="F159" s="39">
        <f t="shared" si="94"/>
        <v>-1044.9999999999973</v>
      </c>
      <c r="G159" s="39">
        <f t="shared" si="95"/>
        <v>87285</v>
      </c>
      <c r="H159" s="226">
        <f t="shared" si="96"/>
        <v>-1.1972274732199088E-2</v>
      </c>
      <c r="I159" s="39"/>
      <c r="J159" s="39">
        <v>32.950000000000003</v>
      </c>
      <c r="K159" s="39">
        <v>13547</v>
      </c>
      <c r="L159" s="39">
        <v>60.44</v>
      </c>
    </row>
    <row r="160" spans="1:12" x14ac:dyDescent="0.25">
      <c r="B160" s="153">
        <v>43140</v>
      </c>
      <c r="C160" s="10">
        <v>6000</v>
      </c>
      <c r="D160" s="237">
        <v>15.8246</v>
      </c>
      <c r="E160" s="39">
        <v>15.51</v>
      </c>
      <c r="F160" s="39">
        <f t="shared" si="94"/>
        <v>-1887.6000000000026</v>
      </c>
      <c r="G160" s="39">
        <f t="shared" si="95"/>
        <v>94947.6</v>
      </c>
      <c r="H160" s="226">
        <f t="shared" si="96"/>
        <v>-1.9880439316001697E-2</v>
      </c>
      <c r="I160" s="39"/>
      <c r="J160" s="39"/>
      <c r="K160" s="39"/>
      <c r="L160" s="39"/>
    </row>
    <row r="161" spans="1:12" x14ac:dyDescent="0.25">
      <c r="B161" s="153">
        <v>43140</v>
      </c>
      <c r="C161" s="10">
        <v>5500</v>
      </c>
      <c r="D161" s="237">
        <v>15.85</v>
      </c>
      <c r="E161" s="39">
        <v>15.51</v>
      </c>
      <c r="F161" s="39">
        <f t="shared" si="94"/>
        <v>-1869.9999999999993</v>
      </c>
      <c r="G161" s="39">
        <f t="shared" si="95"/>
        <v>87175</v>
      </c>
      <c r="H161" s="226">
        <f t="shared" si="96"/>
        <v>-2.1451104100946364E-2</v>
      </c>
      <c r="I161" s="39"/>
      <c r="J161" s="39"/>
      <c r="K161" s="39"/>
      <c r="L161" s="39"/>
    </row>
    <row r="162" spans="1:12" x14ac:dyDescent="0.25">
      <c r="B162" s="153">
        <v>43140</v>
      </c>
      <c r="C162" s="435">
        <v>6000</v>
      </c>
      <c r="D162" s="657">
        <v>15.795999999999999</v>
      </c>
      <c r="E162" s="39">
        <v>15.51</v>
      </c>
      <c r="F162" s="39">
        <f t="shared" si="94"/>
        <v>-1715.9999999999975</v>
      </c>
      <c r="G162" s="39">
        <f t="shared" si="95"/>
        <v>94776</v>
      </c>
      <c r="H162" s="226">
        <f t="shared" si="96"/>
        <v>-1.8105849582172675E-2</v>
      </c>
      <c r="I162" s="39"/>
      <c r="J162" s="39"/>
      <c r="K162" s="39"/>
      <c r="L162" s="39"/>
    </row>
    <row r="163" spans="1:12" x14ac:dyDescent="0.25">
      <c r="A163">
        <v>2300</v>
      </c>
      <c r="B163" s="153">
        <v>43140</v>
      </c>
      <c r="C163" s="10">
        <v>5500</v>
      </c>
      <c r="D163" s="237">
        <v>15.824999999999999</v>
      </c>
      <c r="E163" s="39">
        <v>15.51</v>
      </c>
      <c r="F163" s="39">
        <f t="shared" si="94"/>
        <v>-1732.4999999999973</v>
      </c>
      <c r="G163" s="39">
        <f t="shared" si="95"/>
        <v>87037.5</v>
      </c>
      <c r="H163" s="226">
        <f t="shared" si="96"/>
        <v>-1.990521327014215E-2</v>
      </c>
      <c r="I163" s="39"/>
      <c r="J163" s="39"/>
      <c r="K163" s="39">
        <v>12882</v>
      </c>
      <c r="L163" s="39"/>
    </row>
    <row r="164" spans="1:12" x14ac:dyDescent="0.25">
      <c r="B164" s="153"/>
      <c r="C164" s="10"/>
      <c r="D164" s="237"/>
      <c r="E164" s="39"/>
      <c r="F164" s="39"/>
      <c r="G164" s="39"/>
      <c r="H164" s="226"/>
      <c r="I164" s="39"/>
      <c r="J164" s="39"/>
      <c r="K164" s="39"/>
      <c r="L164" s="39"/>
    </row>
    <row r="165" spans="1:12" x14ac:dyDescent="0.25">
      <c r="B165" s="153"/>
      <c r="C165" s="10"/>
      <c r="D165" s="237"/>
      <c r="E165" s="39"/>
      <c r="F165" s="39"/>
      <c r="G165" s="39"/>
      <c r="H165" s="226"/>
      <c r="I165" s="39"/>
      <c r="J165" s="39"/>
      <c r="K165" s="39"/>
      <c r="L165" s="39"/>
    </row>
    <row r="166" spans="1:12" x14ac:dyDescent="0.25">
      <c r="B166" s="153"/>
      <c r="C166" s="10"/>
      <c r="D166" s="237"/>
      <c r="E166" s="39"/>
      <c r="F166" s="39"/>
      <c r="G166" s="39"/>
      <c r="H166" s="226"/>
      <c r="I166" s="39"/>
      <c r="J166" s="39"/>
      <c r="K166" s="39"/>
      <c r="L166" s="39"/>
    </row>
    <row r="167" spans="1:12" x14ac:dyDescent="0.25">
      <c r="B167" s="153"/>
      <c r="C167" s="10"/>
      <c r="D167" s="237"/>
      <c r="E167" s="39"/>
      <c r="F167" s="39"/>
      <c r="G167" s="39"/>
      <c r="H167" s="226"/>
      <c r="I167" s="39"/>
      <c r="J167" s="39"/>
      <c r="K167" s="39"/>
      <c r="L167" s="39"/>
    </row>
    <row r="168" spans="1:12" x14ac:dyDescent="0.25">
      <c r="B168" s="153"/>
      <c r="C168" s="10"/>
      <c r="D168" s="237"/>
      <c r="E168" s="39"/>
      <c r="F168" s="39"/>
      <c r="G168" s="39"/>
      <c r="H168" s="226"/>
      <c r="I168" s="39"/>
      <c r="J168" s="39"/>
      <c r="K168" s="39"/>
      <c r="L168" s="39"/>
    </row>
    <row r="170" spans="1:12" x14ac:dyDescent="0.25">
      <c r="B170" s="633" t="s">
        <v>113</v>
      </c>
      <c r="C170" s="498" t="s">
        <v>146</v>
      </c>
      <c r="D170" s="634" t="s">
        <v>145</v>
      </c>
      <c r="E170" s="500" t="s">
        <v>147</v>
      </c>
      <c r="F170" s="501" t="s">
        <v>65</v>
      </c>
      <c r="G170" s="502" t="s">
        <v>151</v>
      </c>
      <c r="H170" s="501" t="s">
        <v>88</v>
      </c>
      <c r="I170" s="502" t="s">
        <v>154</v>
      </c>
    </row>
    <row r="171" spans="1:12" x14ac:dyDescent="0.25">
      <c r="B171" s="635">
        <v>42305</v>
      </c>
      <c r="C171" s="371">
        <v>2000</v>
      </c>
      <c r="D171" s="636">
        <v>34.06</v>
      </c>
      <c r="E171" s="372">
        <v>17.68</v>
      </c>
      <c r="F171" s="372">
        <v>-32767.45</v>
      </c>
      <c r="G171" s="372">
        <f t="shared" ref="G171:G177" si="97">IF(C171=0, 0,D171*C171)</f>
        <v>68120</v>
      </c>
      <c r="H171" s="374">
        <f t="shared" ref="H171:H177" si="98">IF(C171=0, D171, (E171-D171)/D171)</f>
        <v>-0.48091603053435117</v>
      </c>
      <c r="I171" s="372"/>
    </row>
    <row r="172" spans="1:12" x14ac:dyDescent="0.25">
      <c r="B172" s="635">
        <v>42307</v>
      </c>
      <c r="C172" s="371">
        <v>0</v>
      </c>
      <c r="D172" s="636" t="s">
        <v>128</v>
      </c>
      <c r="E172" s="372">
        <v>17.55</v>
      </c>
      <c r="F172" s="372">
        <v>-30722.2</v>
      </c>
      <c r="G172" s="372">
        <f t="shared" si="97"/>
        <v>0</v>
      </c>
      <c r="H172" s="374" t="str">
        <f t="shared" si="98"/>
        <v>N/A</v>
      </c>
      <c r="I172" s="372"/>
    </row>
    <row r="173" spans="1:12" x14ac:dyDescent="0.25">
      <c r="B173" s="635">
        <v>42310</v>
      </c>
      <c r="C173" s="371">
        <v>0</v>
      </c>
      <c r="D173" s="636" t="s">
        <v>128</v>
      </c>
      <c r="E173" s="372">
        <v>19.010000000000002</v>
      </c>
      <c r="F173" s="372">
        <v>-30693.25</v>
      </c>
      <c r="G173" s="372">
        <f t="shared" si="97"/>
        <v>0</v>
      </c>
      <c r="H173" s="374" t="str">
        <f t="shared" si="98"/>
        <v>N/A</v>
      </c>
      <c r="I173" s="372"/>
    </row>
    <row r="174" spans="1:12" x14ac:dyDescent="0.25">
      <c r="B174" s="635">
        <v>42314</v>
      </c>
      <c r="C174" s="371">
        <v>2500</v>
      </c>
      <c r="D174" s="636">
        <v>30.24</v>
      </c>
      <c r="E174" s="372">
        <v>18.29</v>
      </c>
      <c r="F174" s="372">
        <v>-29878.25</v>
      </c>
      <c r="G174" s="372">
        <f t="shared" si="97"/>
        <v>75600</v>
      </c>
      <c r="H174" s="374">
        <f t="shared" si="98"/>
        <v>-0.39517195767195767</v>
      </c>
      <c r="I174" s="372"/>
    </row>
    <row r="175" spans="1:12" x14ac:dyDescent="0.25">
      <c r="B175" s="635">
        <v>42318</v>
      </c>
      <c r="C175" s="371">
        <v>0</v>
      </c>
      <c r="D175" s="636" t="s">
        <v>128</v>
      </c>
      <c r="E175" s="372">
        <v>18.78</v>
      </c>
      <c r="F175" s="372">
        <v>-28604.09</v>
      </c>
      <c r="G175" s="372">
        <f t="shared" si="97"/>
        <v>0</v>
      </c>
      <c r="H175" s="374" t="str">
        <f t="shared" si="98"/>
        <v>N/A</v>
      </c>
      <c r="I175" s="372"/>
    </row>
    <row r="176" spans="1:12" x14ac:dyDescent="0.25">
      <c r="B176" s="635">
        <v>42328</v>
      </c>
      <c r="C176" s="371">
        <v>3078</v>
      </c>
      <c r="D176" s="636">
        <v>26.76</v>
      </c>
      <c r="E176" s="372">
        <v>17.440000000000001</v>
      </c>
      <c r="F176" s="372">
        <v>-28696.448999999906</v>
      </c>
      <c r="G176" s="372">
        <f t="shared" si="97"/>
        <v>82367.28</v>
      </c>
      <c r="H176" s="374">
        <f t="shared" si="98"/>
        <v>-0.34828101644245141</v>
      </c>
      <c r="I176" s="372"/>
    </row>
    <row r="177" spans="2:15" x14ac:dyDescent="0.25">
      <c r="B177" s="635">
        <v>42331</v>
      </c>
      <c r="C177" s="371">
        <v>0</v>
      </c>
      <c r="D177" s="636" t="s">
        <v>128</v>
      </c>
      <c r="E177" s="372">
        <v>17.53</v>
      </c>
      <c r="F177" s="372">
        <v>-28051.068999999901</v>
      </c>
      <c r="G177" s="372">
        <f t="shared" si="97"/>
        <v>0</v>
      </c>
      <c r="H177" s="374" t="str">
        <f t="shared" si="98"/>
        <v>N/A</v>
      </c>
      <c r="I177" s="372"/>
    </row>
    <row r="178" spans="2:15" x14ac:dyDescent="0.25">
      <c r="B178" s="635">
        <v>42335</v>
      </c>
      <c r="C178" s="371">
        <v>3078</v>
      </c>
      <c r="D178" s="636">
        <v>26.85</v>
      </c>
      <c r="E178" s="372">
        <v>17.73</v>
      </c>
      <c r="F178" s="372">
        <f>C178*(E178-D178)</f>
        <v>-28071.360000000004</v>
      </c>
      <c r="G178" s="372">
        <f>D178*C178</f>
        <v>82644.3</v>
      </c>
      <c r="H178" s="373">
        <f>(E178-D178)/D178</f>
        <v>-0.33966480446927377</v>
      </c>
      <c r="I178" s="372"/>
      <c r="N178" s="70"/>
    </row>
    <row r="179" spans="2:15" x14ac:dyDescent="0.25">
      <c r="B179" s="635">
        <v>42335</v>
      </c>
      <c r="C179" s="371">
        <v>3578</v>
      </c>
      <c r="D179" s="636">
        <v>25.55</v>
      </c>
      <c r="E179" s="372">
        <v>17.440000000000001</v>
      </c>
      <c r="F179" s="372">
        <f t="shared" ref="F179:F210" si="99">C179*(E179-D179)</f>
        <v>-29017.579999999998</v>
      </c>
      <c r="G179" s="372">
        <f t="shared" ref="G179:G208" si="100">D179*C179</f>
        <v>91417.900000000009</v>
      </c>
      <c r="H179" s="373">
        <f t="shared" ref="H179:H208" si="101">(E179-D179)/D179</f>
        <v>-0.31741682974559682</v>
      </c>
      <c r="I179" s="372"/>
    </row>
    <row r="180" spans="2:15" x14ac:dyDescent="0.25">
      <c r="B180" s="635">
        <v>42340</v>
      </c>
      <c r="C180" s="371">
        <v>4178</v>
      </c>
      <c r="D180" s="636">
        <v>24.29</v>
      </c>
      <c r="E180" s="372">
        <v>16.670000000000002</v>
      </c>
      <c r="F180" s="372">
        <f t="shared" si="99"/>
        <v>-31836.35999999999</v>
      </c>
      <c r="G180" s="372">
        <f t="shared" si="100"/>
        <v>101483.62</v>
      </c>
      <c r="H180" s="373">
        <f t="shared" si="101"/>
        <v>-0.31370934540963352</v>
      </c>
      <c r="I180" s="372"/>
    </row>
    <row r="181" spans="2:15" x14ac:dyDescent="0.25">
      <c r="B181" s="635">
        <v>42342</v>
      </c>
      <c r="C181" s="371">
        <v>4678</v>
      </c>
      <c r="D181" s="636">
        <v>23.39</v>
      </c>
      <c r="E181" s="372">
        <v>16.12</v>
      </c>
      <c r="F181" s="372">
        <f t="shared" si="99"/>
        <v>-34009.06</v>
      </c>
      <c r="G181" s="372">
        <f t="shared" si="100"/>
        <v>109418.42</v>
      </c>
      <c r="H181" s="373">
        <f t="shared" si="101"/>
        <v>-0.31081658828559211</v>
      </c>
      <c r="I181" s="372"/>
      <c r="O181" s="2"/>
    </row>
    <row r="182" spans="2:15" x14ac:dyDescent="0.25">
      <c r="B182" s="635">
        <v>42342</v>
      </c>
      <c r="C182" s="371">
        <v>4178</v>
      </c>
      <c r="D182" s="636">
        <v>24.26</v>
      </c>
      <c r="E182" s="372">
        <v>16.12</v>
      </c>
      <c r="F182" s="372">
        <f t="shared" si="99"/>
        <v>-34008.920000000006</v>
      </c>
      <c r="G182" s="372">
        <f t="shared" si="100"/>
        <v>101358.28000000001</v>
      </c>
      <c r="H182" s="373">
        <f t="shared" si="101"/>
        <v>-0.33553173948887055</v>
      </c>
      <c r="I182" s="372"/>
    </row>
    <row r="183" spans="2:15" ht="15" customHeight="1" x14ac:dyDescent="0.25">
      <c r="B183" s="635">
        <v>42345</v>
      </c>
      <c r="C183" s="371">
        <v>4678</v>
      </c>
      <c r="D183" s="636">
        <v>23.24</v>
      </c>
      <c r="E183" s="372">
        <v>14.78</v>
      </c>
      <c r="F183" s="372">
        <f t="shared" si="99"/>
        <v>-39575.879999999997</v>
      </c>
      <c r="G183" s="372">
        <f t="shared" si="100"/>
        <v>108716.71999999999</v>
      </c>
      <c r="H183" s="373">
        <f t="shared" si="101"/>
        <v>-0.36402753872633387</v>
      </c>
      <c r="I183" s="372"/>
    </row>
    <row r="184" spans="2:15" x14ac:dyDescent="0.25">
      <c r="B184" s="635">
        <v>42347</v>
      </c>
      <c r="C184" s="371">
        <v>4778</v>
      </c>
      <c r="D184" s="636">
        <v>23.06</v>
      </c>
      <c r="E184" s="372">
        <v>14.92</v>
      </c>
      <c r="F184" s="372">
        <f t="shared" si="99"/>
        <v>-38892.919999999991</v>
      </c>
      <c r="G184" s="372">
        <f t="shared" si="100"/>
        <v>110180.68</v>
      </c>
      <c r="H184" s="373">
        <f t="shared" si="101"/>
        <v>-0.3529921942758022</v>
      </c>
      <c r="I184" s="372"/>
    </row>
    <row r="185" spans="2:15" x14ac:dyDescent="0.25">
      <c r="B185" s="635">
        <v>42348</v>
      </c>
      <c r="C185" s="371">
        <v>4178</v>
      </c>
      <c r="D185" s="636">
        <v>24.23</v>
      </c>
      <c r="E185" s="372">
        <v>14.74</v>
      </c>
      <c r="F185" s="372">
        <f t="shared" si="99"/>
        <v>-39649.22</v>
      </c>
      <c r="G185" s="372">
        <f t="shared" si="100"/>
        <v>101232.94</v>
      </c>
      <c r="H185" s="373">
        <f t="shared" si="101"/>
        <v>-0.39166322740404458</v>
      </c>
      <c r="I185" s="372"/>
    </row>
    <row r="186" spans="2:15" x14ac:dyDescent="0.25">
      <c r="B186" s="635">
        <v>42349</v>
      </c>
      <c r="C186" s="371">
        <v>3678</v>
      </c>
      <c r="D186" s="636">
        <v>25.57</v>
      </c>
      <c r="E186" s="372">
        <v>14.34</v>
      </c>
      <c r="F186" s="372">
        <f t="shared" si="99"/>
        <v>-41303.94</v>
      </c>
      <c r="G186" s="372">
        <f t="shared" si="100"/>
        <v>94046.46</v>
      </c>
      <c r="H186" s="373">
        <f t="shared" si="101"/>
        <v>-0.43918654673445445</v>
      </c>
      <c r="I186" s="372"/>
    </row>
    <row r="187" spans="2:15" x14ac:dyDescent="0.25">
      <c r="B187" s="635">
        <v>42352</v>
      </c>
      <c r="C187" s="371">
        <v>4178</v>
      </c>
      <c r="D187" s="636">
        <v>24.18</v>
      </c>
      <c r="E187" s="372">
        <v>13.96</v>
      </c>
      <c r="F187" s="372">
        <f t="shared" si="99"/>
        <v>-42699.159999999996</v>
      </c>
      <c r="G187" s="372">
        <f t="shared" si="100"/>
        <v>101024.04</v>
      </c>
      <c r="H187" s="373">
        <f t="shared" si="101"/>
        <v>-0.42266335814722905</v>
      </c>
      <c r="I187" s="372"/>
    </row>
    <row r="188" spans="2:15" x14ac:dyDescent="0.25">
      <c r="B188" s="635">
        <v>42355</v>
      </c>
      <c r="C188" s="371">
        <v>4678</v>
      </c>
      <c r="D188" s="636">
        <v>22.98</v>
      </c>
      <c r="E188" s="372">
        <v>12.78</v>
      </c>
      <c r="F188" s="372">
        <f t="shared" si="99"/>
        <v>-47715.600000000006</v>
      </c>
      <c r="G188" s="372">
        <f t="shared" si="100"/>
        <v>107500.44</v>
      </c>
      <c r="H188" s="373">
        <f t="shared" si="101"/>
        <v>-0.44386422976501311</v>
      </c>
      <c r="I188" s="372"/>
    </row>
    <row r="189" spans="2:15" x14ac:dyDescent="0.25">
      <c r="B189" s="635">
        <v>42356</v>
      </c>
      <c r="C189" s="371">
        <v>5178</v>
      </c>
      <c r="D189" s="636">
        <v>21.99</v>
      </c>
      <c r="E189" s="372">
        <v>12.95</v>
      </c>
      <c r="F189" s="372">
        <f t="shared" si="99"/>
        <v>-46809.119999999995</v>
      </c>
      <c r="G189" s="372">
        <f t="shared" si="100"/>
        <v>113864.21999999999</v>
      </c>
      <c r="H189" s="373">
        <f t="shared" si="101"/>
        <v>-0.41109595270577537</v>
      </c>
      <c r="I189" s="372"/>
    </row>
    <row r="190" spans="2:15" x14ac:dyDescent="0.25">
      <c r="B190" s="635">
        <v>42356</v>
      </c>
      <c r="C190" s="371">
        <v>6178</v>
      </c>
      <c r="D190" s="636">
        <v>20.48</v>
      </c>
      <c r="E190" s="372">
        <v>12.76</v>
      </c>
      <c r="F190" s="372">
        <f t="shared" si="99"/>
        <v>-47694.16</v>
      </c>
      <c r="G190" s="372">
        <f t="shared" si="100"/>
        <v>126525.44</v>
      </c>
      <c r="H190" s="373">
        <f t="shared" si="101"/>
        <v>-0.376953125</v>
      </c>
      <c r="I190" s="372"/>
    </row>
    <row r="191" spans="2:15" x14ac:dyDescent="0.25">
      <c r="B191" s="635">
        <v>42356</v>
      </c>
      <c r="C191" s="371">
        <v>6400</v>
      </c>
      <c r="D191" s="636">
        <v>20.2</v>
      </c>
      <c r="E191" s="372">
        <v>12.68</v>
      </c>
      <c r="F191" s="372">
        <f t="shared" si="99"/>
        <v>-48128</v>
      </c>
      <c r="G191" s="372">
        <f t="shared" si="100"/>
        <v>129280</v>
      </c>
      <c r="H191" s="373">
        <f t="shared" si="101"/>
        <v>-0.37227722772277227</v>
      </c>
      <c r="I191" s="372"/>
    </row>
    <row r="192" spans="2:15" x14ac:dyDescent="0.25">
      <c r="B192" s="635">
        <v>42359</v>
      </c>
      <c r="C192" s="371">
        <v>5178</v>
      </c>
      <c r="D192" s="636">
        <v>21.96</v>
      </c>
      <c r="E192" s="372">
        <v>12.66</v>
      </c>
      <c r="F192" s="372">
        <f t="shared" si="99"/>
        <v>-48155.4</v>
      </c>
      <c r="G192" s="372">
        <f t="shared" si="100"/>
        <v>113708.88</v>
      </c>
      <c r="H192" s="373">
        <f t="shared" si="101"/>
        <v>-0.42349726775956287</v>
      </c>
      <c r="I192" s="372"/>
    </row>
    <row r="193" spans="2:9" x14ac:dyDescent="0.25">
      <c r="B193" s="635">
        <v>42361</v>
      </c>
      <c r="C193" s="371">
        <v>4178</v>
      </c>
      <c r="D193" s="636">
        <v>24.07</v>
      </c>
      <c r="E193" s="372">
        <v>13.96</v>
      </c>
      <c r="F193" s="372">
        <f t="shared" si="99"/>
        <v>-42239.579999999994</v>
      </c>
      <c r="G193" s="372">
        <f t="shared" si="100"/>
        <v>100564.46</v>
      </c>
      <c r="H193" s="373">
        <f t="shared" si="101"/>
        <v>-0.42002492729538843</v>
      </c>
      <c r="I193" s="372"/>
    </row>
    <row r="194" spans="2:9" x14ac:dyDescent="0.25">
      <c r="B194" s="635">
        <v>42361</v>
      </c>
      <c r="C194" s="371">
        <v>4178</v>
      </c>
      <c r="D194" s="636">
        <v>24.03</v>
      </c>
      <c r="E194" s="372">
        <v>13.96</v>
      </c>
      <c r="F194" s="372">
        <f t="shared" si="99"/>
        <v>-42072.46</v>
      </c>
      <c r="G194" s="372">
        <f t="shared" si="100"/>
        <v>100397.34000000001</v>
      </c>
      <c r="H194" s="373">
        <f t="shared" si="101"/>
        <v>-0.41905950894714938</v>
      </c>
      <c r="I194" s="372"/>
    </row>
    <row r="195" spans="2:9" x14ac:dyDescent="0.25">
      <c r="B195" s="635">
        <v>42366</v>
      </c>
      <c r="C195" s="392">
        <v>6678</v>
      </c>
      <c r="D195" s="637">
        <v>19.91</v>
      </c>
      <c r="E195" s="372">
        <v>13.09</v>
      </c>
      <c r="F195" s="372">
        <f t="shared" si="99"/>
        <v>-45543.96</v>
      </c>
      <c r="G195" s="372">
        <f t="shared" si="100"/>
        <v>132958.98000000001</v>
      </c>
      <c r="H195" s="373">
        <f t="shared" si="101"/>
        <v>-0.34254143646408841</v>
      </c>
      <c r="I195" s="372"/>
    </row>
    <row r="196" spans="2:9" x14ac:dyDescent="0.25">
      <c r="B196" s="635">
        <v>42367</v>
      </c>
      <c r="C196" s="392">
        <v>8678</v>
      </c>
      <c r="D196" s="637">
        <v>18.32</v>
      </c>
      <c r="E196" s="372">
        <v>13.03</v>
      </c>
      <c r="F196" s="372">
        <f t="shared" si="99"/>
        <v>-45906.62000000001</v>
      </c>
      <c r="G196" s="372">
        <f t="shared" si="100"/>
        <v>158980.96</v>
      </c>
      <c r="H196" s="373">
        <f t="shared" si="101"/>
        <v>-0.28875545851528389</v>
      </c>
      <c r="I196" s="372"/>
    </row>
    <row r="197" spans="2:9" x14ac:dyDescent="0.25">
      <c r="B197" s="635">
        <v>42368</v>
      </c>
      <c r="C197" s="371">
        <v>9678</v>
      </c>
      <c r="D197" s="636">
        <v>17.73</v>
      </c>
      <c r="E197" s="372">
        <v>12.38</v>
      </c>
      <c r="F197" s="372">
        <f t="shared" si="99"/>
        <v>-51777.299999999996</v>
      </c>
      <c r="G197" s="372">
        <f t="shared" si="100"/>
        <v>171590.94</v>
      </c>
      <c r="H197" s="374">
        <f t="shared" si="101"/>
        <v>-0.30174844895657077</v>
      </c>
      <c r="I197" s="372"/>
    </row>
    <row r="198" spans="2:9" x14ac:dyDescent="0.25">
      <c r="B198" s="635">
        <v>42369</v>
      </c>
      <c r="C198" s="371">
        <v>8678</v>
      </c>
      <c r="D198" s="636">
        <v>18.312999999999999</v>
      </c>
      <c r="E198" s="372">
        <v>12.59</v>
      </c>
      <c r="F198" s="372">
        <f t="shared" si="99"/>
        <v>-49664.193999999989</v>
      </c>
      <c r="G198" s="372">
        <f t="shared" si="100"/>
        <v>158920.21399999998</v>
      </c>
      <c r="H198" s="374">
        <f t="shared" si="101"/>
        <v>-0.3125102386282968</v>
      </c>
      <c r="I198" s="372"/>
    </row>
    <row r="199" spans="2:9" x14ac:dyDescent="0.25">
      <c r="B199" s="635">
        <v>42374</v>
      </c>
      <c r="C199" s="371">
        <v>7678</v>
      </c>
      <c r="D199" s="636">
        <v>19.010000000000002</v>
      </c>
      <c r="E199" s="372">
        <v>12.76</v>
      </c>
      <c r="F199" s="372">
        <f t="shared" si="99"/>
        <v>-47987.500000000015</v>
      </c>
      <c r="G199" s="372">
        <f t="shared" si="100"/>
        <v>145958.78</v>
      </c>
      <c r="H199" s="374">
        <f t="shared" si="101"/>
        <v>-0.32877432930036832</v>
      </c>
      <c r="I199" s="372"/>
    </row>
    <row r="200" spans="2:9" x14ac:dyDescent="0.25">
      <c r="B200" s="635">
        <v>42375</v>
      </c>
      <c r="C200" s="371">
        <v>8678</v>
      </c>
      <c r="D200" s="636">
        <v>18.257000000000001</v>
      </c>
      <c r="E200" s="372">
        <v>12.76</v>
      </c>
      <c r="F200" s="372">
        <f t="shared" si="99"/>
        <v>-47702.966000000015</v>
      </c>
      <c r="G200" s="372">
        <f t="shared" si="100"/>
        <v>158434.24600000001</v>
      </c>
      <c r="H200" s="374">
        <f t="shared" si="101"/>
        <v>-0.30108999287944355</v>
      </c>
      <c r="I200" s="372"/>
    </row>
    <row r="201" spans="2:9" x14ac:dyDescent="0.25">
      <c r="B201" s="635">
        <v>42375</v>
      </c>
      <c r="C201" s="371">
        <v>9678</v>
      </c>
      <c r="D201" s="636">
        <v>17.579999999999998</v>
      </c>
      <c r="E201" s="372">
        <v>11.28</v>
      </c>
      <c r="F201" s="372">
        <f t="shared" si="99"/>
        <v>-60971.399999999987</v>
      </c>
      <c r="G201" s="372">
        <f t="shared" si="100"/>
        <v>170139.24</v>
      </c>
      <c r="H201" s="374">
        <f t="shared" si="101"/>
        <v>-0.35836177474402725</v>
      </c>
      <c r="I201" s="372"/>
    </row>
    <row r="202" spans="2:9" x14ac:dyDescent="0.25">
      <c r="B202" s="635">
        <v>42398</v>
      </c>
      <c r="C202" s="371">
        <v>9278</v>
      </c>
      <c r="D202" s="636">
        <v>17.93</v>
      </c>
      <c r="E202" s="372">
        <v>9.56</v>
      </c>
      <c r="F202" s="372">
        <f t="shared" si="99"/>
        <v>-77656.859999999986</v>
      </c>
      <c r="G202" s="372">
        <f t="shared" si="100"/>
        <v>166354.54</v>
      </c>
      <c r="H202" s="374">
        <f t="shared" si="101"/>
        <v>-0.46681539319576126</v>
      </c>
      <c r="I202" s="372"/>
    </row>
    <row r="203" spans="2:9" x14ac:dyDescent="0.25">
      <c r="B203" s="635">
        <v>42402</v>
      </c>
      <c r="C203" s="371">
        <v>9678</v>
      </c>
      <c r="D203" s="636">
        <v>17.559999999999999</v>
      </c>
      <c r="E203" s="372">
        <v>8.74</v>
      </c>
      <c r="F203" s="372">
        <f t="shared" si="99"/>
        <v>-85359.959999999992</v>
      </c>
      <c r="G203" s="372">
        <f t="shared" si="100"/>
        <v>169945.68</v>
      </c>
      <c r="H203" s="374">
        <f t="shared" si="101"/>
        <v>-0.50227790432801822</v>
      </c>
      <c r="I203" s="372"/>
    </row>
    <row r="204" spans="2:9" ht="15" customHeight="1" x14ac:dyDescent="0.25">
      <c r="B204" s="635">
        <v>42411</v>
      </c>
      <c r="C204" s="371">
        <v>9678</v>
      </c>
      <c r="D204" s="636">
        <v>17.553999999999998</v>
      </c>
      <c r="E204" s="372">
        <v>7.13</v>
      </c>
      <c r="F204" s="372">
        <f t="shared" si="99"/>
        <v>-100883.47199999999</v>
      </c>
      <c r="G204" s="372">
        <f t="shared" si="100"/>
        <v>169887.61199999999</v>
      </c>
      <c r="H204" s="373">
        <f t="shared" si="101"/>
        <v>-0.59382476928335426</v>
      </c>
      <c r="I204" s="372"/>
    </row>
    <row r="205" spans="2:9" x14ac:dyDescent="0.25">
      <c r="B205" s="635">
        <v>42412</v>
      </c>
      <c r="C205" s="371">
        <v>9678</v>
      </c>
      <c r="D205" s="636">
        <v>17.55</v>
      </c>
      <c r="E205" s="372">
        <v>7.46</v>
      </c>
      <c r="F205" s="372">
        <f t="shared" si="99"/>
        <v>-97651.02</v>
      </c>
      <c r="G205" s="372">
        <f t="shared" si="100"/>
        <v>169848.9</v>
      </c>
      <c r="H205" s="373">
        <f t="shared" si="101"/>
        <v>-0.57492877492877492</v>
      </c>
      <c r="I205" s="372"/>
    </row>
    <row r="206" spans="2:9" x14ac:dyDescent="0.25">
      <c r="B206" s="635">
        <v>42416</v>
      </c>
      <c r="C206" s="371">
        <v>9178</v>
      </c>
      <c r="D206" s="636">
        <v>18.084</v>
      </c>
      <c r="E206" s="372">
        <v>7.49</v>
      </c>
      <c r="F206" s="372">
        <f t="shared" si="99"/>
        <v>-97231.731999999989</v>
      </c>
      <c r="G206" s="372">
        <f t="shared" si="100"/>
        <v>165974.95199999999</v>
      </c>
      <c r="H206" s="373">
        <f t="shared" si="101"/>
        <v>-0.58582172085821715</v>
      </c>
      <c r="I206" s="372"/>
    </row>
    <row r="207" spans="2:9" x14ac:dyDescent="0.25">
      <c r="B207" s="635">
        <v>42416</v>
      </c>
      <c r="C207" s="371">
        <v>9678</v>
      </c>
      <c r="D207" s="636">
        <v>17.536999999999999</v>
      </c>
      <c r="E207" s="372">
        <v>7.49</v>
      </c>
      <c r="F207" s="372">
        <f t="shared" si="99"/>
        <v>-97234.865999999995</v>
      </c>
      <c r="G207" s="372">
        <f t="shared" si="100"/>
        <v>169723.08599999998</v>
      </c>
      <c r="H207" s="373">
        <f t="shared" si="101"/>
        <v>-0.57290300507498426</v>
      </c>
      <c r="I207" s="372"/>
    </row>
    <row r="208" spans="2:9" x14ac:dyDescent="0.25">
      <c r="B208" s="635">
        <v>42418</v>
      </c>
      <c r="C208" s="371">
        <v>13478</v>
      </c>
      <c r="D208" s="636">
        <v>14.673999999999999</v>
      </c>
      <c r="E208" s="372">
        <v>6.93</v>
      </c>
      <c r="F208" s="372">
        <f t="shared" si="99"/>
        <v>-104373.632</v>
      </c>
      <c r="G208" s="372">
        <f t="shared" si="100"/>
        <v>197776.17199999999</v>
      </c>
      <c r="H208" s="373">
        <f t="shared" si="101"/>
        <v>-0.52773613193403301</v>
      </c>
      <c r="I208" s="372"/>
    </row>
    <row r="209" spans="2:16" x14ac:dyDescent="0.25">
      <c r="B209" s="635">
        <v>42422</v>
      </c>
      <c r="C209" s="371">
        <v>10978</v>
      </c>
      <c r="D209" s="636">
        <v>16.314</v>
      </c>
      <c r="E209" s="372">
        <v>7.49</v>
      </c>
      <c r="F209" s="372">
        <f t="shared" si="99"/>
        <v>-96869.872000000003</v>
      </c>
      <c r="G209" s="372">
        <f>IF(C209=0, 0,D209*C209)</f>
        <v>179095.092</v>
      </c>
      <c r="H209" s="373">
        <f>IF(C209=0, D209, (E209-D209)/D209)</f>
        <v>-0.54088512933676591</v>
      </c>
      <c r="I209" s="372"/>
    </row>
    <row r="210" spans="2:16" x14ac:dyDescent="0.25">
      <c r="B210" s="635">
        <v>42422</v>
      </c>
      <c r="C210" s="371">
        <v>9978</v>
      </c>
      <c r="D210" s="636">
        <v>17.199000000000002</v>
      </c>
      <c r="E210" s="372">
        <v>7.49</v>
      </c>
      <c r="F210" s="372">
        <f t="shared" si="99"/>
        <v>-96876.402000000016</v>
      </c>
      <c r="G210" s="372">
        <f>IF(C210=0, 0,D210*C210)</f>
        <v>171611.622</v>
      </c>
      <c r="H210" s="373">
        <f>IF(C210=0, D210, (E210-D210)/D210)</f>
        <v>-0.56450956450956458</v>
      </c>
      <c r="I210" s="372"/>
    </row>
    <row r="211" spans="2:16" x14ac:dyDescent="0.25">
      <c r="B211" s="635">
        <v>42426</v>
      </c>
      <c r="C211" s="371">
        <v>9678</v>
      </c>
      <c r="D211" s="636">
        <v>17.489000000000001</v>
      </c>
      <c r="E211" s="372">
        <v>7.49</v>
      </c>
      <c r="F211" s="372">
        <f t="shared" ref="F211:F219" si="102">C211*(E211-D211)</f>
        <v>-96770.322</v>
      </c>
      <c r="G211" s="372">
        <f>IF(C211=0, 0,D211*C211)</f>
        <v>169258.54200000002</v>
      </c>
      <c r="H211" s="373">
        <f>IF(C211=0, D211, (E211-D211)/D211)</f>
        <v>-0.57173080221853734</v>
      </c>
      <c r="I211" s="372"/>
    </row>
    <row r="212" spans="2:16" x14ac:dyDescent="0.25">
      <c r="B212" s="635">
        <v>42426</v>
      </c>
      <c r="C212" s="371">
        <v>9178</v>
      </c>
      <c r="D212" s="636">
        <v>18.02</v>
      </c>
      <c r="E212" s="372">
        <v>7.76</v>
      </c>
      <c r="F212" s="372">
        <f t="shared" si="102"/>
        <v>-94166.28</v>
      </c>
      <c r="G212" s="372">
        <f t="shared" ref="G212:G219" si="103">IF(C212=0, 0,D212*C212)</f>
        <v>165387.56</v>
      </c>
      <c r="H212" s="373">
        <f t="shared" ref="H212:H219" si="104">IF(C212=0, D212, (E212-D212)/D212)</f>
        <v>-0.5693673695893452</v>
      </c>
      <c r="I212" s="372"/>
    </row>
    <row r="213" spans="2:16" ht="15" customHeight="1" x14ac:dyDescent="0.25">
      <c r="B213" s="635">
        <v>42426</v>
      </c>
      <c r="C213" s="371">
        <v>8178</v>
      </c>
      <c r="D213" s="636">
        <v>19.245999999999999</v>
      </c>
      <c r="E213" s="372">
        <v>8</v>
      </c>
      <c r="F213" s="372">
        <f t="shared" si="102"/>
        <v>-91969.787999999986</v>
      </c>
      <c r="G213" s="372">
        <f t="shared" si="103"/>
        <v>157393.788</v>
      </c>
      <c r="H213" s="373">
        <f t="shared" si="104"/>
        <v>-0.58432921126467829</v>
      </c>
      <c r="I213" s="372"/>
    </row>
    <row r="214" spans="2:16" ht="15" customHeight="1" x14ac:dyDescent="0.25">
      <c r="B214" s="635">
        <v>42426</v>
      </c>
      <c r="C214" s="371">
        <v>6678</v>
      </c>
      <c r="D214" s="636">
        <v>21.75</v>
      </c>
      <c r="E214" s="372">
        <v>8.1</v>
      </c>
      <c r="F214" s="372">
        <f t="shared" si="102"/>
        <v>-91154.7</v>
      </c>
      <c r="G214" s="372">
        <f t="shared" si="103"/>
        <v>145246.5</v>
      </c>
      <c r="H214" s="373">
        <f t="shared" si="104"/>
        <v>-0.62758620689655176</v>
      </c>
      <c r="I214" s="372"/>
    </row>
    <row r="215" spans="2:16" x14ac:dyDescent="0.25">
      <c r="B215" s="635">
        <v>42426</v>
      </c>
      <c r="C215" s="371">
        <v>8678</v>
      </c>
      <c r="D215" s="636">
        <v>18.568999999999999</v>
      </c>
      <c r="E215" s="372">
        <v>7.94</v>
      </c>
      <c r="F215" s="372">
        <f t="shared" si="102"/>
        <v>-92238.461999999985</v>
      </c>
      <c r="G215" s="372">
        <f t="shared" si="103"/>
        <v>161141.78199999998</v>
      </c>
      <c r="H215" s="373">
        <f t="shared" si="104"/>
        <v>-0.57240562227368186</v>
      </c>
      <c r="I215" s="372"/>
    </row>
    <row r="216" spans="2:16" x14ac:dyDescent="0.25">
      <c r="B216" s="635">
        <v>42429</v>
      </c>
      <c r="C216" s="371">
        <v>7678</v>
      </c>
      <c r="D216" s="636">
        <v>19.876000000000001</v>
      </c>
      <c r="E216" s="372">
        <v>8.2100000000000009</v>
      </c>
      <c r="F216" s="372">
        <f t="shared" si="102"/>
        <v>-89571.54800000001</v>
      </c>
      <c r="G216" s="372">
        <f t="shared" si="103"/>
        <v>152607.92800000001</v>
      </c>
      <c r="H216" s="373">
        <f t="shared" si="104"/>
        <v>-0.58693902193600322</v>
      </c>
      <c r="I216" s="372"/>
    </row>
    <row r="217" spans="2:16" x14ac:dyDescent="0.25">
      <c r="B217" s="635">
        <v>42429</v>
      </c>
      <c r="C217" s="371">
        <v>9678</v>
      </c>
      <c r="D217" s="636">
        <v>17.463000000000001</v>
      </c>
      <c r="E217" s="372">
        <v>8.2100000000000009</v>
      </c>
      <c r="F217" s="372">
        <f t="shared" si="102"/>
        <v>-89550.534</v>
      </c>
      <c r="G217" s="372">
        <f t="shared" si="103"/>
        <v>169006.91400000002</v>
      </c>
      <c r="H217" s="373">
        <f t="shared" si="104"/>
        <v>-0.5298631392086125</v>
      </c>
      <c r="I217" s="372"/>
    </row>
    <row r="218" spans="2:16" x14ac:dyDescent="0.25">
      <c r="B218" s="635">
        <v>42429</v>
      </c>
      <c r="C218" s="371">
        <v>9178</v>
      </c>
      <c r="D218" s="636">
        <v>17.981000000000002</v>
      </c>
      <c r="E218" s="372">
        <v>8.2100000000000009</v>
      </c>
      <c r="F218" s="372">
        <f t="shared" si="102"/>
        <v>-89678.238000000012</v>
      </c>
      <c r="G218" s="372">
        <f t="shared" si="103"/>
        <v>165029.61800000002</v>
      </c>
      <c r="H218" s="373">
        <f t="shared" si="104"/>
        <v>-0.5434069295367332</v>
      </c>
      <c r="I218" s="372"/>
    </row>
    <row r="219" spans="2:16" x14ac:dyDescent="0.25">
      <c r="B219" s="635">
        <v>42429</v>
      </c>
      <c r="C219" s="371">
        <v>9678</v>
      </c>
      <c r="D219" s="636">
        <v>17.459</v>
      </c>
      <c r="E219" s="372">
        <v>8.2100000000000009</v>
      </c>
      <c r="F219" s="372">
        <f t="shared" si="102"/>
        <v>-89511.821999999986</v>
      </c>
      <c r="G219" s="372">
        <f t="shared" si="103"/>
        <v>168968.20199999999</v>
      </c>
      <c r="H219" s="373">
        <f t="shared" si="104"/>
        <v>-0.5297554270004009</v>
      </c>
      <c r="I219" s="372"/>
    </row>
    <row r="220" spans="2:16" x14ac:dyDescent="0.25">
      <c r="B220" s="635">
        <v>42429</v>
      </c>
      <c r="C220" s="371">
        <v>9178</v>
      </c>
      <c r="D220" s="636">
        <v>17.975999999999999</v>
      </c>
      <c r="E220" s="372">
        <v>8.2100000000000009</v>
      </c>
      <c r="F220" s="372">
        <f t="shared" ref="F220:F231" si="105">C220*(E220-D220)</f>
        <v>-89632.347999999984</v>
      </c>
      <c r="G220" s="372">
        <f t="shared" ref="G220:G231" si="106">IF(C220=0, 0,D220*C220)</f>
        <v>164983.728</v>
      </c>
      <c r="H220" s="373">
        <f t="shared" ref="H220:H271" si="107">IF(C220=0, D220, (E220-D220)/D220)</f>
        <v>-0.54327992879394738</v>
      </c>
      <c r="I220" s="372" t="s">
        <v>186</v>
      </c>
    </row>
    <row r="221" spans="2:16" x14ac:dyDescent="0.25">
      <c r="B221" s="635">
        <v>42430</v>
      </c>
      <c r="C221" s="392">
        <v>10178</v>
      </c>
      <c r="D221" s="637">
        <v>16.974</v>
      </c>
      <c r="E221" s="372">
        <v>7.8</v>
      </c>
      <c r="F221" s="372">
        <f t="shared" si="105"/>
        <v>-93372.971999999994</v>
      </c>
      <c r="G221" s="372">
        <f t="shared" si="106"/>
        <v>172761.372</v>
      </c>
      <c r="H221" s="373">
        <f t="shared" si="107"/>
        <v>-0.54047366560622123</v>
      </c>
      <c r="I221" s="372"/>
      <c r="P221" s="70"/>
    </row>
    <row r="222" spans="2:16" x14ac:dyDescent="0.25">
      <c r="B222" s="635">
        <v>42430</v>
      </c>
      <c r="C222" s="392">
        <v>9678</v>
      </c>
      <c r="D222" s="637">
        <v>17.440000000000001</v>
      </c>
      <c r="E222" s="372">
        <v>7.96</v>
      </c>
      <c r="F222" s="372">
        <f t="shared" si="105"/>
        <v>-91747.44</v>
      </c>
      <c r="G222" s="372">
        <f t="shared" si="106"/>
        <v>168784.32</v>
      </c>
      <c r="H222" s="373">
        <f t="shared" si="107"/>
        <v>-0.54357798165137616</v>
      </c>
      <c r="I222" s="372"/>
      <c r="P222" s="70"/>
    </row>
    <row r="223" spans="2:16" x14ac:dyDescent="0.25">
      <c r="B223" s="635">
        <v>42431</v>
      </c>
      <c r="C223" s="371">
        <v>8678</v>
      </c>
      <c r="D223" s="636">
        <v>18.405999999999999</v>
      </c>
      <c r="E223" s="372">
        <v>9.1</v>
      </c>
      <c r="F223" s="372">
        <f t="shared" si="105"/>
        <v>-80757.467999999993</v>
      </c>
      <c r="G223" s="372">
        <f t="shared" si="106"/>
        <v>159727.26799999998</v>
      </c>
      <c r="H223" s="374">
        <f t="shared" si="107"/>
        <v>-0.50559600130392257</v>
      </c>
      <c r="I223" s="372"/>
    </row>
    <row r="224" spans="2:16" x14ac:dyDescent="0.25">
      <c r="B224" s="635">
        <v>42432</v>
      </c>
      <c r="C224" s="371">
        <v>9278</v>
      </c>
      <c r="D224" s="636">
        <v>17.771999999999998</v>
      </c>
      <c r="E224" s="372">
        <v>9.9700000000000006</v>
      </c>
      <c r="F224" s="372">
        <f t="shared" si="105"/>
        <v>-72386.955999999976</v>
      </c>
      <c r="G224" s="372">
        <f t="shared" si="106"/>
        <v>164888.61599999998</v>
      </c>
      <c r="H224" s="374">
        <f t="shared" si="107"/>
        <v>-0.43900517668242173</v>
      </c>
      <c r="I224" s="372"/>
    </row>
    <row r="225" spans="2:17" x14ac:dyDescent="0.25">
      <c r="B225" s="635">
        <v>42433</v>
      </c>
      <c r="C225" s="371">
        <v>9278</v>
      </c>
      <c r="D225" s="636">
        <v>17.771999999999998</v>
      </c>
      <c r="E225" s="372">
        <v>11</v>
      </c>
      <c r="F225" s="372">
        <f t="shared" si="105"/>
        <v>-62830.615999999987</v>
      </c>
      <c r="G225" s="372">
        <f t="shared" si="106"/>
        <v>164888.61599999998</v>
      </c>
      <c r="H225" s="374">
        <f t="shared" si="107"/>
        <v>-0.38104884087328378</v>
      </c>
      <c r="I225" s="372"/>
    </row>
    <row r="226" spans="2:17" x14ac:dyDescent="0.25">
      <c r="B226" s="635">
        <v>42439</v>
      </c>
      <c r="C226" s="371">
        <v>9278</v>
      </c>
      <c r="D226" s="636">
        <v>17.718</v>
      </c>
      <c r="E226" s="372">
        <v>10.59</v>
      </c>
      <c r="F226" s="372">
        <f t="shared" si="105"/>
        <v>-66133.584000000003</v>
      </c>
      <c r="G226" s="372">
        <f t="shared" si="106"/>
        <v>164387.60399999999</v>
      </c>
      <c r="H226" s="374">
        <f t="shared" si="107"/>
        <v>-0.40230274297324753</v>
      </c>
      <c r="I226" s="372" t="s">
        <v>185</v>
      </c>
    </row>
    <row r="227" spans="2:17" x14ac:dyDescent="0.25">
      <c r="B227" s="635">
        <v>42440</v>
      </c>
      <c r="C227" s="371">
        <v>9278</v>
      </c>
      <c r="D227" s="636">
        <v>17.712</v>
      </c>
      <c r="E227" s="372">
        <v>11.12</v>
      </c>
      <c r="F227" s="372">
        <f t="shared" si="105"/>
        <v>-61160.576000000008</v>
      </c>
      <c r="G227" s="372">
        <f t="shared" si="106"/>
        <v>164331.93599999999</v>
      </c>
      <c r="H227" s="374">
        <f t="shared" si="107"/>
        <v>-0.37217705510388438</v>
      </c>
      <c r="I227" s="372"/>
      <c r="N227" s="70"/>
    </row>
    <row r="228" spans="2:17" ht="15" customHeight="1" x14ac:dyDescent="0.25">
      <c r="B228" s="635">
        <v>42446</v>
      </c>
      <c r="C228" s="371">
        <v>9278</v>
      </c>
      <c r="D228" s="636">
        <v>17.704999999999998</v>
      </c>
      <c r="E228" s="372">
        <v>11.45</v>
      </c>
      <c r="F228" s="372">
        <f t="shared" si="105"/>
        <v>-58033.889999999992</v>
      </c>
      <c r="G228" s="372">
        <f t="shared" si="106"/>
        <v>164266.99</v>
      </c>
      <c r="H228" s="374">
        <f t="shared" si="107"/>
        <v>-0.353290031064671</v>
      </c>
      <c r="I228" s="372"/>
    </row>
    <row r="229" spans="2:17" ht="18.75" customHeight="1" x14ac:dyDescent="0.25">
      <c r="B229" s="635">
        <v>42447</v>
      </c>
      <c r="C229" s="371">
        <v>7928</v>
      </c>
      <c r="D229" s="636">
        <v>18.734999999999999</v>
      </c>
      <c r="E229" s="372">
        <v>11.63</v>
      </c>
      <c r="F229" s="372">
        <f t="shared" si="105"/>
        <v>-56328.439999999988</v>
      </c>
      <c r="G229" s="372">
        <f t="shared" si="106"/>
        <v>148531.07999999999</v>
      </c>
      <c r="H229" s="374">
        <f t="shared" si="107"/>
        <v>-0.37923672271150249</v>
      </c>
      <c r="I229" s="372"/>
    </row>
    <row r="230" spans="2:17" x14ac:dyDescent="0.25">
      <c r="B230" s="635">
        <v>42450</v>
      </c>
      <c r="C230" s="371">
        <v>9278</v>
      </c>
      <c r="D230" s="636">
        <v>17.670000000000002</v>
      </c>
      <c r="E230" s="372">
        <v>11.43</v>
      </c>
      <c r="F230" s="372">
        <f t="shared" si="105"/>
        <v>-57894.720000000016</v>
      </c>
      <c r="G230" s="372">
        <f t="shared" si="106"/>
        <v>163942.26</v>
      </c>
      <c r="H230" s="373">
        <f t="shared" si="107"/>
        <v>-0.35314091680814946</v>
      </c>
      <c r="I230" s="372"/>
    </row>
    <row r="231" spans="2:17" x14ac:dyDescent="0.25">
      <c r="B231" s="635">
        <v>42451</v>
      </c>
      <c r="C231" s="371">
        <v>9628</v>
      </c>
      <c r="D231" s="636">
        <v>17.428000000000001</v>
      </c>
      <c r="E231" s="372">
        <v>11.31</v>
      </c>
      <c r="F231" s="372">
        <f t="shared" si="105"/>
        <v>-58904.104000000007</v>
      </c>
      <c r="G231" s="372">
        <f t="shared" si="106"/>
        <v>167796.78400000001</v>
      </c>
      <c r="H231" s="373">
        <f t="shared" si="107"/>
        <v>-0.35104429653431263</v>
      </c>
      <c r="I231" s="372"/>
    </row>
    <row r="232" spans="2:17" x14ac:dyDescent="0.25">
      <c r="B232" s="635">
        <v>42453</v>
      </c>
      <c r="C232" s="371">
        <v>13278</v>
      </c>
      <c r="D232" s="636">
        <v>15.5565</v>
      </c>
      <c r="E232" s="372">
        <v>10.29</v>
      </c>
      <c r="F232" s="372">
        <f t="shared" ref="F232:F271" si="108">C232*(E232-D232)</f>
        <v>-69928.587000000014</v>
      </c>
      <c r="G232" s="372">
        <f t="shared" ref="G232:G271" si="109">IF(C232=0, 0,D232*C232)</f>
        <v>206559.20699999999</v>
      </c>
      <c r="H232" s="373">
        <f t="shared" si="107"/>
        <v>-0.33854016006171056</v>
      </c>
      <c r="I232" s="372"/>
    </row>
    <row r="233" spans="2:17" x14ac:dyDescent="0.25">
      <c r="B233" s="635">
        <v>42459</v>
      </c>
      <c r="C233" s="371">
        <v>11278</v>
      </c>
      <c r="D233" s="636">
        <v>16.408899999999999</v>
      </c>
      <c r="E233" s="372">
        <v>10.53</v>
      </c>
      <c r="F233" s="372">
        <f t="shared" si="108"/>
        <v>-66302.234199999992</v>
      </c>
      <c r="G233" s="372">
        <f t="shared" si="109"/>
        <v>185059.5742</v>
      </c>
      <c r="H233" s="373">
        <f t="shared" si="107"/>
        <v>-0.35827508242478168</v>
      </c>
      <c r="I233" s="372"/>
      <c r="P233" s="1"/>
    </row>
    <row r="234" spans="2:17" x14ac:dyDescent="0.25">
      <c r="B234" s="635">
        <v>42460</v>
      </c>
      <c r="C234" s="371">
        <v>9678</v>
      </c>
      <c r="D234" s="636">
        <v>17.311699999999998</v>
      </c>
      <c r="E234" s="372">
        <v>11.14</v>
      </c>
      <c r="F234" s="372">
        <f t="shared" si="108"/>
        <v>-59729.712599999977</v>
      </c>
      <c r="G234" s="372">
        <f t="shared" si="109"/>
        <v>167542.63259999998</v>
      </c>
      <c r="H234" s="373">
        <f t="shared" si="107"/>
        <v>-0.35650456049954643</v>
      </c>
      <c r="I234" s="372"/>
      <c r="Q234" s="70"/>
    </row>
    <row r="235" spans="2:17" x14ac:dyDescent="0.25">
      <c r="B235" s="635">
        <v>42461</v>
      </c>
      <c r="C235" s="371">
        <v>11678</v>
      </c>
      <c r="D235" s="636">
        <v>16.116</v>
      </c>
      <c r="E235" s="372">
        <v>10.53</v>
      </c>
      <c r="F235" s="372">
        <f t="shared" si="108"/>
        <v>-65233.308000000005</v>
      </c>
      <c r="G235" s="372">
        <f t="shared" si="109"/>
        <v>188202.64799999999</v>
      </c>
      <c r="H235" s="373">
        <f t="shared" si="107"/>
        <v>-0.34661206254653765</v>
      </c>
      <c r="I235" s="372"/>
      <c r="P235" s="1"/>
    </row>
    <row r="236" spans="2:17" x14ac:dyDescent="0.25">
      <c r="B236" s="635">
        <v>42461</v>
      </c>
      <c r="C236" s="371">
        <v>9678</v>
      </c>
      <c r="D236" s="636">
        <v>17.266200000000001</v>
      </c>
      <c r="E236" s="372">
        <v>10.56</v>
      </c>
      <c r="F236" s="372">
        <f t="shared" si="108"/>
        <v>-64902.603600000009</v>
      </c>
      <c r="G236" s="372">
        <f t="shared" si="109"/>
        <v>167102.28360000002</v>
      </c>
      <c r="H236" s="373">
        <f t="shared" si="107"/>
        <v>-0.388400458699656</v>
      </c>
      <c r="I236" s="372"/>
      <c r="P236" s="1"/>
      <c r="Q236" s="70"/>
    </row>
    <row r="237" spans="2:17" x14ac:dyDescent="0.25">
      <c r="B237" s="635">
        <v>42464</v>
      </c>
      <c r="C237" s="371">
        <v>9778</v>
      </c>
      <c r="D237" s="636">
        <v>17.196100000000001</v>
      </c>
      <c r="E237" s="372">
        <v>10.4</v>
      </c>
      <c r="F237" s="372">
        <f t="shared" si="108"/>
        <v>-66452.265800000008</v>
      </c>
      <c r="G237" s="372">
        <f t="shared" si="109"/>
        <v>168143.46580000001</v>
      </c>
      <c r="H237" s="373">
        <f t="shared" si="107"/>
        <v>-0.3952117049796175</v>
      </c>
      <c r="I237" s="372"/>
      <c r="P237" s="1"/>
    </row>
    <row r="238" spans="2:17" x14ac:dyDescent="0.25">
      <c r="B238" s="635">
        <v>42465</v>
      </c>
      <c r="C238" s="371">
        <v>9678</v>
      </c>
      <c r="D238" s="636">
        <v>17.262699999999999</v>
      </c>
      <c r="E238" s="372">
        <v>10.63</v>
      </c>
      <c r="F238" s="372">
        <f t="shared" si="108"/>
        <v>-64191.270599999982</v>
      </c>
      <c r="G238" s="372">
        <f t="shared" si="109"/>
        <v>167068.4106</v>
      </c>
      <c r="H238" s="373">
        <f t="shared" si="107"/>
        <v>-0.38422147172806098</v>
      </c>
      <c r="I238" s="372"/>
      <c r="P238" s="1"/>
      <c r="Q238" s="70"/>
    </row>
    <row r="239" spans="2:17" x14ac:dyDescent="0.25">
      <c r="B239" s="635">
        <v>42469</v>
      </c>
      <c r="C239" s="371">
        <v>8678</v>
      </c>
      <c r="D239" s="636">
        <v>17.895700000000001</v>
      </c>
      <c r="E239" s="372">
        <v>11.78</v>
      </c>
      <c r="F239" s="372">
        <f t="shared" si="108"/>
        <v>-53072.044600000016</v>
      </c>
      <c r="G239" s="372">
        <f t="shared" si="109"/>
        <v>155298.88460000002</v>
      </c>
      <c r="H239" s="373">
        <f t="shared" si="107"/>
        <v>-0.34174131215878684</v>
      </c>
      <c r="I239" s="372"/>
      <c r="Q239" s="70"/>
    </row>
    <row r="240" spans="2:17" x14ac:dyDescent="0.25">
      <c r="B240" s="635">
        <v>42471</v>
      </c>
      <c r="C240" s="371">
        <v>9678</v>
      </c>
      <c r="D240" s="636">
        <v>17.2514</v>
      </c>
      <c r="E240" s="372">
        <v>11.67</v>
      </c>
      <c r="F240" s="372">
        <f t="shared" si="108"/>
        <v>-54016.789200000007</v>
      </c>
      <c r="G240" s="372">
        <f t="shared" si="109"/>
        <v>166959.04920000001</v>
      </c>
      <c r="H240" s="373">
        <f t="shared" si="107"/>
        <v>-0.32353316252593994</v>
      </c>
      <c r="I240" s="372"/>
      <c r="P240" s="1"/>
    </row>
    <row r="241" spans="2:14" x14ac:dyDescent="0.25">
      <c r="B241" s="635">
        <v>42472</v>
      </c>
      <c r="C241" s="371">
        <v>8288</v>
      </c>
      <c r="D241" s="636">
        <v>17.96</v>
      </c>
      <c r="E241" s="372">
        <v>13.05</v>
      </c>
      <c r="F241" s="372">
        <f t="shared" si="108"/>
        <v>-40694.080000000002</v>
      </c>
      <c r="G241" s="372">
        <f t="shared" si="109"/>
        <v>148852.48000000001</v>
      </c>
      <c r="H241" s="373">
        <f t="shared" si="107"/>
        <v>-0.27338530066815142</v>
      </c>
      <c r="I241" s="372"/>
    </row>
    <row r="242" spans="2:14" x14ac:dyDescent="0.25">
      <c r="B242" s="635">
        <v>42473</v>
      </c>
      <c r="C242" s="371">
        <v>9258</v>
      </c>
      <c r="D242" s="636">
        <v>17.415800000000001</v>
      </c>
      <c r="E242" s="372">
        <v>12.92</v>
      </c>
      <c r="F242" s="372">
        <f t="shared" si="108"/>
        <v>-41622.116400000006</v>
      </c>
      <c r="G242" s="372">
        <f t="shared" si="109"/>
        <v>161235.47640000001</v>
      </c>
      <c r="H242" s="373">
        <f t="shared" si="107"/>
        <v>-0.2581449029042594</v>
      </c>
      <c r="I242" s="372"/>
    </row>
    <row r="243" spans="2:14" x14ac:dyDescent="0.25">
      <c r="B243" s="635">
        <v>42474</v>
      </c>
      <c r="C243" s="371">
        <v>9678</v>
      </c>
      <c r="D243" s="636">
        <v>17.2135</v>
      </c>
      <c r="E243" s="372">
        <v>13.11</v>
      </c>
      <c r="F243" s="372">
        <f t="shared" si="108"/>
        <v>-39713.673000000003</v>
      </c>
      <c r="G243" s="372">
        <f t="shared" si="109"/>
        <v>166592.253</v>
      </c>
      <c r="H243" s="373">
        <f t="shared" si="107"/>
        <v>-0.23838847416272113</v>
      </c>
      <c r="I243" s="372"/>
    </row>
    <row r="244" spans="2:14" x14ac:dyDescent="0.25">
      <c r="B244" s="635">
        <v>42474</v>
      </c>
      <c r="C244" s="371">
        <v>9178</v>
      </c>
      <c r="D244" s="636">
        <v>17.433299999999999</v>
      </c>
      <c r="E244" s="372">
        <v>13.11</v>
      </c>
      <c r="F244" s="372">
        <f t="shared" si="108"/>
        <v>-39679.2474</v>
      </c>
      <c r="G244" s="372">
        <f t="shared" si="109"/>
        <v>160002.82739999998</v>
      </c>
      <c r="H244" s="373">
        <f t="shared" si="107"/>
        <v>-0.24799091394056202</v>
      </c>
      <c r="I244" s="372"/>
    </row>
    <row r="245" spans="2:14" x14ac:dyDescent="0.25">
      <c r="B245" s="635">
        <v>42475</v>
      </c>
      <c r="C245" s="371">
        <v>9678</v>
      </c>
      <c r="D245" s="636">
        <v>17.205100000000002</v>
      </c>
      <c r="E245" s="372">
        <v>13.01</v>
      </c>
      <c r="F245" s="372">
        <f t="shared" si="108"/>
        <v>-40600.177800000019</v>
      </c>
      <c r="G245" s="372">
        <f t="shared" si="109"/>
        <v>166510.9578</v>
      </c>
      <c r="H245" s="373">
        <f t="shared" si="107"/>
        <v>-0.24382886469709572</v>
      </c>
      <c r="I245" s="372"/>
    </row>
    <row r="246" spans="2:14" x14ac:dyDescent="0.25">
      <c r="B246" s="635">
        <v>42478</v>
      </c>
      <c r="C246" s="371">
        <v>9178</v>
      </c>
      <c r="D246" s="636">
        <v>17.412400000000002</v>
      </c>
      <c r="E246" s="372">
        <v>13.36</v>
      </c>
      <c r="F246" s="372">
        <f t="shared" si="108"/>
        <v>-37192.92720000002</v>
      </c>
      <c r="G246" s="372">
        <f t="shared" si="109"/>
        <v>159811.00720000002</v>
      </c>
      <c r="H246" s="373">
        <f t="shared" si="107"/>
        <v>-0.232730697663734</v>
      </c>
      <c r="I246" s="372"/>
    </row>
    <row r="247" spans="2:14" x14ac:dyDescent="0.25">
      <c r="B247" s="635">
        <v>42484</v>
      </c>
      <c r="C247" s="392">
        <v>9178</v>
      </c>
      <c r="D247" s="637">
        <v>17.412400000000002</v>
      </c>
      <c r="E247" s="372">
        <v>14.34</v>
      </c>
      <c r="F247" s="372">
        <f t="shared" si="108"/>
        <v>-28198.487200000018</v>
      </c>
      <c r="G247" s="372">
        <f t="shared" si="109"/>
        <v>159811.00720000002</v>
      </c>
      <c r="H247" s="373">
        <f t="shared" si="107"/>
        <v>-0.17644896740254082</v>
      </c>
      <c r="I247" s="372"/>
    </row>
    <row r="248" spans="2:14" x14ac:dyDescent="0.25">
      <c r="B248" s="635">
        <v>42485</v>
      </c>
      <c r="C248" s="392">
        <v>9678</v>
      </c>
      <c r="D248" s="637">
        <v>17.233499999999999</v>
      </c>
      <c r="E248" s="372">
        <v>13.83</v>
      </c>
      <c r="F248" s="372">
        <f t="shared" si="108"/>
        <v>-32939.072999999997</v>
      </c>
      <c r="G248" s="372">
        <f t="shared" si="109"/>
        <v>166785.81299999999</v>
      </c>
      <c r="H248" s="373">
        <f t="shared" si="107"/>
        <v>-0.19749325441726867</v>
      </c>
      <c r="I248" s="372"/>
    </row>
    <row r="249" spans="2:14" x14ac:dyDescent="0.25">
      <c r="B249" s="635">
        <v>42486</v>
      </c>
      <c r="C249" s="371">
        <v>9178</v>
      </c>
      <c r="D249" s="636">
        <v>17.390599999999999</v>
      </c>
      <c r="E249" s="372">
        <v>14.44</v>
      </c>
      <c r="F249" s="372">
        <f t="shared" si="108"/>
        <v>-27080.606799999998</v>
      </c>
      <c r="G249" s="372">
        <f t="shared" si="109"/>
        <v>159610.92679999999</v>
      </c>
      <c r="H249" s="374">
        <f t="shared" si="107"/>
        <v>-0.16966637148804525</v>
      </c>
      <c r="I249" s="372"/>
    </row>
    <row r="250" spans="2:14" x14ac:dyDescent="0.25">
      <c r="B250" s="635">
        <v>42487</v>
      </c>
      <c r="C250" s="371">
        <v>9178</v>
      </c>
      <c r="D250" s="636">
        <v>17.376300000000001</v>
      </c>
      <c r="E250" s="372">
        <v>14.84</v>
      </c>
      <c r="F250" s="372">
        <f t="shared" si="108"/>
        <v>-23278.161400000005</v>
      </c>
      <c r="G250" s="372">
        <f t="shared" si="109"/>
        <v>159479.6814</v>
      </c>
      <c r="H250" s="374">
        <f t="shared" si="107"/>
        <v>-0.14596317973331496</v>
      </c>
      <c r="I250" s="372"/>
    </row>
    <row r="251" spans="2:14" x14ac:dyDescent="0.25">
      <c r="B251" s="635">
        <v>42488</v>
      </c>
      <c r="C251" s="371">
        <v>9678</v>
      </c>
      <c r="D251" s="636">
        <v>17.2287</v>
      </c>
      <c r="E251" s="372">
        <v>14.35</v>
      </c>
      <c r="F251" s="372">
        <f t="shared" si="108"/>
        <v>-27860.058600000004</v>
      </c>
      <c r="G251" s="372">
        <f t="shared" si="109"/>
        <v>166739.35860000001</v>
      </c>
      <c r="H251" s="374">
        <f t="shared" si="107"/>
        <v>-0.16708747612994598</v>
      </c>
      <c r="I251" s="372"/>
    </row>
    <row r="252" spans="2:14" x14ac:dyDescent="0.25">
      <c r="B252" s="635">
        <v>42489</v>
      </c>
      <c r="C252" s="371">
        <v>9678</v>
      </c>
      <c r="D252" s="636">
        <v>17.179200000000002</v>
      </c>
      <c r="E252" s="372">
        <v>14.09</v>
      </c>
      <c r="F252" s="372">
        <f t="shared" si="108"/>
        <v>-29897.277600000016</v>
      </c>
      <c r="G252" s="372">
        <f t="shared" si="109"/>
        <v>166260.29760000002</v>
      </c>
      <c r="H252" s="374">
        <f t="shared" si="107"/>
        <v>-0.17982211045916</v>
      </c>
      <c r="I252" s="372"/>
    </row>
    <row r="253" spans="2:14" x14ac:dyDescent="0.25">
      <c r="B253" s="635">
        <v>42492</v>
      </c>
      <c r="C253" s="371">
        <v>9678</v>
      </c>
      <c r="D253" s="636">
        <v>17.136399999999998</v>
      </c>
      <c r="E253" s="372">
        <v>13.55</v>
      </c>
      <c r="F253" s="372">
        <f t="shared" si="108"/>
        <v>-34709.179199999977</v>
      </c>
      <c r="G253" s="372">
        <f t="shared" si="109"/>
        <v>165846.07919999998</v>
      </c>
      <c r="H253" s="374">
        <f t="shared" si="107"/>
        <v>-0.20928549753740563</v>
      </c>
      <c r="I253" s="372"/>
    </row>
    <row r="254" spans="2:14" x14ac:dyDescent="0.25">
      <c r="B254" s="635">
        <v>42493</v>
      </c>
      <c r="C254" s="371">
        <v>9678</v>
      </c>
      <c r="D254" s="636">
        <v>17.1221</v>
      </c>
      <c r="E254" s="372">
        <v>12.79</v>
      </c>
      <c r="F254" s="372">
        <f t="shared" si="108"/>
        <v>-41926.063800000004</v>
      </c>
      <c r="G254" s="372">
        <f t="shared" si="109"/>
        <v>165707.6838</v>
      </c>
      <c r="H254" s="374">
        <f t="shared" si="107"/>
        <v>-0.25301218892542388</v>
      </c>
      <c r="I254" s="372"/>
      <c r="N254" s="70"/>
    </row>
    <row r="255" spans="2:14" x14ac:dyDescent="0.25">
      <c r="B255" s="635">
        <v>42494</v>
      </c>
      <c r="C255" s="371">
        <v>11678</v>
      </c>
      <c r="D255" s="636">
        <v>16.316800000000001</v>
      </c>
      <c r="E255" s="372">
        <v>12.17</v>
      </c>
      <c r="F255" s="372">
        <f t="shared" si="108"/>
        <v>-48426.330400000006</v>
      </c>
      <c r="G255" s="372">
        <f t="shared" si="109"/>
        <v>190547.59040000002</v>
      </c>
      <c r="H255" s="374">
        <f t="shared" si="107"/>
        <v>-0.25414296920964896</v>
      </c>
      <c r="I255" s="372"/>
    </row>
    <row r="256" spans="2:14" x14ac:dyDescent="0.25">
      <c r="B256" s="635">
        <v>42495</v>
      </c>
      <c r="C256" s="371">
        <v>9678</v>
      </c>
      <c r="D256" s="636">
        <v>17.0684</v>
      </c>
      <c r="E256" s="372">
        <v>12.07</v>
      </c>
      <c r="F256" s="372">
        <f t="shared" si="108"/>
        <v>-48374.515200000002</v>
      </c>
      <c r="G256" s="372">
        <f t="shared" si="109"/>
        <v>165187.97520000002</v>
      </c>
      <c r="H256" s="373">
        <f t="shared" si="107"/>
        <v>-0.29284525790349419</v>
      </c>
      <c r="I256" s="372"/>
    </row>
    <row r="257" spans="2:14" x14ac:dyDescent="0.25">
      <c r="B257" s="635">
        <v>42499</v>
      </c>
      <c r="C257" s="371">
        <v>10678</v>
      </c>
      <c r="D257" s="636">
        <v>16.537600000000001</v>
      </c>
      <c r="E257" s="372">
        <v>11.44</v>
      </c>
      <c r="F257" s="372">
        <f t="shared" si="108"/>
        <v>-54432.172800000015</v>
      </c>
      <c r="G257" s="372">
        <f t="shared" si="109"/>
        <v>176588.49280000001</v>
      </c>
      <c r="H257" s="373">
        <f t="shared" si="107"/>
        <v>-0.30824303405572762</v>
      </c>
      <c r="I257" s="372"/>
    </row>
    <row r="258" spans="2:14" x14ac:dyDescent="0.25">
      <c r="B258" s="635">
        <v>42500</v>
      </c>
      <c r="C258" s="371">
        <v>9678</v>
      </c>
      <c r="D258" s="636">
        <v>17.042100000000001</v>
      </c>
      <c r="E258" s="372">
        <v>11.94</v>
      </c>
      <c r="F258" s="372">
        <f t="shared" si="108"/>
        <v>-49378.123800000016</v>
      </c>
      <c r="G258" s="372">
        <f t="shared" si="109"/>
        <v>164933.44380000001</v>
      </c>
      <c r="H258" s="373">
        <f t="shared" si="107"/>
        <v>-0.2993821184009014</v>
      </c>
      <c r="I258" s="372"/>
    </row>
    <row r="259" spans="2:14" x14ac:dyDescent="0.25">
      <c r="B259" s="635">
        <v>42502</v>
      </c>
      <c r="C259" s="371">
        <v>10678</v>
      </c>
      <c r="D259" s="636">
        <v>16.601800000000001</v>
      </c>
      <c r="E259" s="372">
        <v>12.33</v>
      </c>
      <c r="F259" s="372">
        <f t="shared" si="108"/>
        <v>-45614.280400000011</v>
      </c>
      <c r="G259" s="372">
        <f t="shared" si="109"/>
        <v>177274.02040000001</v>
      </c>
      <c r="H259" s="373">
        <f t="shared" si="107"/>
        <v>-0.25730944837306802</v>
      </c>
      <c r="I259" s="372"/>
    </row>
    <row r="260" spans="2:14" x14ac:dyDescent="0.25">
      <c r="B260" s="635">
        <v>42502</v>
      </c>
      <c r="C260" s="371">
        <v>9678</v>
      </c>
      <c r="D260" s="636">
        <v>17.0334</v>
      </c>
      <c r="E260" s="372">
        <v>12.33</v>
      </c>
      <c r="F260" s="372">
        <f t="shared" si="108"/>
        <v>-45519.5052</v>
      </c>
      <c r="G260" s="372">
        <f t="shared" si="109"/>
        <v>164849.2452</v>
      </c>
      <c r="H260" s="373">
        <f t="shared" si="107"/>
        <v>-0.27612807777660364</v>
      </c>
      <c r="I260" s="372"/>
    </row>
    <row r="261" spans="2:14" x14ac:dyDescent="0.25">
      <c r="B261" s="635">
        <v>42503</v>
      </c>
      <c r="C261" s="371">
        <v>9678</v>
      </c>
      <c r="D261" s="636">
        <v>17.029299999999999</v>
      </c>
      <c r="E261" s="372">
        <v>12.3</v>
      </c>
      <c r="F261" s="372">
        <f t="shared" si="108"/>
        <v>-45770.165399999983</v>
      </c>
      <c r="G261" s="372">
        <f t="shared" si="109"/>
        <v>164809.56539999999</v>
      </c>
      <c r="H261" s="373">
        <f t="shared" si="107"/>
        <v>-0.27771546687180321</v>
      </c>
      <c r="I261" s="372"/>
    </row>
    <row r="262" spans="2:14" x14ac:dyDescent="0.25">
      <c r="B262" s="635">
        <v>42506</v>
      </c>
      <c r="C262" s="371">
        <v>9678</v>
      </c>
      <c r="D262" s="636">
        <v>17.027699999999999</v>
      </c>
      <c r="E262" s="372">
        <v>12.78</v>
      </c>
      <c r="F262" s="372">
        <f t="shared" si="108"/>
        <v>-41109.240599999997</v>
      </c>
      <c r="G262" s="372">
        <f t="shared" si="109"/>
        <v>164794.08059999999</v>
      </c>
      <c r="H262" s="373">
        <f t="shared" si="107"/>
        <v>-0.24945823569830336</v>
      </c>
      <c r="I262" s="372"/>
    </row>
    <row r="263" spans="2:14" x14ac:dyDescent="0.25">
      <c r="B263" s="635">
        <v>42513</v>
      </c>
      <c r="C263" s="371">
        <v>9178</v>
      </c>
      <c r="D263" s="636">
        <v>17.244399999999999</v>
      </c>
      <c r="E263" s="372">
        <v>13.19</v>
      </c>
      <c r="F263" s="372">
        <f t="shared" si="108"/>
        <v>-37211.283199999991</v>
      </c>
      <c r="G263" s="372">
        <f t="shared" si="109"/>
        <v>158269.10319999998</v>
      </c>
      <c r="H263" s="373">
        <f t="shared" si="107"/>
        <v>-0.23511400802579385</v>
      </c>
      <c r="I263" s="372"/>
    </row>
    <row r="264" spans="2:14" x14ac:dyDescent="0.25">
      <c r="B264" s="635">
        <v>42514</v>
      </c>
      <c r="C264" s="371">
        <v>9678</v>
      </c>
      <c r="D264" s="636">
        <v>17.026</v>
      </c>
      <c r="E264" s="372">
        <v>13.02</v>
      </c>
      <c r="F264" s="372">
        <f t="shared" si="108"/>
        <v>-38770.067999999999</v>
      </c>
      <c r="G264" s="372">
        <f t="shared" si="109"/>
        <v>164777.628</v>
      </c>
      <c r="H264" s="373">
        <f t="shared" si="107"/>
        <v>-0.23528720779983556</v>
      </c>
      <c r="I264" s="372"/>
    </row>
    <row r="265" spans="2:14" x14ac:dyDescent="0.25">
      <c r="B265" s="635">
        <v>42515</v>
      </c>
      <c r="C265" s="371">
        <v>9178</v>
      </c>
      <c r="D265" s="636">
        <v>17.206800000000001</v>
      </c>
      <c r="E265" s="372">
        <v>13.54</v>
      </c>
      <c r="F265" s="372">
        <f t="shared" si="108"/>
        <v>-33653.890400000018</v>
      </c>
      <c r="G265" s="372">
        <f t="shared" si="109"/>
        <v>157924.0104</v>
      </c>
      <c r="H265" s="373">
        <f t="shared" si="107"/>
        <v>-0.21310179696399109</v>
      </c>
      <c r="I265" s="372"/>
    </row>
    <row r="266" spans="2:14" x14ac:dyDescent="0.25">
      <c r="B266" s="635">
        <v>42516</v>
      </c>
      <c r="C266" s="371">
        <v>9678</v>
      </c>
      <c r="D266" s="636">
        <v>17.003799999999998</v>
      </c>
      <c r="E266" s="372">
        <v>13.17</v>
      </c>
      <c r="F266" s="372">
        <f t="shared" si="108"/>
        <v>-37103.516399999986</v>
      </c>
      <c r="G266" s="372">
        <f t="shared" si="109"/>
        <v>164562.77639999997</v>
      </c>
      <c r="H266" s="373">
        <f t="shared" si="107"/>
        <v>-0.22546724849739463</v>
      </c>
      <c r="I266" s="372"/>
    </row>
    <row r="267" spans="2:14" x14ac:dyDescent="0.25">
      <c r="B267" s="635">
        <v>42517</v>
      </c>
      <c r="C267" s="371">
        <v>9678</v>
      </c>
      <c r="D267" s="636">
        <v>16.999700000000001</v>
      </c>
      <c r="E267" s="372">
        <v>12.9</v>
      </c>
      <c r="F267" s="372">
        <f t="shared" si="108"/>
        <v>-39676.8966</v>
      </c>
      <c r="G267" s="372">
        <f t="shared" si="109"/>
        <v>164523.09660000002</v>
      </c>
      <c r="H267" s="373">
        <f t="shared" si="107"/>
        <v>-0.2411630793484591</v>
      </c>
      <c r="I267" s="372"/>
    </row>
    <row r="268" spans="2:14" x14ac:dyDescent="0.25">
      <c r="B268" s="635">
        <v>42525</v>
      </c>
      <c r="C268" s="371">
        <v>9678</v>
      </c>
      <c r="D268" s="636">
        <v>16.9956</v>
      </c>
      <c r="E268" s="372">
        <v>13.32</v>
      </c>
      <c r="F268" s="372">
        <f t="shared" si="108"/>
        <v>-35572.456799999993</v>
      </c>
      <c r="G268" s="372">
        <f t="shared" si="109"/>
        <v>164483.41680000001</v>
      </c>
      <c r="H268" s="373">
        <f t="shared" si="107"/>
        <v>-0.21626773988561743</v>
      </c>
      <c r="I268" s="372"/>
    </row>
    <row r="269" spans="2:14" x14ac:dyDescent="0.25">
      <c r="B269" s="635">
        <v>42527</v>
      </c>
      <c r="C269" s="371">
        <v>8178</v>
      </c>
      <c r="D269" s="636">
        <v>17.568999999999999</v>
      </c>
      <c r="E269" s="372">
        <v>13.96</v>
      </c>
      <c r="F269" s="372">
        <f t="shared" si="108"/>
        <v>-29514.401999999984</v>
      </c>
      <c r="G269" s="372">
        <f t="shared" si="109"/>
        <v>143679.28200000001</v>
      </c>
      <c r="H269" s="373">
        <f t="shared" si="107"/>
        <v>-0.20541863509590746</v>
      </c>
      <c r="I269" s="372"/>
    </row>
    <row r="270" spans="2:14" x14ac:dyDescent="0.25">
      <c r="B270" s="635">
        <v>42528</v>
      </c>
      <c r="C270" s="371">
        <v>7678</v>
      </c>
      <c r="D270" s="636">
        <v>17.759599999999999</v>
      </c>
      <c r="E270" s="372">
        <v>14.62</v>
      </c>
      <c r="F270" s="372">
        <f t="shared" si="108"/>
        <v>-24105.848799999996</v>
      </c>
      <c r="G270" s="372">
        <f t="shared" si="109"/>
        <v>136358.20879999999</v>
      </c>
      <c r="H270" s="373">
        <f t="shared" si="107"/>
        <v>-0.17678326088425414</v>
      </c>
      <c r="I270" s="372"/>
    </row>
    <row r="271" spans="2:14" x14ac:dyDescent="0.25">
      <c r="B271" s="635">
        <v>42529</v>
      </c>
      <c r="C271" s="371">
        <v>8178</v>
      </c>
      <c r="D271" s="636">
        <v>17.5654</v>
      </c>
      <c r="E271" s="372">
        <v>14.53</v>
      </c>
      <c r="F271" s="372">
        <f t="shared" si="108"/>
        <v>-24823.50120000001</v>
      </c>
      <c r="G271" s="372">
        <f t="shared" si="109"/>
        <v>143649.8412</v>
      </c>
      <c r="H271" s="373">
        <f t="shared" si="107"/>
        <v>-0.17280562924840887</v>
      </c>
      <c r="I271" s="372"/>
    </row>
    <row r="272" spans="2:14" x14ac:dyDescent="0.25">
      <c r="B272" s="635">
        <v>42531</v>
      </c>
      <c r="C272" s="371">
        <v>8978</v>
      </c>
      <c r="D272" s="636">
        <v>17.1751</v>
      </c>
      <c r="E272" s="372">
        <v>13.42</v>
      </c>
      <c r="F272" s="372">
        <f t="shared" ref="F272:F280" si="110">C272*(E272-D272)</f>
        <v>-33713.287800000006</v>
      </c>
      <c r="G272" s="372">
        <f t="shared" ref="G272:G280" si="111">IF(C272=0, 0,D272*C272)</f>
        <v>154198.0478</v>
      </c>
      <c r="H272" s="373">
        <f t="shared" ref="H272:H280" si="112">IF(C272=0, D272, (E272-D272)/D272)</f>
        <v>-0.21863628159370255</v>
      </c>
      <c r="I272" s="372"/>
      <c r="N272" s="70"/>
    </row>
    <row r="273" spans="2:9" x14ac:dyDescent="0.25">
      <c r="B273" s="635">
        <v>42531</v>
      </c>
      <c r="C273" s="392">
        <v>9278</v>
      </c>
      <c r="D273" s="637">
        <v>17.1052</v>
      </c>
      <c r="E273" s="372">
        <v>13.42</v>
      </c>
      <c r="F273" s="372">
        <f t="shared" si="110"/>
        <v>-34191.285600000003</v>
      </c>
      <c r="G273" s="372">
        <f t="shared" si="111"/>
        <v>158702.04560000001</v>
      </c>
      <c r="H273" s="373">
        <f t="shared" si="112"/>
        <v>-0.21544325702125669</v>
      </c>
      <c r="I273" s="372"/>
    </row>
    <row r="274" spans="2:9" x14ac:dyDescent="0.25">
      <c r="B274" s="635">
        <v>42532</v>
      </c>
      <c r="C274" s="371">
        <v>9278</v>
      </c>
      <c r="D274" s="636">
        <v>17.053000000000001</v>
      </c>
      <c r="E274" s="372">
        <v>13.42</v>
      </c>
      <c r="F274" s="372">
        <f t="shared" si="110"/>
        <v>-33706.974000000009</v>
      </c>
      <c r="G274" s="372">
        <f t="shared" si="111"/>
        <v>158217.734</v>
      </c>
      <c r="H274" s="373">
        <f t="shared" si="112"/>
        <v>-0.21304169354365804</v>
      </c>
      <c r="I274" s="372" t="s">
        <v>182</v>
      </c>
    </row>
    <row r="275" spans="2:9" x14ac:dyDescent="0.25">
      <c r="B275" s="635">
        <v>42535</v>
      </c>
      <c r="C275" s="371">
        <v>9678</v>
      </c>
      <c r="D275" s="636">
        <v>16.879300000000001</v>
      </c>
      <c r="E275" s="372">
        <v>13.23</v>
      </c>
      <c r="F275" s="372">
        <f t="shared" si="110"/>
        <v>-35317.9254</v>
      </c>
      <c r="G275" s="372">
        <f t="shared" si="111"/>
        <v>163357.86540000001</v>
      </c>
      <c r="H275" s="373">
        <f t="shared" si="112"/>
        <v>-0.21619972392220058</v>
      </c>
      <c r="I275" s="372" t="s">
        <v>219</v>
      </c>
    </row>
    <row r="276" spans="2:9" x14ac:dyDescent="0.25">
      <c r="B276" s="635">
        <v>42536</v>
      </c>
      <c r="C276" s="371">
        <v>9278</v>
      </c>
      <c r="D276" s="636">
        <v>17.027999999999999</v>
      </c>
      <c r="E276" s="372">
        <v>13.06</v>
      </c>
      <c r="F276" s="372">
        <f t="shared" si="110"/>
        <v>-36815.103999999985</v>
      </c>
      <c r="G276" s="372">
        <f t="shared" si="111"/>
        <v>157985.78399999999</v>
      </c>
      <c r="H276" s="373">
        <f t="shared" si="112"/>
        <v>-0.23302795395818643</v>
      </c>
      <c r="I276" s="372"/>
    </row>
    <row r="277" spans="2:9" x14ac:dyDescent="0.25">
      <c r="B277" s="635">
        <v>42537</v>
      </c>
      <c r="C277" s="392">
        <v>9278</v>
      </c>
      <c r="D277" s="637">
        <v>17.0168</v>
      </c>
      <c r="E277" s="372">
        <v>12.67</v>
      </c>
      <c r="F277" s="372">
        <f t="shared" si="110"/>
        <v>-40329.610399999998</v>
      </c>
      <c r="G277" s="372">
        <f t="shared" si="111"/>
        <v>157881.87039999999</v>
      </c>
      <c r="H277" s="373">
        <f t="shared" si="112"/>
        <v>-0.25544168116214566</v>
      </c>
      <c r="I277" s="372"/>
    </row>
    <row r="278" spans="2:9" x14ac:dyDescent="0.25">
      <c r="B278" s="635">
        <v>42538</v>
      </c>
      <c r="C278" s="392">
        <v>9278</v>
      </c>
      <c r="D278" s="637">
        <v>17.0061</v>
      </c>
      <c r="E278" s="372">
        <v>13.16</v>
      </c>
      <c r="F278" s="372">
        <f t="shared" si="110"/>
        <v>-35684.1158</v>
      </c>
      <c r="G278" s="372">
        <f t="shared" si="111"/>
        <v>157782.59580000001</v>
      </c>
      <c r="H278" s="373">
        <f t="shared" si="112"/>
        <v>-0.2261600249322302</v>
      </c>
      <c r="I278" s="372"/>
    </row>
    <row r="279" spans="2:9" x14ac:dyDescent="0.25">
      <c r="B279" s="635">
        <v>42541</v>
      </c>
      <c r="C279" s="371">
        <v>7678</v>
      </c>
      <c r="D279" s="636">
        <v>17.568000000000001</v>
      </c>
      <c r="E279" s="372">
        <v>14.48</v>
      </c>
      <c r="F279" s="372">
        <f t="shared" si="110"/>
        <v>-23709.664000000008</v>
      </c>
      <c r="G279" s="372">
        <f t="shared" si="111"/>
        <v>134887.10400000002</v>
      </c>
      <c r="H279" s="374">
        <f t="shared" si="112"/>
        <v>-0.17577413479052828</v>
      </c>
      <c r="I279" s="372"/>
    </row>
    <row r="280" spans="2:9" x14ac:dyDescent="0.25">
      <c r="B280" s="635">
        <v>42542</v>
      </c>
      <c r="C280" s="371">
        <v>6800</v>
      </c>
      <c r="D280" s="636">
        <v>17.892099999999999</v>
      </c>
      <c r="E280" s="372">
        <v>15.09</v>
      </c>
      <c r="F280" s="372">
        <f t="shared" si="110"/>
        <v>-19054.279999999995</v>
      </c>
      <c r="G280" s="372">
        <f t="shared" si="111"/>
        <v>121666.28</v>
      </c>
      <c r="H280" s="374">
        <f t="shared" si="112"/>
        <v>-0.15661101827063337</v>
      </c>
      <c r="I280" s="372"/>
    </row>
    <row r="281" spans="2:9" x14ac:dyDescent="0.25">
      <c r="B281" s="635">
        <v>42543</v>
      </c>
      <c r="C281" s="371">
        <v>7300</v>
      </c>
      <c r="D281" s="636">
        <v>17.6769</v>
      </c>
      <c r="E281" s="372">
        <v>14.75</v>
      </c>
      <c r="F281" s="372">
        <f t="shared" ref="F281:F289" si="113">C281*(E281-D281)</f>
        <v>-21366.37</v>
      </c>
      <c r="G281" s="372">
        <f t="shared" ref="G281:G289" si="114">IF(C281=0, 0,D281*C281)</f>
        <v>129041.37</v>
      </c>
      <c r="H281" s="374">
        <f t="shared" ref="H281:H289" si="115">IF(C281=0, D281, (E281-D281)/D281)</f>
        <v>-0.16557767481854849</v>
      </c>
      <c r="I281" s="372"/>
    </row>
    <row r="282" spans="2:9" x14ac:dyDescent="0.25">
      <c r="B282" s="635">
        <v>42544</v>
      </c>
      <c r="C282" s="371">
        <v>6800</v>
      </c>
      <c r="D282" s="636">
        <v>17.856100000000001</v>
      </c>
      <c r="E282" s="372">
        <v>15.27</v>
      </c>
      <c r="F282" s="372">
        <f t="shared" si="113"/>
        <v>-17585.480000000014</v>
      </c>
      <c r="G282" s="372">
        <f t="shared" si="114"/>
        <v>121421.48000000001</v>
      </c>
      <c r="H282" s="374">
        <f t="shared" si="115"/>
        <v>-0.1448300580753917</v>
      </c>
      <c r="I282" s="372"/>
    </row>
    <row r="283" spans="2:9" x14ac:dyDescent="0.25">
      <c r="B283" s="635">
        <v>42545</v>
      </c>
      <c r="C283" s="371">
        <v>7678</v>
      </c>
      <c r="D283" s="636">
        <v>17.462</v>
      </c>
      <c r="E283" s="372">
        <v>14.41</v>
      </c>
      <c r="F283" s="372">
        <f t="shared" si="113"/>
        <v>-23433.255999999998</v>
      </c>
      <c r="G283" s="372">
        <f t="shared" si="114"/>
        <v>134073.236</v>
      </c>
      <c r="H283" s="374">
        <f t="shared" si="115"/>
        <v>-0.17477952124613444</v>
      </c>
      <c r="I283" s="372"/>
    </row>
    <row r="284" spans="2:9" x14ac:dyDescent="0.25">
      <c r="B284" s="635">
        <v>42545</v>
      </c>
      <c r="C284" s="371">
        <v>8013</v>
      </c>
      <c r="D284" s="636">
        <v>17.32</v>
      </c>
      <c r="E284" s="372">
        <v>14.68</v>
      </c>
      <c r="F284" s="372">
        <f t="shared" si="113"/>
        <v>-21154.320000000003</v>
      </c>
      <c r="G284" s="372">
        <f t="shared" si="114"/>
        <v>138785.16</v>
      </c>
      <c r="H284" s="374">
        <f t="shared" si="115"/>
        <v>-0.15242494226327949</v>
      </c>
      <c r="I284" s="372"/>
    </row>
    <row r="285" spans="2:9" x14ac:dyDescent="0.25">
      <c r="B285" s="635">
        <v>42548</v>
      </c>
      <c r="C285" s="371">
        <v>8978</v>
      </c>
      <c r="D285" s="636">
        <v>16.943300000000001</v>
      </c>
      <c r="E285" s="372">
        <v>13.66</v>
      </c>
      <c r="F285" s="372">
        <f t="shared" si="113"/>
        <v>-29477.467400000005</v>
      </c>
      <c r="G285" s="372">
        <f t="shared" si="114"/>
        <v>152116.9474</v>
      </c>
      <c r="H285" s="374">
        <f t="shared" si="115"/>
        <v>-0.19378161279089673</v>
      </c>
      <c r="I285" s="372"/>
    </row>
    <row r="286" spans="2:9" x14ac:dyDescent="0.25">
      <c r="B286" s="635">
        <v>42548</v>
      </c>
      <c r="C286" s="371">
        <v>9278</v>
      </c>
      <c r="D286" s="636">
        <v>16.834599999999998</v>
      </c>
      <c r="E286" s="372">
        <v>13.66</v>
      </c>
      <c r="F286" s="372">
        <f t="shared" si="113"/>
        <v>-29453.938799999982</v>
      </c>
      <c r="G286" s="372">
        <f t="shared" si="114"/>
        <v>156191.41879999998</v>
      </c>
      <c r="H286" s="373">
        <f t="shared" si="115"/>
        <v>-0.18857590913951019</v>
      </c>
      <c r="I286" s="372"/>
    </row>
    <row r="287" spans="2:9" x14ac:dyDescent="0.25">
      <c r="B287" s="635">
        <v>42549</v>
      </c>
      <c r="C287" s="371">
        <v>8178</v>
      </c>
      <c r="D287" s="636">
        <v>17.124400000000001</v>
      </c>
      <c r="E287" s="372">
        <v>14.78</v>
      </c>
      <c r="F287" s="372">
        <f t="shared" si="113"/>
        <v>-19172.503200000017</v>
      </c>
      <c r="G287" s="372">
        <f t="shared" si="114"/>
        <v>140043.3432</v>
      </c>
      <c r="H287" s="373">
        <f t="shared" si="115"/>
        <v>-0.13690406671182651</v>
      </c>
      <c r="I287" s="372">
        <v>17</v>
      </c>
    </row>
    <row r="288" spans="2:9" x14ac:dyDescent="0.25">
      <c r="B288" s="635">
        <v>42552</v>
      </c>
      <c r="C288" s="371">
        <v>7678</v>
      </c>
      <c r="D288" s="636">
        <v>17.2315</v>
      </c>
      <c r="E288" s="372">
        <v>15.48</v>
      </c>
      <c r="F288" s="372">
        <f t="shared" si="113"/>
        <v>-13448.017</v>
      </c>
      <c r="G288" s="372">
        <f t="shared" si="114"/>
        <v>132303.45699999999</v>
      </c>
      <c r="H288" s="373">
        <f t="shared" si="115"/>
        <v>-0.1016452427240809</v>
      </c>
      <c r="I288" s="372">
        <v>17</v>
      </c>
    </row>
    <row r="289" spans="2:14" x14ac:dyDescent="0.25">
      <c r="B289" s="635">
        <v>42552</v>
      </c>
      <c r="C289" s="371">
        <v>7300</v>
      </c>
      <c r="D289" s="636">
        <v>17.313400000000001</v>
      </c>
      <c r="E289" s="372">
        <v>15.65</v>
      </c>
      <c r="F289" s="372">
        <f t="shared" si="113"/>
        <v>-12142.820000000009</v>
      </c>
      <c r="G289" s="372">
        <f t="shared" si="114"/>
        <v>126387.82</v>
      </c>
      <c r="H289" s="373">
        <f t="shared" si="115"/>
        <v>-9.6075871868032903E-2</v>
      </c>
      <c r="I289" s="372"/>
    </row>
    <row r="290" spans="2:14" x14ac:dyDescent="0.25">
      <c r="B290" s="635">
        <v>42552</v>
      </c>
      <c r="C290" s="371">
        <v>6800</v>
      </c>
      <c r="D290" s="636">
        <v>17.446100000000001</v>
      </c>
      <c r="E290" s="372">
        <v>15.7</v>
      </c>
      <c r="F290" s="372">
        <f t="shared" ref="F290:F311" si="116">C290*(E290-D290)</f>
        <v>-11873.480000000014</v>
      </c>
      <c r="G290" s="372">
        <f t="shared" ref="G290:G311" si="117">IF(C290=0, 0,D290*C290)</f>
        <v>118633.48000000001</v>
      </c>
      <c r="H290" s="373">
        <f t="shared" ref="H290:H311" si="118">IF(C290=0, D290, (E290-D290)/D290)</f>
        <v>-0.10008540590733757</v>
      </c>
      <c r="I290" s="372"/>
    </row>
    <row r="291" spans="2:14" x14ac:dyDescent="0.25">
      <c r="B291" s="635">
        <v>42552</v>
      </c>
      <c r="C291" s="371">
        <v>6000</v>
      </c>
      <c r="D291" s="636">
        <v>17.668199999999999</v>
      </c>
      <c r="E291" s="372">
        <v>15.68</v>
      </c>
      <c r="F291" s="372">
        <f t="shared" si="116"/>
        <v>-11929.199999999995</v>
      </c>
      <c r="G291" s="372">
        <f t="shared" si="117"/>
        <v>106009.2</v>
      </c>
      <c r="H291" s="373">
        <f t="shared" si="118"/>
        <v>-0.11252985589929926</v>
      </c>
      <c r="I291" s="372"/>
    </row>
    <row r="292" spans="2:14" x14ac:dyDescent="0.25">
      <c r="B292" s="635">
        <v>42556</v>
      </c>
      <c r="C292" s="371">
        <v>8178</v>
      </c>
      <c r="D292" s="636">
        <v>16.978899999999999</v>
      </c>
      <c r="E292" s="372">
        <v>14.72</v>
      </c>
      <c r="F292" s="372">
        <f t="shared" si="116"/>
        <v>-18473.284199999991</v>
      </c>
      <c r="G292" s="372">
        <f t="shared" si="117"/>
        <v>138853.4442</v>
      </c>
      <c r="H292" s="373">
        <f t="shared" si="118"/>
        <v>-0.13304159869013887</v>
      </c>
      <c r="I292" s="372">
        <v>16.75</v>
      </c>
    </row>
    <row r="293" spans="2:14" x14ac:dyDescent="0.25">
      <c r="B293" s="635">
        <v>42556</v>
      </c>
      <c r="C293" s="371">
        <v>8678</v>
      </c>
      <c r="D293" s="636">
        <v>16.843</v>
      </c>
      <c r="E293" s="372">
        <v>14.72</v>
      </c>
      <c r="F293" s="372">
        <f t="shared" si="116"/>
        <v>-18423.393999999993</v>
      </c>
      <c r="G293" s="372">
        <f t="shared" si="117"/>
        <v>146163.554</v>
      </c>
      <c r="H293" s="373">
        <f t="shared" si="118"/>
        <v>-0.12604642878347083</v>
      </c>
      <c r="I293" s="372"/>
    </row>
    <row r="294" spans="2:14" x14ac:dyDescent="0.25">
      <c r="B294" s="635">
        <v>42557</v>
      </c>
      <c r="C294" s="371">
        <v>8178</v>
      </c>
      <c r="D294" s="636">
        <v>16.960599999999999</v>
      </c>
      <c r="E294" s="372">
        <v>14.84</v>
      </c>
      <c r="F294" s="372">
        <f t="shared" si="116"/>
        <v>-17342.266799999998</v>
      </c>
      <c r="G294" s="372">
        <f t="shared" si="117"/>
        <v>138703.7868</v>
      </c>
      <c r="H294" s="373">
        <f t="shared" si="118"/>
        <v>-0.12503095409360515</v>
      </c>
      <c r="I294" s="372">
        <v>16.75</v>
      </c>
    </row>
    <row r="295" spans="2:14" x14ac:dyDescent="0.25">
      <c r="B295" s="635">
        <v>42557</v>
      </c>
      <c r="C295" s="371">
        <v>8678</v>
      </c>
      <c r="D295" s="636">
        <v>16.835000000000001</v>
      </c>
      <c r="E295" s="372">
        <v>14.84</v>
      </c>
      <c r="F295" s="372">
        <f t="shared" si="116"/>
        <v>-17312.610000000008</v>
      </c>
      <c r="G295" s="372">
        <f t="shared" si="117"/>
        <v>146094.13</v>
      </c>
      <c r="H295" s="373">
        <f t="shared" si="118"/>
        <v>-0.11850311850311855</v>
      </c>
      <c r="I295" s="372"/>
    </row>
    <row r="296" spans="2:14" x14ac:dyDescent="0.25">
      <c r="B296" s="635">
        <v>42559</v>
      </c>
      <c r="C296" s="371">
        <v>8678</v>
      </c>
      <c r="D296" s="636">
        <v>16.835000000000001</v>
      </c>
      <c r="E296" s="372">
        <v>14.92</v>
      </c>
      <c r="F296" s="372">
        <f t="shared" si="116"/>
        <v>-16618.370000000006</v>
      </c>
      <c r="G296" s="372">
        <f t="shared" si="117"/>
        <v>146094.13</v>
      </c>
      <c r="H296" s="373">
        <f t="shared" si="118"/>
        <v>-0.1137511137511138</v>
      </c>
      <c r="I296" s="372"/>
    </row>
    <row r="297" spans="2:14" x14ac:dyDescent="0.25">
      <c r="B297" s="635">
        <v>42562</v>
      </c>
      <c r="C297" s="371">
        <v>8678</v>
      </c>
      <c r="D297" s="636">
        <v>16.835000000000001</v>
      </c>
      <c r="E297" s="372">
        <v>14.69</v>
      </c>
      <c r="F297" s="372">
        <f t="shared" si="116"/>
        <v>-18614.310000000012</v>
      </c>
      <c r="G297" s="372">
        <f t="shared" si="117"/>
        <v>146094.13</v>
      </c>
      <c r="H297" s="373">
        <f t="shared" si="118"/>
        <v>-0.12741312741312749</v>
      </c>
      <c r="I297" s="372"/>
    </row>
    <row r="298" spans="2:14" x14ac:dyDescent="0.25">
      <c r="B298" s="635">
        <v>42563</v>
      </c>
      <c r="C298" s="371">
        <v>8678</v>
      </c>
      <c r="D298" s="636">
        <v>16.835000000000001</v>
      </c>
      <c r="E298" s="372">
        <v>15.6</v>
      </c>
      <c r="F298" s="372">
        <f t="shared" si="116"/>
        <v>-10717.330000000011</v>
      </c>
      <c r="G298" s="372">
        <f t="shared" si="117"/>
        <v>146094.13</v>
      </c>
      <c r="H298" s="373">
        <f t="shared" si="118"/>
        <v>-7.3359073359073421E-2</v>
      </c>
      <c r="I298" s="372"/>
    </row>
    <row r="299" spans="2:14" x14ac:dyDescent="0.25">
      <c r="B299" s="635">
        <v>42564</v>
      </c>
      <c r="C299" s="371">
        <v>8738</v>
      </c>
      <c r="D299" s="636">
        <v>16.816099999999999</v>
      </c>
      <c r="E299" s="372">
        <v>15.29</v>
      </c>
      <c r="F299" s="372">
        <f t="shared" si="116"/>
        <v>-13335.061799999996</v>
      </c>
      <c r="G299" s="372">
        <f t="shared" si="117"/>
        <v>146939.08179999999</v>
      </c>
      <c r="H299" s="373">
        <f t="shared" si="118"/>
        <v>-9.0752314745987453E-2</v>
      </c>
      <c r="I299" s="372"/>
    </row>
    <row r="300" spans="2:14" x14ac:dyDescent="0.25">
      <c r="B300" s="635">
        <v>42566</v>
      </c>
      <c r="C300" s="371">
        <v>8738</v>
      </c>
      <c r="D300" s="636">
        <v>16.816099999999999</v>
      </c>
      <c r="E300" s="372">
        <v>15.21</v>
      </c>
      <c r="F300" s="372">
        <f t="shared" si="116"/>
        <v>-14034.101799999982</v>
      </c>
      <c r="G300" s="372">
        <f t="shared" si="117"/>
        <v>146939.08179999999</v>
      </c>
      <c r="H300" s="373">
        <f t="shared" si="118"/>
        <v>-9.5509660384988079E-2</v>
      </c>
      <c r="I300" s="372"/>
    </row>
    <row r="301" spans="2:14" x14ac:dyDescent="0.25">
      <c r="B301" s="635">
        <v>42570</v>
      </c>
      <c r="C301" s="371">
        <v>9138</v>
      </c>
      <c r="D301" s="636">
        <v>16.733499999999999</v>
      </c>
      <c r="E301" s="372">
        <v>14.75</v>
      </c>
      <c r="F301" s="372">
        <f t="shared" si="116"/>
        <v>-18125.222999999994</v>
      </c>
      <c r="G301" s="372">
        <f t="shared" si="117"/>
        <v>152910.723</v>
      </c>
      <c r="H301" s="373">
        <f t="shared" si="118"/>
        <v>-0.1185346759494427</v>
      </c>
      <c r="I301" s="372"/>
    </row>
    <row r="302" spans="2:14" x14ac:dyDescent="0.25">
      <c r="B302" s="635">
        <v>42571</v>
      </c>
      <c r="C302" s="392">
        <v>9138</v>
      </c>
      <c r="D302" s="637">
        <v>16.7227</v>
      </c>
      <c r="E302" s="372">
        <v>14.84</v>
      </c>
      <c r="F302" s="372">
        <f t="shared" si="116"/>
        <v>-17204.112599999997</v>
      </c>
      <c r="G302" s="372">
        <f t="shared" si="117"/>
        <v>152812.03260000001</v>
      </c>
      <c r="H302" s="373">
        <f t="shared" si="118"/>
        <v>-0.11258349429218965</v>
      </c>
      <c r="I302" s="372"/>
    </row>
    <row r="303" spans="2:14" x14ac:dyDescent="0.25">
      <c r="B303" s="635">
        <v>42572</v>
      </c>
      <c r="C303" s="371">
        <v>9138</v>
      </c>
      <c r="D303" s="636">
        <v>16.718900000000001</v>
      </c>
      <c r="E303" s="372">
        <v>14.42</v>
      </c>
      <c r="F303" s="372">
        <f t="shared" si="116"/>
        <v>-21007.348200000015</v>
      </c>
      <c r="G303" s="372">
        <f t="shared" si="117"/>
        <v>152777.3082</v>
      </c>
      <c r="H303" s="373">
        <f t="shared" si="118"/>
        <v>-0.13750306539305823</v>
      </c>
      <c r="I303" s="372"/>
      <c r="N303" s="29"/>
    </row>
    <row r="304" spans="2:14" x14ac:dyDescent="0.25">
      <c r="B304" s="635">
        <v>42573</v>
      </c>
      <c r="C304" s="371">
        <v>9278</v>
      </c>
      <c r="D304" s="636">
        <v>16.679099999999998</v>
      </c>
      <c r="E304" s="372">
        <v>14.11</v>
      </c>
      <c r="F304" s="372">
        <f t="shared" si="116"/>
        <v>-23836.109799999987</v>
      </c>
      <c r="G304" s="372">
        <f t="shared" si="117"/>
        <v>154748.68979999999</v>
      </c>
      <c r="H304" s="373">
        <f t="shared" si="118"/>
        <v>-0.15403109280476759</v>
      </c>
      <c r="I304" s="372"/>
    </row>
    <row r="305" spans="2:9" x14ac:dyDescent="0.25">
      <c r="B305" s="635">
        <v>42576</v>
      </c>
      <c r="C305" s="371">
        <v>9478</v>
      </c>
      <c r="D305" s="636">
        <v>16.613099999999999</v>
      </c>
      <c r="E305" s="372">
        <v>13.58</v>
      </c>
      <c r="F305" s="372">
        <f t="shared" si="116"/>
        <v>-28747.721799999992</v>
      </c>
      <c r="G305" s="372">
        <f t="shared" si="117"/>
        <v>157458.96179999999</v>
      </c>
      <c r="H305" s="373">
        <f t="shared" si="118"/>
        <v>-0.18257278894366491</v>
      </c>
      <c r="I305" s="372"/>
    </row>
    <row r="306" spans="2:9" x14ac:dyDescent="0.25">
      <c r="B306" s="635">
        <v>42577</v>
      </c>
      <c r="C306" s="392">
        <v>9278</v>
      </c>
      <c r="D306" s="637">
        <v>16.674199999999999</v>
      </c>
      <c r="E306" s="372">
        <v>13.78</v>
      </c>
      <c r="F306" s="372">
        <f t="shared" si="116"/>
        <v>-26852.387599999998</v>
      </c>
      <c r="G306" s="372">
        <f t="shared" si="117"/>
        <v>154703.22759999998</v>
      </c>
      <c r="H306" s="373">
        <f t="shared" si="118"/>
        <v>-0.17357354475776948</v>
      </c>
      <c r="I306" s="372">
        <v>16.53</v>
      </c>
    </row>
    <row r="307" spans="2:9" ht="15" customHeight="1" x14ac:dyDescent="0.25">
      <c r="B307" s="635">
        <v>42578</v>
      </c>
      <c r="C307" s="392">
        <v>9478</v>
      </c>
      <c r="D307" s="637">
        <v>16.6004</v>
      </c>
      <c r="E307" s="372">
        <v>13.13</v>
      </c>
      <c r="F307" s="372">
        <f t="shared" si="116"/>
        <v>-32892.451199999996</v>
      </c>
      <c r="G307" s="372">
        <f t="shared" si="117"/>
        <v>157338.5912</v>
      </c>
      <c r="H307" s="373">
        <f t="shared" si="118"/>
        <v>-0.20905520348907253</v>
      </c>
      <c r="I307" s="372"/>
    </row>
    <row r="308" spans="2:9" x14ac:dyDescent="0.25">
      <c r="B308" s="635">
        <v>42580</v>
      </c>
      <c r="C308" s="371">
        <v>9478</v>
      </c>
      <c r="D308" s="636">
        <v>16.599</v>
      </c>
      <c r="E308" s="372">
        <v>13.64</v>
      </c>
      <c r="F308" s="372">
        <f t="shared" si="116"/>
        <v>-28045.401999999998</v>
      </c>
      <c r="G308" s="372">
        <f t="shared" si="117"/>
        <v>157325.32200000001</v>
      </c>
      <c r="H308" s="374">
        <f t="shared" si="118"/>
        <v>-0.17826375082836313</v>
      </c>
      <c r="I308" s="372"/>
    </row>
    <row r="309" spans="2:9" x14ac:dyDescent="0.25">
      <c r="B309" s="635">
        <v>42580</v>
      </c>
      <c r="C309" s="371">
        <v>9278</v>
      </c>
      <c r="D309" s="636">
        <v>16.664000000000001</v>
      </c>
      <c r="E309" s="372">
        <v>13.64</v>
      </c>
      <c r="F309" s="372">
        <f t="shared" si="116"/>
        <v>-28056.67200000001</v>
      </c>
      <c r="G309" s="372">
        <f t="shared" si="117"/>
        <v>154608.592</v>
      </c>
      <c r="H309" s="374">
        <f t="shared" si="118"/>
        <v>-0.18146903504560732</v>
      </c>
      <c r="I309" s="372">
        <v>16.53</v>
      </c>
    </row>
    <row r="310" spans="2:9" x14ac:dyDescent="0.25">
      <c r="B310" s="635">
        <v>42583</v>
      </c>
      <c r="C310" s="371">
        <v>9478</v>
      </c>
      <c r="D310" s="636">
        <v>16.5871</v>
      </c>
      <c r="E310" s="372">
        <v>12.92</v>
      </c>
      <c r="F310" s="372">
        <f t="shared" si="116"/>
        <v>-34756.773799999995</v>
      </c>
      <c r="G310" s="372">
        <f t="shared" si="117"/>
        <v>157212.5338</v>
      </c>
      <c r="H310" s="374">
        <f t="shared" si="118"/>
        <v>-0.22108144280796521</v>
      </c>
      <c r="I310" s="372"/>
    </row>
    <row r="311" spans="2:9" x14ac:dyDescent="0.25">
      <c r="B311" s="635">
        <v>42584</v>
      </c>
      <c r="C311" s="371">
        <v>9678</v>
      </c>
      <c r="D311" s="636">
        <v>16.5063</v>
      </c>
      <c r="E311" s="372">
        <v>12.9</v>
      </c>
      <c r="F311" s="372">
        <f t="shared" si="116"/>
        <v>-34901.771399999991</v>
      </c>
      <c r="G311" s="372">
        <f t="shared" si="117"/>
        <v>159747.97140000001</v>
      </c>
      <c r="H311" s="374">
        <f t="shared" si="118"/>
        <v>-0.21848021664455386</v>
      </c>
      <c r="I311" s="372"/>
    </row>
    <row r="312" spans="2:9" x14ac:dyDescent="0.25">
      <c r="B312" s="635">
        <v>42585</v>
      </c>
      <c r="C312" s="371">
        <v>10078</v>
      </c>
      <c r="D312" s="636">
        <v>16.5063</v>
      </c>
      <c r="E312" s="372">
        <v>12.9</v>
      </c>
      <c r="F312" s="372">
        <f t="shared" ref="F312:F327" si="119">C312*(E312-D312)</f>
        <v>-36344.291399999995</v>
      </c>
      <c r="G312" s="372">
        <f t="shared" ref="G312:G327" si="120">IF(C312=0, 0,D312*C312)</f>
        <v>166350.4914</v>
      </c>
      <c r="H312" s="374">
        <f t="shared" ref="H312:H327" si="121">IF(C312=0, D312, (E312-D312)/D312)</f>
        <v>-0.21848021664455386</v>
      </c>
      <c r="I312" s="372"/>
    </row>
    <row r="313" spans="2:9" x14ac:dyDescent="0.25">
      <c r="B313" s="635">
        <v>42586</v>
      </c>
      <c r="C313" s="371">
        <v>9678</v>
      </c>
      <c r="D313" s="636">
        <v>16.489799999999999</v>
      </c>
      <c r="E313" s="372">
        <v>13.41</v>
      </c>
      <c r="F313" s="372">
        <f t="shared" si="119"/>
        <v>-29806.304399999986</v>
      </c>
      <c r="G313" s="372">
        <f t="shared" si="120"/>
        <v>159588.28439999997</v>
      </c>
      <c r="H313" s="374">
        <f t="shared" si="121"/>
        <v>-0.1867700032747516</v>
      </c>
      <c r="I313" s="372"/>
    </row>
    <row r="314" spans="2:9" x14ac:dyDescent="0.25">
      <c r="B314" s="635">
        <v>42586</v>
      </c>
      <c r="C314" s="371">
        <v>9278</v>
      </c>
      <c r="D314" s="636">
        <v>16.609200000000001</v>
      </c>
      <c r="E314" s="372">
        <v>13.66</v>
      </c>
      <c r="F314" s="372">
        <f t="shared" si="119"/>
        <v>-27362.67760000001</v>
      </c>
      <c r="G314" s="372">
        <f t="shared" si="120"/>
        <v>154100.15760000001</v>
      </c>
      <c r="H314" s="374">
        <f t="shared" si="121"/>
        <v>-0.17756424150470829</v>
      </c>
      <c r="I314" s="372">
        <v>16.53</v>
      </c>
    </row>
    <row r="315" spans="2:9" x14ac:dyDescent="0.25">
      <c r="B315" s="635">
        <v>42586</v>
      </c>
      <c r="C315" s="371">
        <v>9138</v>
      </c>
      <c r="D315" s="636">
        <v>16.6511</v>
      </c>
      <c r="E315" s="372">
        <v>13.87</v>
      </c>
      <c r="F315" s="372">
        <f t="shared" si="119"/>
        <v>-25413.691800000004</v>
      </c>
      <c r="G315" s="372">
        <f t="shared" si="120"/>
        <v>152157.7518</v>
      </c>
      <c r="H315" s="373">
        <f t="shared" si="121"/>
        <v>-0.1670219985466426</v>
      </c>
      <c r="I315" s="372"/>
    </row>
    <row r="316" spans="2:9" x14ac:dyDescent="0.25">
      <c r="B316" s="635">
        <v>42593</v>
      </c>
      <c r="C316" s="371">
        <v>8678</v>
      </c>
      <c r="D316" s="636">
        <v>16.760300000000001</v>
      </c>
      <c r="E316" s="372">
        <v>14.61</v>
      </c>
      <c r="F316" s="372">
        <f t="shared" si="119"/>
        <v>-18660.303400000012</v>
      </c>
      <c r="G316" s="372">
        <f t="shared" si="120"/>
        <v>145445.88340000002</v>
      </c>
      <c r="H316" s="373">
        <f t="shared" si="121"/>
        <v>-0.12829722618330228</v>
      </c>
      <c r="I316" s="372"/>
    </row>
    <row r="317" spans="2:9" x14ac:dyDescent="0.25">
      <c r="B317" s="635">
        <v>42597</v>
      </c>
      <c r="C317" s="371">
        <v>8678</v>
      </c>
      <c r="D317" s="636">
        <v>16.7471</v>
      </c>
      <c r="E317" s="372">
        <v>14.9</v>
      </c>
      <c r="F317" s="372">
        <f t="shared" si="119"/>
        <v>-16029.133799999994</v>
      </c>
      <c r="G317" s="372">
        <f t="shared" si="120"/>
        <v>145331.33379999999</v>
      </c>
      <c r="H317" s="373">
        <f t="shared" si="121"/>
        <v>-0.11029372249523794</v>
      </c>
      <c r="I317" s="372"/>
    </row>
    <row r="318" spans="2:9" x14ac:dyDescent="0.25">
      <c r="B318" s="635">
        <v>42598</v>
      </c>
      <c r="C318" s="371">
        <v>8178</v>
      </c>
      <c r="D318" s="636">
        <v>16.8429</v>
      </c>
      <c r="E318" s="372">
        <v>15.17</v>
      </c>
      <c r="F318" s="372">
        <f t="shared" si="119"/>
        <v>-13680.976200000003</v>
      </c>
      <c r="G318" s="372">
        <f t="shared" si="120"/>
        <v>137741.23620000001</v>
      </c>
      <c r="H318" s="373">
        <f t="shared" si="121"/>
        <v>-9.9323750660515728E-2</v>
      </c>
      <c r="I318" s="372">
        <v>16.75</v>
      </c>
    </row>
    <row r="319" spans="2:9" x14ac:dyDescent="0.25">
      <c r="B319" s="635">
        <v>42599</v>
      </c>
      <c r="C319" s="371">
        <v>7178</v>
      </c>
      <c r="D319" s="636">
        <v>17.009899999999998</v>
      </c>
      <c r="E319" s="372">
        <v>15.7</v>
      </c>
      <c r="F319" s="372">
        <f t="shared" si="119"/>
        <v>-9402.4621999999927</v>
      </c>
      <c r="G319" s="372">
        <f t="shared" si="120"/>
        <v>122097.06219999999</v>
      </c>
      <c r="H319" s="373">
        <f t="shared" si="121"/>
        <v>-7.7008095285686515E-2</v>
      </c>
      <c r="I319" s="372"/>
    </row>
    <row r="320" spans="2:9" x14ac:dyDescent="0.25">
      <c r="B320" s="635">
        <v>42600</v>
      </c>
      <c r="C320" s="371">
        <v>5500</v>
      </c>
      <c r="D320" s="636">
        <v>17.185600000000001</v>
      </c>
      <c r="E320" s="372">
        <v>16.68</v>
      </c>
      <c r="F320" s="372">
        <f t="shared" si="119"/>
        <v>-2780.8000000000065</v>
      </c>
      <c r="G320" s="372">
        <f t="shared" si="120"/>
        <v>94520.8</v>
      </c>
      <c r="H320" s="373">
        <f t="shared" si="121"/>
        <v>-2.9419979517735846E-2</v>
      </c>
      <c r="I320" s="372"/>
    </row>
    <row r="321" spans="2:9" x14ac:dyDescent="0.25">
      <c r="B321" s="635">
        <v>42601</v>
      </c>
      <c r="C321" s="371">
        <v>5000</v>
      </c>
      <c r="D321" s="636">
        <v>17.222200000000001</v>
      </c>
      <c r="E321" s="372">
        <v>16.8</v>
      </c>
      <c r="F321" s="372">
        <f t="shared" si="119"/>
        <v>-2111.0000000000005</v>
      </c>
      <c r="G321" s="372">
        <f t="shared" si="120"/>
        <v>86111</v>
      </c>
      <c r="H321" s="373">
        <f t="shared" si="121"/>
        <v>-2.4514870341768188E-2</v>
      </c>
      <c r="I321" s="372"/>
    </row>
    <row r="322" spans="2:9" x14ac:dyDescent="0.25">
      <c r="B322" s="635">
        <v>42604</v>
      </c>
      <c r="C322" s="371">
        <v>6000</v>
      </c>
      <c r="D322" s="636">
        <v>16.9651</v>
      </c>
      <c r="E322" s="372">
        <v>15.64</v>
      </c>
      <c r="F322" s="372">
        <f t="shared" si="119"/>
        <v>-7950.599999999994</v>
      </c>
      <c r="G322" s="372">
        <f t="shared" si="120"/>
        <v>101790.59999999999</v>
      </c>
      <c r="H322" s="373">
        <f t="shared" si="121"/>
        <v>-7.8107408739117312E-2</v>
      </c>
      <c r="I322" s="372"/>
    </row>
    <row r="323" spans="2:9" x14ac:dyDescent="0.25">
      <c r="B323" s="635">
        <v>42604</v>
      </c>
      <c r="C323" s="371">
        <v>6500</v>
      </c>
      <c r="D323" s="636">
        <v>16.850899999999999</v>
      </c>
      <c r="E323" s="372">
        <v>15.64</v>
      </c>
      <c r="F323" s="372">
        <f t="shared" si="119"/>
        <v>-7870.8499999999922</v>
      </c>
      <c r="G323" s="372">
        <f t="shared" si="120"/>
        <v>109530.84999999999</v>
      </c>
      <c r="H323" s="373">
        <f t="shared" si="121"/>
        <v>-7.1859663282079822E-2</v>
      </c>
      <c r="I323" s="372"/>
    </row>
    <row r="324" spans="2:9" x14ac:dyDescent="0.25">
      <c r="B324" s="635">
        <v>42605</v>
      </c>
      <c r="C324" s="371">
        <v>6000</v>
      </c>
      <c r="D324" s="636">
        <v>16.923500000000001</v>
      </c>
      <c r="E324" s="372">
        <v>16.43</v>
      </c>
      <c r="F324" s="372">
        <f t="shared" si="119"/>
        <v>-2961.0000000000055</v>
      </c>
      <c r="G324" s="372">
        <f t="shared" si="120"/>
        <v>101541</v>
      </c>
      <c r="H324" s="373">
        <f t="shared" si="121"/>
        <v>-2.9160634620498178E-2</v>
      </c>
      <c r="I324" s="372"/>
    </row>
    <row r="325" spans="2:9" x14ac:dyDescent="0.25">
      <c r="B325" s="635">
        <v>42605</v>
      </c>
      <c r="C325" s="371">
        <v>5500</v>
      </c>
      <c r="D325" s="636">
        <v>16.9848</v>
      </c>
      <c r="E325" s="372">
        <v>16.43</v>
      </c>
      <c r="F325" s="372">
        <f t="shared" si="119"/>
        <v>-3051.400000000001</v>
      </c>
      <c r="G325" s="372">
        <f t="shared" si="120"/>
        <v>93416.4</v>
      </c>
      <c r="H325" s="373">
        <f t="shared" si="121"/>
        <v>-3.266450002355048E-2</v>
      </c>
      <c r="I325" s="372"/>
    </row>
    <row r="326" spans="2:9" x14ac:dyDescent="0.25">
      <c r="B326" s="635">
        <v>42605</v>
      </c>
      <c r="C326" s="371">
        <v>5000</v>
      </c>
      <c r="D326" s="636">
        <v>17.035299999999999</v>
      </c>
      <c r="E326" s="372">
        <v>16.43</v>
      </c>
      <c r="F326" s="372">
        <f t="shared" si="119"/>
        <v>-3026.4999999999986</v>
      </c>
      <c r="G326" s="372">
        <f t="shared" si="120"/>
        <v>85176.5</v>
      </c>
      <c r="H326" s="373">
        <f t="shared" si="121"/>
        <v>-3.5532100990296606E-2</v>
      </c>
      <c r="I326" s="372"/>
    </row>
    <row r="327" spans="2:9" x14ac:dyDescent="0.25">
      <c r="B327" s="635">
        <v>42606</v>
      </c>
      <c r="C327" s="371">
        <v>5178</v>
      </c>
      <c r="D327" s="636">
        <v>17.0017</v>
      </c>
      <c r="E327" s="372">
        <v>16.059999999999999</v>
      </c>
      <c r="F327" s="372">
        <f t="shared" si="119"/>
        <v>-4876.1226000000042</v>
      </c>
      <c r="G327" s="372">
        <f t="shared" si="120"/>
        <v>88034.802599999995</v>
      </c>
      <c r="H327" s="373">
        <f t="shared" si="121"/>
        <v>-5.5388578789179958E-2</v>
      </c>
      <c r="I327" s="372"/>
    </row>
    <row r="328" spans="2:9" x14ac:dyDescent="0.25">
      <c r="B328" s="635">
        <v>42607</v>
      </c>
      <c r="C328" s="371">
        <v>5178</v>
      </c>
      <c r="D328" s="636">
        <v>17.0017</v>
      </c>
      <c r="E328" s="372">
        <v>16.010000000000002</v>
      </c>
      <c r="F328" s="372">
        <f>C328*(E328-D328)</f>
        <v>-5135.0225999999902</v>
      </c>
      <c r="G328" s="372">
        <f>IF(C328=0, 0,D328*C328)</f>
        <v>88034.802599999995</v>
      </c>
      <c r="H328" s="373">
        <f>IF(C328=0, D328, (E328-D328)/D328)</f>
        <v>-5.8329461171529789E-2</v>
      </c>
      <c r="I328" s="372"/>
    </row>
    <row r="329" spans="2:9" x14ac:dyDescent="0.25">
      <c r="B329" s="635">
        <v>42608</v>
      </c>
      <c r="C329" s="371">
        <v>6178</v>
      </c>
      <c r="D329" s="636">
        <v>16.825800000000001</v>
      </c>
      <c r="E329" s="372">
        <v>15.95</v>
      </c>
      <c r="F329" s="372">
        <f>C329*(E329-D329)</f>
        <v>-5410.6924000000108</v>
      </c>
      <c r="G329" s="372">
        <f>IF(C329=0, 0,D329*C329)</f>
        <v>103949.79240000001</v>
      </c>
      <c r="H329" s="373">
        <f>IF(C329=0, D329, (E329-D329)/D329)</f>
        <v>-5.2051016890727435E-2</v>
      </c>
      <c r="I329" s="372"/>
    </row>
    <row r="330" spans="2:9" x14ac:dyDescent="0.25">
      <c r="B330" s="635">
        <v>42611</v>
      </c>
      <c r="C330" s="371">
        <v>6178</v>
      </c>
      <c r="D330" s="636">
        <v>16.825800000000001</v>
      </c>
      <c r="E330" s="372">
        <v>15.99</v>
      </c>
      <c r="F330" s="372">
        <f t="shared" ref="F330:F335" si="122">C330*(E330-D330)</f>
        <v>-5163.5724000000046</v>
      </c>
      <c r="G330" s="372">
        <f t="shared" ref="G330:G335" si="123">IF(C330=0, 0,D330*C330)</f>
        <v>103949.79240000001</v>
      </c>
      <c r="H330" s="373">
        <f t="shared" ref="H330:H335" si="124">IF(C330=0, D330, (E330-D330)/D330)</f>
        <v>-4.9673715365688452E-2</v>
      </c>
      <c r="I330" s="372"/>
    </row>
    <row r="331" spans="2:9" x14ac:dyDescent="0.25">
      <c r="B331" s="635">
        <v>42612</v>
      </c>
      <c r="C331" s="371">
        <v>6678</v>
      </c>
      <c r="D331" s="636">
        <v>16.739999999999998</v>
      </c>
      <c r="E331" s="372">
        <v>15.55</v>
      </c>
      <c r="F331" s="454">
        <f t="shared" si="122"/>
        <v>-7946.8199999999852</v>
      </c>
      <c r="G331" s="372">
        <f t="shared" si="123"/>
        <v>111789.71999999999</v>
      </c>
      <c r="H331" s="374">
        <f t="shared" si="124"/>
        <v>-7.1087216248506446E-2</v>
      </c>
      <c r="I331" s="391"/>
    </row>
    <row r="332" spans="2:9" x14ac:dyDescent="0.25">
      <c r="B332" s="635">
        <v>42612</v>
      </c>
      <c r="C332" s="371">
        <v>7178</v>
      </c>
      <c r="D332" s="636">
        <v>16.6571</v>
      </c>
      <c r="E332" s="372">
        <v>15.55</v>
      </c>
      <c r="F332" s="372">
        <f t="shared" si="122"/>
        <v>-7946.7637999999934</v>
      </c>
      <c r="G332" s="372">
        <f t="shared" si="123"/>
        <v>119564.66379999999</v>
      </c>
      <c r="H332" s="373">
        <f t="shared" si="124"/>
        <v>-6.6464150422342369E-2</v>
      </c>
      <c r="I332" s="372"/>
    </row>
    <row r="333" spans="2:9" x14ac:dyDescent="0.25">
      <c r="B333" s="635">
        <v>42613</v>
      </c>
      <c r="C333" s="371">
        <v>7678</v>
      </c>
      <c r="D333" s="636">
        <v>16.565200000000001</v>
      </c>
      <c r="E333" s="372">
        <v>15.02</v>
      </c>
      <c r="F333" s="372">
        <f t="shared" si="122"/>
        <v>-11864.04560000001</v>
      </c>
      <c r="G333" s="372">
        <f t="shared" si="123"/>
        <v>127187.60560000001</v>
      </c>
      <c r="H333" s="373">
        <f t="shared" si="124"/>
        <v>-9.3279887957887692E-2</v>
      </c>
      <c r="I333" s="372" t="s">
        <v>261</v>
      </c>
    </row>
    <row r="334" spans="2:9" x14ac:dyDescent="0.25">
      <c r="B334" s="635">
        <v>42613</v>
      </c>
      <c r="C334" s="371">
        <v>8178</v>
      </c>
      <c r="D334" s="636">
        <v>16.474399999999999</v>
      </c>
      <c r="E334" s="372">
        <v>15.02</v>
      </c>
      <c r="F334" s="372">
        <f t="shared" si="122"/>
        <v>-11894.083199999997</v>
      </c>
      <c r="G334" s="372">
        <f t="shared" si="123"/>
        <v>134727.64319999999</v>
      </c>
      <c r="H334" s="373">
        <f t="shared" si="124"/>
        <v>-8.8282426067110162E-2</v>
      </c>
      <c r="I334" s="372" t="s">
        <v>262</v>
      </c>
    </row>
    <row r="335" spans="2:9" x14ac:dyDescent="0.25">
      <c r="B335" s="635">
        <v>42615</v>
      </c>
      <c r="C335" s="371">
        <v>7678</v>
      </c>
      <c r="D335" s="636">
        <v>16.528099999999998</v>
      </c>
      <c r="E335" s="372">
        <v>15.49</v>
      </c>
      <c r="F335" s="372">
        <f t="shared" si="122"/>
        <v>-7970.5317999999861</v>
      </c>
      <c r="G335" s="372">
        <f t="shared" si="123"/>
        <v>126902.75179999998</v>
      </c>
      <c r="H335" s="373">
        <f t="shared" si="124"/>
        <v>-6.2808187268953986E-2</v>
      </c>
      <c r="I335" s="372">
        <v>16.350000000000001</v>
      </c>
    </row>
    <row r="336" spans="2:9" x14ac:dyDescent="0.25">
      <c r="B336" s="635">
        <v>42616</v>
      </c>
      <c r="C336" s="371">
        <v>7678</v>
      </c>
      <c r="D336" s="636">
        <v>16.528099999999998</v>
      </c>
      <c r="E336" s="372">
        <v>15.64</v>
      </c>
      <c r="F336" s="372">
        <f>C336*(E336-D336)</f>
        <v>-6818.8317999999836</v>
      </c>
      <c r="G336" s="372">
        <f>IF(C336=0, 0,D336*C336)</f>
        <v>126902.75179999998</v>
      </c>
      <c r="H336" s="373">
        <f>IF(C336=0, D336, (E336-D336)/D336)</f>
        <v>-5.3732733950060681E-2</v>
      </c>
      <c r="I336" s="372"/>
    </row>
    <row r="337" spans="2:9" x14ac:dyDescent="0.25">
      <c r="B337" s="635">
        <v>42621</v>
      </c>
      <c r="C337" s="371">
        <v>7178</v>
      </c>
      <c r="D337" s="636">
        <v>16.545400000000001</v>
      </c>
      <c r="E337" s="372">
        <v>16.739999999999998</v>
      </c>
      <c r="F337" s="372">
        <f>C337*(E337-D337)</f>
        <v>1396.8387999999832</v>
      </c>
      <c r="G337" s="372">
        <f>IF(C337=0, 0,D337*C337)</f>
        <v>118762.8812</v>
      </c>
      <c r="H337" s="373">
        <f>IF(C337=0, D337, (E337-D337)/D337)</f>
        <v>1.1761577235968768E-2</v>
      </c>
      <c r="I337" s="372"/>
    </row>
    <row r="338" spans="2:9" x14ac:dyDescent="0.25">
      <c r="B338" s="635">
        <v>42621</v>
      </c>
      <c r="C338" s="392">
        <v>6678</v>
      </c>
      <c r="D338" s="637">
        <v>16.532299999999999</v>
      </c>
      <c r="E338" s="372">
        <v>16.739999999999998</v>
      </c>
      <c r="F338" s="372">
        <f>C338*(E338-D338)</f>
        <v>1387.0205999999941</v>
      </c>
      <c r="G338" s="372">
        <f>IF(C338=0, 0,D338*C338)</f>
        <v>110402.6994</v>
      </c>
      <c r="H338" s="373">
        <f>IF(C338=0, D338, (E338-D338)/D338)</f>
        <v>1.256328520532528E-2</v>
      </c>
      <c r="I338" s="372"/>
    </row>
    <row r="339" spans="2:9" ht="15" customHeight="1" x14ac:dyDescent="0.25">
      <c r="B339" s="635">
        <v>42621</v>
      </c>
      <c r="C339" s="371">
        <v>6458</v>
      </c>
      <c r="D339" s="636">
        <v>16.524263999999999</v>
      </c>
      <c r="E339" s="372">
        <v>16.739999999999998</v>
      </c>
      <c r="F339" s="372">
        <f>C339*(E339-D339)</f>
        <v>1393.2230879999981</v>
      </c>
      <c r="G339" s="372">
        <f>IF(C339=0, 0,D339*C339)</f>
        <v>106713.69691199998</v>
      </c>
      <c r="H339" s="373">
        <f>IF(C339=0, D339, (E339-D339)/D339)</f>
        <v>1.3055710075801242E-2</v>
      </c>
      <c r="I339" s="372"/>
    </row>
    <row r="340" spans="2:9" x14ac:dyDescent="0.25">
      <c r="B340" s="635">
        <v>42622</v>
      </c>
      <c r="C340" s="371">
        <v>7178</v>
      </c>
      <c r="D340" s="636">
        <v>16.477945999999999</v>
      </c>
      <c r="E340" s="372">
        <v>15.67</v>
      </c>
      <c r="F340" s="372">
        <f>C340*(E340-D340)</f>
        <v>-5799.4363879999955</v>
      </c>
      <c r="G340" s="372">
        <f>IF(C340=0, 0,D340*C340)</f>
        <v>118278.696388</v>
      </c>
      <c r="H340" s="373">
        <f>IF(C340=0, D340, (E340-D340)/D340)</f>
        <v>-4.9031960658203359E-2</v>
      </c>
      <c r="I340" s="372"/>
    </row>
    <row r="341" spans="2:9" x14ac:dyDescent="0.25">
      <c r="B341" s="635">
        <v>42622</v>
      </c>
      <c r="C341" s="371">
        <v>7678</v>
      </c>
      <c r="D341" s="636">
        <v>16.430541999999999</v>
      </c>
      <c r="E341" s="372">
        <v>15.67</v>
      </c>
      <c r="F341" s="372">
        <f t="shared" ref="F341:F347" si="125">C341*(E341-D341)</f>
        <v>-5839.4414759999936</v>
      </c>
      <c r="G341" s="372">
        <f t="shared" ref="G341:G347" si="126">IF(C341=0, 0,D341*C341)</f>
        <v>126153.70147599999</v>
      </c>
      <c r="H341" s="373">
        <f t="shared" ref="H341:H347" si="127">IF(C341=0, D341, (E341-D341)/D341)</f>
        <v>-4.6288308687564853E-2</v>
      </c>
      <c r="I341" s="372">
        <v>16.350000000000001</v>
      </c>
    </row>
    <row r="342" spans="2:9" x14ac:dyDescent="0.25">
      <c r="B342" s="635">
        <v>42625</v>
      </c>
      <c r="C342" s="392">
        <v>7678</v>
      </c>
      <c r="D342" s="637">
        <v>16.412330000000001</v>
      </c>
      <c r="E342" s="372">
        <v>15.47</v>
      </c>
      <c r="F342" s="372">
        <f t="shared" si="125"/>
        <v>-7235.2097400000011</v>
      </c>
      <c r="G342" s="372">
        <f t="shared" si="126"/>
        <v>126013.86974000001</v>
      </c>
      <c r="H342" s="373">
        <f t="shared" si="127"/>
        <v>-5.7415979327737135E-2</v>
      </c>
      <c r="I342" s="372"/>
    </row>
    <row r="343" spans="2:9" x14ac:dyDescent="0.25">
      <c r="B343" s="635">
        <v>42625</v>
      </c>
      <c r="C343" s="392">
        <v>7678</v>
      </c>
      <c r="D343" s="637">
        <v>16.355817999999999</v>
      </c>
      <c r="E343" s="372">
        <v>15.47</v>
      </c>
      <c r="F343" s="372">
        <f t="shared" si="125"/>
        <v>-6801.3106039999893</v>
      </c>
      <c r="G343" s="372">
        <f t="shared" si="126"/>
        <v>125579.970604</v>
      </c>
      <c r="H343" s="373">
        <f t="shared" si="127"/>
        <v>-5.4159198885680847E-2</v>
      </c>
      <c r="I343" s="372" t="s">
        <v>277</v>
      </c>
    </row>
    <row r="344" spans="2:9" x14ac:dyDescent="0.25">
      <c r="B344" s="635">
        <v>42626</v>
      </c>
      <c r="C344" s="371">
        <v>8278</v>
      </c>
      <c r="D344" s="636">
        <v>16.25066</v>
      </c>
      <c r="E344" s="372">
        <v>14.34</v>
      </c>
      <c r="F344" s="372">
        <f t="shared" si="125"/>
        <v>-15816.44348</v>
      </c>
      <c r="G344" s="372">
        <f t="shared" si="126"/>
        <v>134522.96348000001</v>
      </c>
      <c r="H344" s="374">
        <f t="shared" si="127"/>
        <v>-0.11757430159759666</v>
      </c>
      <c r="I344" s="372"/>
    </row>
    <row r="345" spans="2:9" x14ac:dyDescent="0.25">
      <c r="B345" s="635">
        <v>42626</v>
      </c>
      <c r="C345" s="371">
        <v>8678</v>
      </c>
      <c r="D345" s="636">
        <v>16.18149</v>
      </c>
      <c r="E345" s="372">
        <v>14.34</v>
      </c>
      <c r="F345" s="372">
        <f t="shared" si="125"/>
        <v>-15980.450220000002</v>
      </c>
      <c r="G345" s="372">
        <f t="shared" si="126"/>
        <v>140422.97021999999</v>
      </c>
      <c r="H345" s="374">
        <f t="shared" si="127"/>
        <v>-0.11380225183218605</v>
      </c>
      <c r="I345" s="372"/>
    </row>
    <row r="346" spans="2:9" x14ac:dyDescent="0.25">
      <c r="B346" s="635">
        <v>42626</v>
      </c>
      <c r="C346" s="371">
        <v>8978</v>
      </c>
      <c r="D346" s="636">
        <v>16.124635000000001</v>
      </c>
      <c r="E346" s="372">
        <v>14.34</v>
      </c>
      <c r="F346" s="372">
        <f t="shared" si="125"/>
        <v>-16022.453030000013</v>
      </c>
      <c r="G346" s="372">
        <f t="shared" si="126"/>
        <v>144766.97303000002</v>
      </c>
      <c r="H346" s="374">
        <f t="shared" si="127"/>
        <v>-0.11067754401882594</v>
      </c>
      <c r="I346" s="372"/>
    </row>
    <row r="347" spans="2:9" x14ac:dyDescent="0.25">
      <c r="B347" s="635">
        <v>42626</v>
      </c>
      <c r="C347" s="371">
        <v>9278</v>
      </c>
      <c r="D347" s="636">
        <v>16.064019999999999</v>
      </c>
      <c r="E347" s="372">
        <v>14.34</v>
      </c>
      <c r="F347" s="372">
        <f t="shared" si="125"/>
        <v>-15995.457559999995</v>
      </c>
      <c r="G347" s="372">
        <f t="shared" si="126"/>
        <v>149041.97756</v>
      </c>
      <c r="H347" s="374">
        <f t="shared" si="127"/>
        <v>-0.10732182853357998</v>
      </c>
      <c r="I347" s="372" t="s">
        <v>278</v>
      </c>
    </row>
    <row r="348" spans="2:9" x14ac:dyDescent="0.25">
      <c r="B348" s="635">
        <v>42627</v>
      </c>
      <c r="C348" s="371">
        <v>9478</v>
      </c>
      <c r="D348" s="636">
        <v>16.020790999999999</v>
      </c>
      <c r="E348" s="372">
        <v>14.01</v>
      </c>
      <c r="F348" s="372">
        <f t="shared" ref="F348:F355" si="128">C348*(E348-D348)</f>
        <v>-19058.277097999995</v>
      </c>
      <c r="G348" s="372">
        <f t="shared" ref="G348:G355" si="129">IF(C348=0, 0,D348*C348)</f>
        <v>151845.05709799999</v>
      </c>
      <c r="H348" s="374">
        <f t="shared" ref="H348:H355" si="130">IF(C348=0, D348, (E348-D348)/D348)</f>
        <v>-0.1255113433537707</v>
      </c>
      <c r="I348" s="372"/>
    </row>
    <row r="349" spans="2:9" x14ac:dyDescent="0.25">
      <c r="B349" s="635">
        <v>42628</v>
      </c>
      <c r="C349" s="371">
        <v>9478</v>
      </c>
      <c r="D349" s="636">
        <v>16.015726999999998</v>
      </c>
      <c r="E349" s="372">
        <v>14.26</v>
      </c>
      <c r="F349" s="372">
        <f t="shared" si="128"/>
        <v>-16640.780505999985</v>
      </c>
      <c r="G349" s="372">
        <f t="shared" si="129"/>
        <v>151797.06050599998</v>
      </c>
      <c r="H349" s="374">
        <f t="shared" si="130"/>
        <v>-0.1096251827968845</v>
      </c>
      <c r="I349" s="372"/>
    </row>
    <row r="350" spans="2:9" ht="15" customHeight="1" x14ac:dyDescent="0.25">
      <c r="B350" s="635">
        <v>42629</v>
      </c>
      <c r="C350" s="371">
        <v>9478</v>
      </c>
      <c r="D350" s="636">
        <v>16.015726999999998</v>
      </c>
      <c r="E350" s="372">
        <v>14.24</v>
      </c>
      <c r="F350" s="372">
        <f t="shared" si="128"/>
        <v>-16830.340505999982</v>
      </c>
      <c r="G350" s="372">
        <f t="shared" si="129"/>
        <v>151797.06050599998</v>
      </c>
      <c r="H350" s="374">
        <f t="shared" si="130"/>
        <v>-0.1108739553315312</v>
      </c>
      <c r="I350" s="372"/>
    </row>
    <row r="351" spans="2:9" x14ac:dyDescent="0.25">
      <c r="B351" s="635">
        <v>42632</v>
      </c>
      <c r="C351" s="371">
        <v>9678</v>
      </c>
      <c r="D351" s="636">
        <v>15.975311</v>
      </c>
      <c r="E351" s="372">
        <v>14.09</v>
      </c>
      <c r="F351" s="372">
        <f t="shared" si="128"/>
        <v>-18246.039857999996</v>
      </c>
      <c r="G351" s="372">
        <f t="shared" si="129"/>
        <v>154609.05985799999</v>
      </c>
      <c r="H351" s="373">
        <f t="shared" si="130"/>
        <v>-0.11801404054043141</v>
      </c>
      <c r="I351" s="372"/>
    </row>
    <row r="352" spans="2:9" x14ac:dyDescent="0.25">
      <c r="B352" s="635">
        <v>42633</v>
      </c>
      <c r="C352" s="371">
        <v>9878</v>
      </c>
      <c r="D352" s="636">
        <v>15.937544000000001</v>
      </c>
      <c r="E352" s="372">
        <v>13.87</v>
      </c>
      <c r="F352" s="372">
        <f t="shared" si="128"/>
        <v>-20423.199632000014</v>
      </c>
      <c r="G352" s="372">
        <f t="shared" si="129"/>
        <v>157431.05963200002</v>
      </c>
      <c r="H352" s="373">
        <f t="shared" si="130"/>
        <v>-0.12972789282966068</v>
      </c>
      <c r="I352" s="372"/>
    </row>
    <row r="353" spans="2:9" x14ac:dyDescent="0.25">
      <c r="B353" s="635">
        <v>42633</v>
      </c>
      <c r="C353" s="371">
        <v>10000</v>
      </c>
      <c r="D353" s="636">
        <v>15.915126000000001</v>
      </c>
      <c r="E353" s="372">
        <v>13.87</v>
      </c>
      <c r="F353" s="372">
        <f t="shared" si="128"/>
        <v>-20451.260000000017</v>
      </c>
      <c r="G353" s="372">
        <f t="shared" si="129"/>
        <v>159151.26</v>
      </c>
      <c r="H353" s="373">
        <f t="shared" si="130"/>
        <v>-0.12850203008132022</v>
      </c>
      <c r="I353" s="372"/>
    </row>
    <row r="354" spans="2:9" x14ac:dyDescent="0.25">
      <c r="B354" s="635">
        <v>42634</v>
      </c>
      <c r="C354" s="371">
        <v>9678</v>
      </c>
      <c r="D354" s="636">
        <v>15.969538999999999</v>
      </c>
      <c r="E354" s="372">
        <v>14.65</v>
      </c>
      <c r="F354" s="372">
        <f t="shared" si="128"/>
        <v>-12770.498441999989</v>
      </c>
      <c r="G354" s="372">
        <f t="shared" si="129"/>
        <v>154553.19844199999</v>
      </c>
      <c r="H354" s="373">
        <f t="shared" si="130"/>
        <v>-8.2628496664806608E-2</v>
      </c>
      <c r="I354" s="372"/>
    </row>
    <row r="355" spans="2:9" x14ac:dyDescent="0.25">
      <c r="B355" s="635">
        <v>42634</v>
      </c>
      <c r="C355" s="371">
        <v>9278</v>
      </c>
      <c r="D355" s="636">
        <v>16.026872999999998</v>
      </c>
      <c r="E355" s="372">
        <v>14.65</v>
      </c>
      <c r="F355" s="372">
        <f t="shared" si="128"/>
        <v>-12774.627693999981</v>
      </c>
      <c r="G355" s="372">
        <f t="shared" si="129"/>
        <v>148697.32769399998</v>
      </c>
      <c r="H355" s="373">
        <f t="shared" si="130"/>
        <v>-8.5910270830747718E-2</v>
      </c>
      <c r="I355" s="372">
        <v>16</v>
      </c>
    </row>
    <row r="356" spans="2:9" x14ac:dyDescent="0.25">
      <c r="B356" s="635">
        <v>42635</v>
      </c>
      <c r="C356" s="371">
        <v>9278</v>
      </c>
      <c r="D356" s="636">
        <v>16.026872999999998</v>
      </c>
      <c r="E356" s="372">
        <v>14.87</v>
      </c>
      <c r="F356" s="372">
        <f t="shared" ref="F356:F367" si="131">C356*(E356-D356)</f>
        <v>-10733.467693999992</v>
      </c>
      <c r="G356" s="372">
        <f t="shared" ref="G356:G367" si="132">IF(C356=0, 0,D356*C356)</f>
        <v>148697.32769399998</v>
      </c>
      <c r="H356" s="373">
        <f t="shared" ref="H356:H367" si="133">IF(C356=0, D356, (E356-D356)/D356)</f>
        <v>-7.2183326092369937E-2</v>
      </c>
      <c r="I356" s="372"/>
    </row>
    <row r="357" spans="2:9" x14ac:dyDescent="0.25">
      <c r="B357" s="635">
        <v>42636</v>
      </c>
      <c r="C357" s="371">
        <v>9478</v>
      </c>
      <c r="D357" s="636">
        <v>15.992122</v>
      </c>
      <c r="E357" s="372">
        <v>14.49</v>
      </c>
      <c r="F357" s="372">
        <f t="shared" si="131"/>
        <v>-14237.112315999999</v>
      </c>
      <c r="G357" s="372">
        <f t="shared" si="132"/>
        <v>151573.33231600001</v>
      </c>
      <c r="H357" s="373">
        <f t="shared" si="133"/>
        <v>-9.39288732289561E-2</v>
      </c>
      <c r="I357" s="372"/>
    </row>
    <row r="358" spans="2:9" x14ac:dyDescent="0.25">
      <c r="B358" s="635">
        <v>42639</v>
      </c>
      <c r="C358" s="371">
        <v>9278</v>
      </c>
      <c r="D358" s="636">
        <v>16.019549999999999</v>
      </c>
      <c r="E358" s="372">
        <v>14.41</v>
      </c>
      <c r="F358" s="372">
        <f t="shared" si="131"/>
        <v>-14933.404899999989</v>
      </c>
      <c r="G358" s="372">
        <f t="shared" si="132"/>
        <v>148629.38489999998</v>
      </c>
      <c r="H358" s="373">
        <f t="shared" si="133"/>
        <v>-0.10047410819904422</v>
      </c>
      <c r="I358" s="372">
        <v>16</v>
      </c>
    </row>
    <row r="359" spans="2:9" x14ac:dyDescent="0.25">
      <c r="B359" s="635">
        <v>42639</v>
      </c>
      <c r="C359" s="371">
        <v>9478</v>
      </c>
      <c r="D359" s="636">
        <v>15.987468</v>
      </c>
      <c r="E359" s="372">
        <v>14.41</v>
      </c>
      <c r="F359" s="372">
        <f t="shared" si="131"/>
        <v>-14951.241703999996</v>
      </c>
      <c r="G359" s="372">
        <f t="shared" si="132"/>
        <v>151529.221704</v>
      </c>
      <c r="H359" s="373">
        <f t="shared" si="133"/>
        <v>-9.8669032519721048E-2</v>
      </c>
      <c r="I359" s="372"/>
    </row>
    <row r="360" spans="2:9" x14ac:dyDescent="0.25">
      <c r="B360" s="635">
        <v>42639</v>
      </c>
      <c r="C360" s="371">
        <v>9678</v>
      </c>
      <c r="D360" s="636">
        <v>15.954266000000001</v>
      </c>
      <c r="E360" s="372">
        <v>14.41</v>
      </c>
      <c r="F360" s="372">
        <f t="shared" si="131"/>
        <v>-14945.406348000004</v>
      </c>
      <c r="G360" s="372">
        <f t="shared" si="132"/>
        <v>154405.386348</v>
      </c>
      <c r="H360" s="373">
        <f t="shared" si="133"/>
        <v>-9.6793296538994669E-2</v>
      </c>
      <c r="I360" s="372"/>
    </row>
    <row r="361" spans="2:9" x14ac:dyDescent="0.25">
      <c r="B361" s="635">
        <v>42640</v>
      </c>
      <c r="C361" s="371">
        <v>10000</v>
      </c>
      <c r="D361" s="636">
        <v>15.890373</v>
      </c>
      <c r="E361" s="372">
        <v>14.06</v>
      </c>
      <c r="F361" s="372">
        <f t="shared" si="131"/>
        <v>-18303.73</v>
      </c>
      <c r="G361" s="372">
        <f t="shared" si="132"/>
        <v>158903.73000000001</v>
      </c>
      <c r="H361" s="373">
        <f t="shared" si="133"/>
        <v>-0.11518754153851517</v>
      </c>
      <c r="I361" s="372"/>
    </row>
    <row r="362" spans="2:9" x14ac:dyDescent="0.25">
      <c r="B362" s="635">
        <v>42641</v>
      </c>
      <c r="C362" s="371">
        <v>9278</v>
      </c>
      <c r="D362" s="636">
        <v>15.968</v>
      </c>
      <c r="E362" s="372">
        <v>15.18</v>
      </c>
      <c r="F362" s="372">
        <f t="shared" si="131"/>
        <v>-7311.0640000000021</v>
      </c>
      <c r="G362" s="372">
        <f t="shared" si="132"/>
        <v>148151.10399999999</v>
      </c>
      <c r="H362" s="373">
        <f t="shared" si="133"/>
        <v>-4.9348697394789594E-2</v>
      </c>
      <c r="I362" s="372" t="s">
        <v>291</v>
      </c>
    </row>
    <row r="363" spans="2:9" x14ac:dyDescent="0.25">
      <c r="B363" s="635">
        <v>42641</v>
      </c>
      <c r="C363" s="371">
        <v>8978</v>
      </c>
      <c r="D363" s="636">
        <v>15.991466000000001</v>
      </c>
      <c r="E363" s="372">
        <v>15.18</v>
      </c>
      <c r="F363" s="372">
        <f t="shared" si="131"/>
        <v>-7285.3417480000098</v>
      </c>
      <c r="G363" s="372">
        <f t="shared" si="132"/>
        <v>143571.38174800001</v>
      </c>
      <c r="H363" s="373">
        <f t="shared" si="133"/>
        <v>-5.0743690415875634E-2</v>
      </c>
      <c r="I363" s="372"/>
    </row>
    <row r="364" spans="2:9" x14ac:dyDescent="0.25">
      <c r="B364" s="635">
        <v>42642</v>
      </c>
      <c r="C364" s="371">
        <v>8678</v>
      </c>
      <c r="D364" s="636">
        <v>16.016100000000002</v>
      </c>
      <c r="E364" s="372">
        <v>15.9</v>
      </c>
      <c r="F364" s="372">
        <f t="shared" si="131"/>
        <v>-1007.5158000000105</v>
      </c>
      <c r="G364" s="372">
        <f t="shared" si="132"/>
        <v>138987.71580000001</v>
      </c>
      <c r="H364" s="373">
        <f t="shared" si="133"/>
        <v>-7.2489557382884214E-3</v>
      </c>
      <c r="I364" s="372"/>
    </row>
    <row r="365" spans="2:9" x14ac:dyDescent="0.25">
      <c r="B365" s="635">
        <v>42642</v>
      </c>
      <c r="C365" s="371">
        <v>7978</v>
      </c>
      <c r="D365" s="636">
        <v>16.036825</v>
      </c>
      <c r="E365" s="372">
        <v>15.9</v>
      </c>
      <c r="F365" s="372">
        <f t="shared" si="131"/>
        <v>-1091.5898499999998</v>
      </c>
      <c r="G365" s="372">
        <f t="shared" si="132"/>
        <v>127941.78985</v>
      </c>
      <c r="H365" s="373">
        <f t="shared" si="133"/>
        <v>-8.5319257396648009E-3</v>
      </c>
      <c r="I365" s="372"/>
    </row>
    <row r="366" spans="2:9" x14ac:dyDescent="0.25">
      <c r="B366" s="635">
        <v>42642</v>
      </c>
      <c r="C366" s="371">
        <v>7764</v>
      </c>
      <c r="D366" s="636">
        <v>16.038399999999999</v>
      </c>
      <c r="E366" s="372">
        <v>15.9</v>
      </c>
      <c r="F366" s="372">
        <f t="shared" si="131"/>
        <v>-1074.5375999999919</v>
      </c>
      <c r="G366" s="372">
        <f t="shared" si="132"/>
        <v>124522.1376</v>
      </c>
      <c r="H366" s="373">
        <f t="shared" si="133"/>
        <v>-8.6292897047086353E-3</v>
      </c>
      <c r="I366" s="372"/>
    </row>
    <row r="367" spans="2:9" x14ac:dyDescent="0.25">
      <c r="B367" s="635">
        <v>42642</v>
      </c>
      <c r="C367" s="371">
        <v>8178</v>
      </c>
      <c r="D367" s="636">
        <v>16.019235999999999</v>
      </c>
      <c r="E367" s="372">
        <v>15.9</v>
      </c>
      <c r="F367" s="372">
        <f t="shared" si="131"/>
        <v>-975.11200799999187</v>
      </c>
      <c r="G367" s="372">
        <f t="shared" si="132"/>
        <v>131005.31200799999</v>
      </c>
      <c r="H367" s="373">
        <f t="shared" si="133"/>
        <v>-7.4433012910228059E-3</v>
      </c>
      <c r="I367" s="372" t="s">
        <v>292</v>
      </c>
    </row>
    <row r="368" spans="2:9" x14ac:dyDescent="0.25">
      <c r="B368" s="635">
        <v>42643</v>
      </c>
      <c r="C368" s="371">
        <v>8178</v>
      </c>
      <c r="D368" s="636">
        <v>16.019235999999999</v>
      </c>
      <c r="E368" s="372">
        <v>15.81</v>
      </c>
      <c r="F368" s="372">
        <f>C368*(E368-D368)</f>
        <v>-1711.1320079999907</v>
      </c>
      <c r="G368" s="372">
        <f>IF(C368=0, 0,D368*C368)</f>
        <v>131005.31200799999</v>
      </c>
      <c r="H368" s="373">
        <f>IF(C368=0, D368, (E368-D368)/D368)</f>
        <v>-1.3061546755413234E-2</v>
      </c>
      <c r="I368" s="372"/>
    </row>
    <row r="369" spans="2:9" x14ac:dyDescent="0.25">
      <c r="B369" s="635">
        <v>42646</v>
      </c>
      <c r="C369" s="371">
        <v>8178</v>
      </c>
      <c r="D369" s="636">
        <v>16.019235999999999</v>
      </c>
      <c r="E369" s="372">
        <v>15.98</v>
      </c>
      <c r="F369" s="372">
        <f t="shared" ref="F369:F378" si="134">C369*(E369-D369)</f>
        <v>-320.8720079999913</v>
      </c>
      <c r="G369" s="372">
        <f t="shared" ref="G369:G378" si="135">IF(C369=0, 0,D369*C369)</f>
        <v>131005.31200799999</v>
      </c>
      <c r="H369" s="373">
        <f t="shared" ref="H369:H378" si="136">IF(C369=0, D369, (E369-D369)/D369)</f>
        <v>-2.4493053226757469E-3</v>
      </c>
      <c r="I369" s="372"/>
    </row>
    <row r="370" spans="2:9" x14ac:dyDescent="0.25">
      <c r="B370" s="635">
        <v>42647</v>
      </c>
      <c r="C370" s="371">
        <v>8678</v>
      </c>
      <c r="D370" s="636">
        <v>16.010061</v>
      </c>
      <c r="E370" s="372">
        <v>15.63</v>
      </c>
      <c r="F370" s="372">
        <f t="shared" si="134"/>
        <v>-3298.169357999996</v>
      </c>
      <c r="G370" s="372">
        <f t="shared" si="135"/>
        <v>138935.309358</v>
      </c>
      <c r="H370" s="373">
        <f t="shared" si="136"/>
        <v>-2.3738885192255015E-2</v>
      </c>
      <c r="I370" s="372"/>
    </row>
    <row r="371" spans="2:9" ht="15" customHeight="1" x14ac:dyDescent="0.25">
      <c r="B371" s="635">
        <v>42647</v>
      </c>
      <c r="C371" s="371">
        <v>9178</v>
      </c>
      <c r="D371" s="636">
        <v>15.988811</v>
      </c>
      <c r="E371" s="372">
        <v>15.63</v>
      </c>
      <c r="F371" s="372">
        <f t="shared" si="134"/>
        <v>-3293.1673579999938</v>
      </c>
      <c r="G371" s="372">
        <f t="shared" si="135"/>
        <v>146745.30735799999</v>
      </c>
      <c r="H371" s="373">
        <f t="shared" si="136"/>
        <v>-2.2441381038277287E-2</v>
      </c>
      <c r="I371" s="372"/>
    </row>
    <row r="372" spans="2:9" x14ac:dyDescent="0.25">
      <c r="B372" s="635">
        <v>42648</v>
      </c>
      <c r="C372" s="371">
        <v>8178</v>
      </c>
      <c r="D372" s="636">
        <v>15.977725</v>
      </c>
      <c r="E372" s="372">
        <v>16.12</v>
      </c>
      <c r="F372" s="372">
        <f t="shared" si="134"/>
        <v>1163.524950000012</v>
      </c>
      <c r="G372" s="372">
        <f t="shared" si="135"/>
        <v>130665.83504999999</v>
      </c>
      <c r="H372" s="373">
        <f t="shared" si="136"/>
        <v>8.904584351026288E-3</v>
      </c>
      <c r="I372" s="372">
        <v>15.75</v>
      </c>
    </row>
    <row r="373" spans="2:9" x14ac:dyDescent="0.25">
      <c r="B373" s="635">
        <v>42648</v>
      </c>
      <c r="C373" s="392">
        <v>7678</v>
      </c>
      <c r="D373" s="637">
        <v>15.951529000000001</v>
      </c>
      <c r="E373" s="372">
        <v>16.12</v>
      </c>
      <c r="F373" s="372">
        <f t="shared" si="134"/>
        <v>1293.5203380000021</v>
      </c>
      <c r="G373" s="372">
        <f t="shared" si="135"/>
        <v>122475.839662</v>
      </c>
      <c r="H373" s="373">
        <f t="shared" si="136"/>
        <v>1.0561432700275958E-2</v>
      </c>
      <c r="I373" s="372" t="s">
        <v>296</v>
      </c>
    </row>
    <row r="374" spans="2:9" x14ac:dyDescent="0.25">
      <c r="B374" s="635">
        <v>42649</v>
      </c>
      <c r="C374" s="371">
        <v>8678</v>
      </c>
      <c r="D374" s="636">
        <v>15.941579000000001</v>
      </c>
      <c r="E374" s="372">
        <v>16.079999999999998</v>
      </c>
      <c r="F374" s="372">
        <f t="shared" si="134"/>
        <v>1201.2174379999781</v>
      </c>
      <c r="G374" s="372">
        <f t="shared" si="135"/>
        <v>138341.022562</v>
      </c>
      <c r="H374" s="373">
        <f t="shared" si="136"/>
        <v>8.683016908174369E-3</v>
      </c>
      <c r="I374" s="372"/>
    </row>
    <row r="375" spans="2:9" x14ac:dyDescent="0.25">
      <c r="B375" s="635">
        <v>42650</v>
      </c>
      <c r="C375" s="371">
        <v>8978</v>
      </c>
      <c r="D375" s="636">
        <v>15.935176999999999</v>
      </c>
      <c r="E375" s="372">
        <v>15.56</v>
      </c>
      <c r="F375" s="372">
        <f t="shared" si="134"/>
        <v>-3368.3391059999908</v>
      </c>
      <c r="G375" s="372">
        <f t="shared" si="135"/>
        <v>143066.01910599999</v>
      </c>
      <c r="H375" s="373">
        <f t="shared" si="136"/>
        <v>-2.354394933925108E-2</v>
      </c>
      <c r="I375" s="372"/>
    </row>
    <row r="376" spans="2:9" x14ac:dyDescent="0.25">
      <c r="B376" s="635">
        <v>42650</v>
      </c>
      <c r="C376" s="371">
        <v>9278</v>
      </c>
      <c r="D376" s="636">
        <v>15.923692000000001</v>
      </c>
      <c r="E376" s="372">
        <v>15.56</v>
      </c>
      <c r="F376" s="372">
        <f t="shared" si="134"/>
        <v>-3374.3343760000034</v>
      </c>
      <c r="G376" s="372">
        <f t="shared" si="135"/>
        <v>147740.01437600001</v>
      </c>
      <c r="H376" s="373">
        <f t="shared" si="136"/>
        <v>-2.2839678134945106E-2</v>
      </c>
      <c r="I376" s="372">
        <v>15.8</v>
      </c>
    </row>
    <row r="377" spans="2:9" x14ac:dyDescent="0.25">
      <c r="B377" s="635">
        <v>42653</v>
      </c>
      <c r="C377" s="392">
        <v>9678</v>
      </c>
      <c r="D377" s="637">
        <v>15.9153</v>
      </c>
      <c r="E377" s="372">
        <v>15.72</v>
      </c>
      <c r="F377" s="372">
        <f t="shared" si="134"/>
        <v>-1890.1133999999961</v>
      </c>
      <c r="G377" s="372">
        <f t="shared" si="135"/>
        <v>154028.27340000001</v>
      </c>
      <c r="H377" s="373">
        <f t="shared" si="136"/>
        <v>-1.2271210721758281E-2</v>
      </c>
      <c r="I377" s="372"/>
    </row>
    <row r="378" spans="2:9" x14ac:dyDescent="0.25">
      <c r="B378" s="635">
        <v>42661</v>
      </c>
      <c r="C378" s="392">
        <v>10000</v>
      </c>
      <c r="D378" s="637">
        <v>15.901258</v>
      </c>
      <c r="E378" s="372">
        <v>14.2</v>
      </c>
      <c r="F378" s="372">
        <f t="shared" si="134"/>
        <v>-17012.580000000009</v>
      </c>
      <c r="G378" s="372">
        <f t="shared" si="135"/>
        <v>159012.58000000002</v>
      </c>
      <c r="H378" s="373">
        <f t="shared" si="136"/>
        <v>-0.10698889358313669</v>
      </c>
      <c r="I378" s="372"/>
    </row>
    <row r="379" spans="2:9" x14ac:dyDescent="0.25">
      <c r="B379" s="635">
        <v>42663</v>
      </c>
      <c r="C379" s="371">
        <v>10000</v>
      </c>
      <c r="D379" s="636">
        <v>15.901258</v>
      </c>
      <c r="E379" s="372">
        <v>14.7</v>
      </c>
      <c r="F379" s="372">
        <f>C379*(E379-D379)</f>
        <v>-12012.580000000011</v>
      </c>
      <c r="G379" s="372">
        <f>IF(C379=0, 0,D379*C379)</f>
        <v>159012.58000000002</v>
      </c>
      <c r="H379" s="374">
        <f>IF(C379=0, D379, (E379-D379)/D379)</f>
        <v>-7.5544840540289399E-2</v>
      </c>
      <c r="I379" s="372"/>
    </row>
    <row r="380" spans="2:9" x14ac:dyDescent="0.25">
      <c r="B380" s="635">
        <v>42668</v>
      </c>
      <c r="C380" s="371">
        <v>11000</v>
      </c>
      <c r="D380" s="636">
        <v>15.74728</v>
      </c>
      <c r="E380" s="372">
        <v>14.18</v>
      </c>
      <c r="F380" s="372">
        <f>C380*(E380-D380)</f>
        <v>-17240.080000000002</v>
      </c>
      <c r="G380" s="372">
        <f>IF(C380=0, 0,D380*C380)</f>
        <v>173220.08</v>
      </c>
      <c r="H380" s="374">
        <f>IF(C380=0, D380, (E380-D380)/D380)</f>
        <v>-9.9527029429844413E-2</v>
      </c>
      <c r="I380" s="372"/>
    </row>
    <row r="381" spans="2:9" x14ac:dyDescent="0.25">
      <c r="B381" s="635">
        <v>42670</v>
      </c>
      <c r="C381" s="371">
        <v>11500</v>
      </c>
      <c r="D381" s="636">
        <v>15.679137000000001</v>
      </c>
      <c r="E381" s="372">
        <v>13.95</v>
      </c>
      <c r="F381" s="372">
        <f>C381*(E381-D381)</f>
        <v>-19885.075500000017</v>
      </c>
      <c r="G381" s="372">
        <f>IF(C381=0, 0,D381*C381)</f>
        <v>180310.07550000001</v>
      </c>
      <c r="H381" s="374">
        <f>IF(C381=0, D381, (E381-D381)/D381)</f>
        <v>-0.11028266415428357</v>
      </c>
      <c r="I381" s="372"/>
    </row>
    <row r="382" spans="2:9" x14ac:dyDescent="0.25">
      <c r="B382" s="635">
        <v>42670</v>
      </c>
      <c r="C382" s="371">
        <v>12000</v>
      </c>
      <c r="D382" s="636">
        <v>15.6113</v>
      </c>
      <c r="E382" s="372">
        <v>13.95</v>
      </c>
      <c r="F382" s="372">
        <f t="shared" ref="F382:F389" si="137">C382*(E382-D382)</f>
        <v>-19935.600000000009</v>
      </c>
      <c r="G382" s="372">
        <f t="shared" ref="G382:G389" si="138">IF(C382=0, 0,D382*C382)</f>
        <v>187335.6</v>
      </c>
      <c r="H382" s="374">
        <f t="shared" ref="H382:H389" si="139">IF(C382=0, D382, (E382-D382)/D382)</f>
        <v>-0.10641650599245422</v>
      </c>
      <c r="I382" s="372"/>
    </row>
    <row r="383" spans="2:9" x14ac:dyDescent="0.25">
      <c r="B383" s="635">
        <v>42670</v>
      </c>
      <c r="C383" s="371">
        <v>12500</v>
      </c>
      <c r="D383" s="636">
        <v>15.542006000000001</v>
      </c>
      <c r="E383" s="372">
        <v>13.95</v>
      </c>
      <c r="F383" s="372">
        <f t="shared" si="137"/>
        <v>-19900.075000000015</v>
      </c>
      <c r="G383" s="372">
        <f t="shared" si="138"/>
        <v>194275.07500000001</v>
      </c>
      <c r="H383" s="374">
        <f t="shared" si="139"/>
        <v>-0.10243246592492637</v>
      </c>
      <c r="I383" s="372"/>
    </row>
    <row r="384" spans="2:9" x14ac:dyDescent="0.25">
      <c r="B384" s="635">
        <v>42671</v>
      </c>
      <c r="C384" s="371">
        <v>12500</v>
      </c>
      <c r="D384" s="636">
        <v>15.536431</v>
      </c>
      <c r="E384" s="372">
        <v>13.72</v>
      </c>
      <c r="F384" s="372">
        <f t="shared" si="137"/>
        <v>-22705.387499999997</v>
      </c>
      <c r="G384" s="372">
        <f t="shared" si="138"/>
        <v>194205.38750000001</v>
      </c>
      <c r="H384" s="374">
        <f t="shared" si="139"/>
        <v>-0.11691430290521676</v>
      </c>
      <c r="I384" s="372"/>
    </row>
    <row r="385" spans="2:9" x14ac:dyDescent="0.25">
      <c r="B385" s="635">
        <v>42674</v>
      </c>
      <c r="C385" s="371">
        <v>12500</v>
      </c>
      <c r="D385" s="636">
        <v>15.5313</v>
      </c>
      <c r="E385" s="372">
        <v>13.18</v>
      </c>
      <c r="F385" s="372">
        <f t="shared" si="137"/>
        <v>-29391.250000000004</v>
      </c>
      <c r="G385" s="372">
        <f t="shared" si="138"/>
        <v>194141.25</v>
      </c>
      <c r="H385" s="374">
        <f t="shared" si="139"/>
        <v>-0.15139106192012261</v>
      </c>
      <c r="I385" s="372"/>
    </row>
    <row r="386" spans="2:9" x14ac:dyDescent="0.25">
      <c r="B386" s="635">
        <v>42676</v>
      </c>
      <c r="C386" s="371">
        <v>12500</v>
      </c>
      <c r="D386" s="636">
        <v>15.528746</v>
      </c>
      <c r="E386" s="372">
        <v>12.78</v>
      </c>
      <c r="F386" s="372">
        <f t="shared" si="137"/>
        <v>-34359.325000000004</v>
      </c>
      <c r="G386" s="372">
        <f t="shared" si="138"/>
        <v>194109.32500000001</v>
      </c>
      <c r="H386" s="373">
        <f t="shared" si="139"/>
        <v>-0.17701017197396368</v>
      </c>
      <c r="I386" s="372"/>
    </row>
    <row r="387" spans="2:9" x14ac:dyDescent="0.25">
      <c r="B387" s="635">
        <v>42677</v>
      </c>
      <c r="C387" s="371">
        <v>10000</v>
      </c>
      <c r="D387" s="636">
        <v>15.813000000000001</v>
      </c>
      <c r="E387" s="372">
        <v>14.15</v>
      </c>
      <c r="F387" s="372">
        <f t="shared" si="137"/>
        <v>-16630.000000000004</v>
      </c>
      <c r="G387" s="372">
        <f t="shared" si="138"/>
        <v>158130</v>
      </c>
      <c r="H387" s="373">
        <f t="shared" si="139"/>
        <v>-0.10516663504711314</v>
      </c>
      <c r="I387" s="372"/>
    </row>
    <row r="388" spans="2:9" x14ac:dyDescent="0.25">
      <c r="B388" s="635">
        <v>42678</v>
      </c>
      <c r="C388" s="371">
        <v>11000</v>
      </c>
      <c r="D388" s="636">
        <v>15.62</v>
      </c>
      <c r="E388" s="372">
        <v>13.69</v>
      </c>
      <c r="F388" s="372">
        <f t="shared" si="137"/>
        <v>-21229.999999999996</v>
      </c>
      <c r="G388" s="372">
        <f t="shared" si="138"/>
        <v>171820</v>
      </c>
      <c r="H388" s="373">
        <f t="shared" si="139"/>
        <v>-0.12355953905249678</v>
      </c>
      <c r="I388" s="372"/>
    </row>
    <row r="389" spans="2:9" x14ac:dyDescent="0.25">
      <c r="B389" s="635">
        <v>42701</v>
      </c>
      <c r="C389" s="371">
        <v>7678</v>
      </c>
      <c r="D389" s="636">
        <v>15.484220000000001</v>
      </c>
      <c r="E389" s="372">
        <v>16.28</v>
      </c>
      <c r="F389" s="372">
        <f t="shared" si="137"/>
        <v>6109.9988400000047</v>
      </c>
      <c r="G389" s="372">
        <f t="shared" si="138"/>
        <v>118887.84116000001</v>
      </c>
      <c r="H389" s="373">
        <f t="shared" si="139"/>
        <v>5.1392966516879801E-2</v>
      </c>
      <c r="I389" s="372" t="s">
        <v>307</v>
      </c>
    </row>
    <row r="390" spans="2:9" x14ac:dyDescent="0.25">
      <c r="B390" s="635">
        <v>42702</v>
      </c>
      <c r="C390" s="371">
        <v>8178</v>
      </c>
      <c r="D390" s="636">
        <v>15.519399999999999</v>
      </c>
      <c r="E390" s="372">
        <v>15.62</v>
      </c>
      <c r="F390" s="372">
        <f t="shared" ref="F390:F407" si="140">C390*(E390-D390)</f>
        <v>822.70680000000016</v>
      </c>
      <c r="G390" s="372">
        <f t="shared" ref="G390:G407" si="141">IF(C390=0, 0,D390*C390)</f>
        <v>126917.6532</v>
      </c>
      <c r="H390" s="373">
        <f t="shared" ref="H390:H407" si="142">IF(C390=0, D390, (E390-D390)/D390)</f>
        <v>6.4822093637640649E-3</v>
      </c>
      <c r="I390" s="372" t="s">
        <v>312</v>
      </c>
    </row>
    <row r="391" spans="2:9" x14ac:dyDescent="0.25">
      <c r="B391" s="635">
        <v>42702</v>
      </c>
      <c r="C391" s="371">
        <v>8678</v>
      </c>
      <c r="D391" s="636">
        <v>15.5304</v>
      </c>
      <c r="E391" s="372">
        <v>15.54</v>
      </c>
      <c r="F391" s="372">
        <f t="shared" si="140"/>
        <v>83.308799999990825</v>
      </c>
      <c r="G391" s="372">
        <f t="shared" si="141"/>
        <v>134772.8112</v>
      </c>
      <c r="H391" s="373">
        <f t="shared" si="142"/>
        <v>6.1814248184199655E-4</v>
      </c>
      <c r="I391" s="372"/>
    </row>
    <row r="392" spans="2:9" x14ac:dyDescent="0.25">
      <c r="B392" s="635">
        <v>42703</v>
      </c>
      <c r="C392" s="371">
        <v>8978</v>
      </c>
      <c r="D392" s="636">
        <v>15.5053</v>
      </c>
      <c r="E392" s="372">
        <v>14.95</v>
      </c>
      <c r="F392" s="372">
        <f t="shared" si="140"/>
        <v>-4985.4834000000074</v>
      </c>
      <c r="G392" s="372">
        <f t="shared" si="141"/>
        <v>139206.5834</v>
      </c>
      <c r="H392" s="373">
        <f t="shared" si="142"/>
        <v>-3.5813560524465882E-2</v>
      </c>
      <c r="I392" s="372"/>
    </row>
    <row r="393" spans="2:9" ht="15" customHeight="1" x14ac:dyDescent="0.25">
      <c r="B393" s="635">
        <v>42704</v>
      </c>
      <c r="C393" s="371">
        <v>5178</v>
      </c>
      <c r="D393" s="636">
        <v>14.3947</v>
      </c>
      <c r="E393" s="372">
        <v>18.059999999999999</v>
      </c>
      <c r="F393" s="372">
        <f t="shared" si="140"/>
        <v>18978.923399999992</v>
      </c>
      <c r="G393" s="372">
        <f t="shared" si="141"/>
        <v>74535.756600000008</v>
      </c>
      <c r="H393" s="373">
        <f t="shared" si="142"/>
        <v>0.25462843963403187</v>
      </c>
      <c r="I393" s="372"/>
    </row>
    <row r="394" spans="2:9" x14ac:dyDescent="0.25">
      <c r="B394" s="635">
        <v>42705</v>
      </c>
      <c r="C394" s="371">
        <v>4678</v>
      </c>
      <c r="D394" s="636">
        <v>13.905799999999999</v>
      </c>
      <c r="E394" s="372">
        <v>17.89</v>
      </c>
      <c r="F394" s="372">
        <f t="shared" si="140"/>
        <v>18638.087600000006</v>
      </c>
      <c r="G394" s="372">
        <f t="shared" si="141"/>
        <v>65051.332399999999</v>
      </c>
      <c r="H394" s="373">
        <f t="shared" si="142"/>
        <v>0.28651354111234173</v>
      </c>
      <c r="I394" s="372"/>
    </row>
    <row r="395" spans="2:9" x14ac:dyDescent="0.25">
      <c r="B395" s="635">
        <v>42705</v>
      </c>
      <c r="C395" s="371">
        <v>5000</v>
      </c>
      <c r="D395" s="636">
        <v>14.1645</v>
      </c>
      <c r="E395" s="372">
        <v>17.89</v>
      </c>
      <c r="F395" s="372">
        <f t="shared" si="140"/>
        <v>18627.5</v>
      </c>
      <c r="G395" s="372">
        <f t="shared" si="141"/>
        <v>70822.5</v>
      </c>
      <c r="H395" s="373">
        <f t="shared" si="142"/>
        <v>0.2630166966712556</v>
      </c>
      <c r="I395" s="372"/>
    </row>
    <row r="396" spans="2:9" x14ac:dyDescent="0.25">
      <c r="B396" s="635">
        <v>42708</v>
      </c>
      <c r="C396" s="371">
        <v>5000</v>
      </c>
      <c r="D396" s="636">
        <v>14.1645</v>
      </c>
      <c r="E396" s="372">
        <v>18.2</v>
      </c>
      <c r="F396" s="372">
        <f t="shared" si="140"/>
        <v>20177.499999999996</v>
      </c>
      <c r="G396" s="372">
        <f t="shared" si="141"/>
        <v>70822.5</v>
      </c>
      <c r="H396" s="373">
        <f t="shared" si="142"/>
        <v>0.28490239683716323</v>
      </c>
      <c r="I396" s="372"/>
    </row>
    <row r="397" spans="2:9" x14ac:dyDescent="0.25">
      <c r="B397" s="635">
        <v>42711</v>
      </c>
      <c r="C397" s="371">
        <v>5000</v>
      </c>
      <c r="D397" s="636">
        <v>14.143514</v>
      </c>
      <c r="E397" s="372">
        <v>18.420000000000002</v>
      </c>
      <c r="F397" s="372">
        <f t="shared" si="140"/>
        <v>21382.430000000011</v>
      </c>
      <c r="G397" s="372">
        <f t="shared" si="141"/>
        <v>70717.569999999992</v>
      </c>
      <c r="H397" s="373">
        <f t="shared" si="142"/>
        <v>0.3023637548631834</v>
      </c>
      <c r="I397" s="372"/>
    </row>
    <row r="398" spans="2:9" x14ac:dyDescent="0.25">
      <c r="B398" s="635">
        <v>42713</v>
      </c>
      <c r="C398" s="371">
        <v>5000</v>
      </c>
      <c r="D398" s="636">
        <v>14.127554</v>
      </c>
      <c r="E398" s="372">
        <v>18.25</v>
      </c>
      <c r="F398" s="372">
        <f t="shared" si="140"/>
        <v>20612.23</v>
      </c>
      <c r="G398" s="372">
        <f t="shared" si="141"/>
        <v>70637.77</v>
      </c>
      <c r="H398" s="373">
        <f t="shared" si="142"/>
        <v>0.29180182216964096</v>
      </c>
      <c r="I398" s="372"/>
    </row>
    <row r="399" spans="2:9" x14ac:dyDescent="0.25">
      <c r="B399" s="635">
        <v>42716</v>
      </c>
      <c r="C399" s="371">
        <v>5000</v>
      </c>
      <c r="D399" s="636">
        <v>14.0276</v>
      </c>
      <c r="E399" s="372">
        <v>18.489999999999998</v>
      </c>
      <c r="F399" s="372">
        <f t="shared" si="140"/>
        <v>22311.999999999993</v>
      </c>
      <c r="G399" s="372">
        <f t="shared" si="141"/>
        <v>70138</v>
      </c>
      <c r="H399" s="373">
        <f t="shared" si="142"/>
        <v>0.3181157147338104</v>
      </c>
      <c r="I399" s="372" t="s">
        <v>185</v>
      </c>
    </row>
    <row r="400" spans="2:9" ht="15" customHeight="1" x14ac:dyDescent="0.25">
      <c r="B400" s="635">
        <v>42718</v>
      </c>
      <c r="C400" s="371">
        <v>5000</v>
      </c>
      <c r="D400" s="636">
        <v>14.025399999999999</v>
      </c>
      <c r="E400" s="372">
        <v>18.2</v>
      </c>
      <c r="F400" s="372">
        <f t="shared" si="140"/>
        <v>20873</v>
      </c>
      <c r="G400" s="372">
        <f t="shared" si="141"/>
        <v>70127</v>
      </c>
      <c r="H400" s="373">
        <f t="shared" si="142"/>
        <v>0.29764569994438661</v>
      </c>
      <c r="I400" s="372">
        <v>13.8</v>
      </c>
    </row>
    <row r="401" spans="1:10" x14ac:dyDescent="0.25">
      <c r="B401" s="635">
        <v>42726</v>
      </c>
      <c r="C401" s="371">
        <v>5000</v>
      </c>
      <c r="D401" s="636">
        <v>14.025399999999999</v>
      </c>
      <c r="E401" s="372">
        <v>18.04</v>
      </c>
      <c r="F401" s="372">
        <f t="shared" si="140"/>
        <v>20073</v>
      </c>
      <c r="G401" s="372">
        <f t="shared" si="141"/>
        <v>70127</v>
      </c>
      <c r="H401" s="373">
        <f t="shared" si="142"/>
        <v>0.28623782565916123</v>
      </c>
      <c r="I401" s="372"/>
    </row>
    <row r="402" spans="1:10" x14ac:dyDescent="0.25">
      <c r="B402" s="635">
        <v>42733</v>
      </c>
      <c r="C402" s="371">
        <v>6000</v>
      </c>
      <c r="D402" s="636">
        <v>14.627558000000001</v>
      </c>
      <c r="E402" s="372">
        <v>17.57</v>
      </c>
      <c r="F402" s="454">
        <f t="shared" si="140"/>
        <v>17654.651999999998</v>
      </c>
      <c r="G402" s="372">
        <f t="shared" si="141"/>
        <v>87765.347999999998</v>
      </c>
      <c r="H402" s="374">
        <f t="shared" si="142"/>
        <v>0.20115743174629694</v>
      </c>
      <c r="I402" s="372"/>
      <c r="J402" s="3"/>
    </row>
    <row r="403" spans="1:10" x14ac:dyDescent="0.25">
      <c r="B403" s="635">
        <v>42734</v>
      </c>
      <c r="C403" s="371">
        <v>6000</v>
      </c>
      <c r="D403" s="636">
        <v>14.562623</v>
      </c>
      <c r="E403" s="372">
        <v>17.309999999999999</v>
      </c>
      <c r="F403" s="454">
        <f t="shared" si="140"/>
        <v>16484.261999999992</v>
      </c>
      <c r="G403" s="372">
        <f t="shared" si="141"/>
        <v>87375.737999999998</v>
      </c>
      <c r="H403" s="374">
        <f t="shared" si="142"/>
        <v>0.18865948806063293</v>
      </c>
      <c r="I403" s="372"/>
    </row>
    <row r="404" spans="1:10" x14ac:dyDescent="0.25">
      <c r="B404" s="635">
        <v>42739</v>
      </c>
      <c r="C404" s="371">
        <v>5500</v>
      </c>
      <c r="D404" s="636">
        <v>14.242898</v>
      </c>
      <c r="E404" s="372">
        <v>18.05</v>
      </c>
      <c r="F404" s="454">
        <f t="shared" si="140"/>
        <v>20939.061000000002</v>
      </c>
      <c r="G404" s="372">
        <f t="shared" si="141"/>
        <v>78335.938999999998</v>
      </c>
      <c r="H404" s="374">
        <f t="shared" si="142"/>
        <v>0.26729827033796072</v>
      </c>
      <c r="I404" s="372"/>
    </row>
    <row r="405" spans="1:10" x14ac:dyDescent="0.25">
      <c r="B405" s="635">
        <v>42741</v>
      </c>
      <c r="C405" s="371">
        <v>6000</v>
      </c>
      <c r="D405" s="636">
        <v>14.54599</v>
      </c>
      <c r="E405" s="372">
        <v>17.98</v>
      </c>
      <c r="F405" s="454">
        <f t="shared" si="140"/>
        <v>20604.060000000005</v>
      </c>
      <c r="G405" s="372">
        <f t="shared" si="141"/>
        <v>87275.94</v>
      </c>
      <c r="H405" s="374">
        <f t="shared" si="142"/>
        <v>0.23607949682352322</v>
      </c>
      <c r="I405" s="372"/>
    </row>
    <row r="406" spans="1:10" x14ac:dyDescent="0.25">
      <c r="B406" s="635">
        <v>42748</v>
      </c>
      <c r="C406" s="371">
        <v>6000</v>
      </c>
      <c r="D406" s="636">
        <v>14.527687999999999</v>
      </c>
      <c r="E406" s="372">
        <v>17.46</v>
      </c>
      <c r="F406" s="454">
        <f t="shared" si="140"/>
        <v>17593.872000000007</v>
      </c>
      <c r="G406" s="372">
        <f t="shared" si="141"/>
        <v>87166.127999999997</v>
      </c>
      <c r="H406" s="374">
        <f t="shared" si="142"/>
        <v>0.20184299112150547</v>
      </c>
      <c r="I406" s="372"/>
    </row>
    <row r="407" spans="1:10" x14ac:dyDescent="0.25">
      <c r="A407" s="230" t="s">
        <v>341</v>
      </c>
      <c r="B407" s="635">
        <v>42754</v>
      </c>
      <c r="C407" s="371">
        <v>6000</v>
      </c>
      <c r="D407" s="636">
        <v>14.527687999999999</v>
      </c>
      <c r="E407" s="372">
        <v>17.27</v>
      </c>
      <c r="F407" s="454">
        <f t="shared" si="140"/>
        <v>16453.871999999999</v>
      </c>
      <c r="G407" s="372">
        <f t="shared" si="141"/>
        <v>87166.127999999997</v>
      </c>
      <c r="H407" s="374">
        <f t="shared" si="142"/>
        <v>0.1887645164185795</v>
      </c>
      <c r="I407" s="372"/>
    </row>
    <row r="408" spans="1:10" x14ac:dyDescent="0.25">
      <c r="A408" t="s">
        <v>341</v>
      </c>
      <c r="B408" s="635">
        <v>42760</v>
      </c>
      <c r="C408" s="371">
        <v>6000</v>
      </c>
      <c r="D408" s="636">
        <v>14.527687999999999</v>
      </c>
      <c r="E408" s="372">
        <v>17.75</v>
      </c>
      <c r="F408" s="454">
        <f t="shared" ref="F408:F422" si="143">C408*(E408-D408)</f>
        <v>19333.872000000003</v>
      </c>
      <c r="G408" s="372">
        <f t="shared" ref="G408:G422" si="144">IF(C408=0, 0,D408*C408)</f>
        <v>87166.127999999997</v>
      </c>
      <c r="H408" s="374">
        <f t="shared" ref="H408:H422" si="145">IF(C408=0, D408, (E408-D408)/D408)</f>
        <v>0.22180487356281334</v>
      </c>
      <c r="I408" s="372"/>
    </row>
    <row r="409" spans="1:10" x14ac:dyDescent="0.25">
      <c r="A409" t="s">
        <v>374</v>
      </c>
      <c r="B409" s="635">
        <v>42761</v>
      </c>
      <c r="C409" s="371">
        <v>6000</v>
      </c>
      <c r="D409" s="636">
        <v>14.50817</v>
      </c>
      <c r="E409" s="372">
        <v>17.75</v>
      </c>
      <c r="F409" s="454">
        <f t="shared" si="143"/>
        <v>19450.98</v>
      </c>
      <c r="G409" s="372">
        <f t="shared" si="144"/>
        <v>87049.02</v>
      </c>
      <c r="H409" s="374">
        <f t="shared" si="145"/>
        <v>0.22344858104088938</v>
      </c>
      <c r="I409" s="372"/>
    </row>
    <row r="410" spans="1:10" ht="15" customHeight="1" x14ac:dyDescent="0.25">
      <c r="A410" t="s">
        <v>377</v>
      </c>
      <c r="B410" s="635">
        <v>42762</v>
      </c>
      <c r="C410" s="371">
        <v>6100</v>
      </c>
      <c r="D410" s="636">
        <v>14.553610000000001</v>
      </c>
      <c r="E410" s="372">
        <v>17.41</v>
      </c>
      <c r="F410" s="454">
        <f t="shared" si="143"/>
        <v>17423.978999999996</v>
      </c>
      <c r="G410" s="372">
        <f t="shared" si="144"/>
        <v>88777.021000000008</v>
      </c>
      <c r="H410" s="374">
        <f t="shared" si="145"/>
        <v>0.19626676817641803</v>
      </c>
      <c r="I410" s="372"/>
    </row>
    <row r="411" spans="1:10" x14ac:dyDescent="0.25">
      <c r="A411" t="s">
        <v>388</v>
      </c>
      <c r="B411" s="635">
        <v>42765</v>
      </c>
      <c r="C411" s="371">
        <v>6900</v>
      </c>
      <c r="D411" s="636">
        <v>14.793915999999999</v>
      </c>
      <c r="E411" s="372">
        <v>16.53</v>
      </c>
      <c r="F411" s="454">
        <f t="shared" si="143"/>
        <v>11978.979600000011</v>
      </c>
      <c r="G411" s="372">
        <f t="shared" si="144"/>
        <v>102078.02039999999</v>
      </c>
      <c r="H411" s="374">
        <f t="shared" si="145"/>
        <v>0.11735121383682331</v>
      </c>
      <c r="I411" s="372"/>
    </row>
    <row r="412" spans="1:10" x14ac:dyDescent="0.25">
      <c r="A412" t="s">
        <v>389</v>
      </c>
      <c r="B412" s="635">
        <v>42766</v>
      </c>
      <c r="C412" s="371">
        <v>6900</v>
      </c>
      <c r="D412" s="636">
        <v>14.783497000000001</v>
      </c>
      <c r="E412" s="372">
        <v>16.75</v>
      </c>
      <c r="F412" s="454">
        <f t="shared" si="143"/>
        <v>13568.870699999996</v>
      </c>
      <c r="G412" s="372">
        <f t="shared" si="144"/>
        <v>102006.1293</v>
      </c>
      <c r="H412" s="374">
        <f t="shared" si="145"/>
        <v>0.13302015078029233</v>
      </c>
      <c r="I412" s="372"/>
    </row>
    <row r="413" spans="1:10" x14ac:dyDescent="0.25">
      <c r="B413" s="635">
        <v>42767</v>
      </c>
      <c r="C413" s="371">
        <v>6000</v>
      </c>
      <c r="D413" s="636">
        <v>14.442175000000001</v>
      </c>
      <c r="E413" s="372">
        <v>16.59</v>
      </c>
      <c r="F413" s="454">
        <f t="shared" si="143"/>
        <v>12886.949999999995</v>
      </c>
      <c r="G413" s="372">
        <f t="shared" si="144"/>
        <v>86653.05</v>
      </c>
      <c r="H413" s="374">
        <f t="shared" si="145"/>
        <v>0.14871894295699914</v>
      </c>
      <c r="I413" s="372"/>
    </row>
    <row r="414" spans="1:10" x14ac:dyDescent="0.25">
      <c r="B414" s="635">
        <v>42767</v>
      </c>
      <c r="C414" s="371">
        <v>7000</v>
      </c>
      <c r="D414" s="636">
        <v>14.725436</v>
      </c>
      <c r="E414" s="372">
        <v>16.59</v>
      </c>
      <c r="F414" s="454">
        <f t="shared" si="143"/>
        <v>13051.947999999999</v>
      </c>
      <c r="G414" s="372">
        <f t="shared" si="144"/>
        <v>103078.052</v>
      </c>
      <c r="H414" s="374">
        <f t="shared" si="145"/>
        <v>0.1266219893251378</v>
      </c>
      <c r="I414" s="372"/>
    </row>
    <row r="415" spans="1:10" x14ac:dyDescent="0.25">
      <c r="B415" s="635">
        <v>42767</v>
      </c>
      <c r="C415" s="371">
        <v>7200</v>
      </c>
      <c r="D415" s="636">
        <v>14.771951</v>
      </c>
      <c r="E415" s="372">
        <v>16.59</v>
      </c>
      <c r="F415" s="454">
        <f t="shared" si="143"/>
        <v>13089.952800000001</v>
      </c>
      <c r="G415" s="372">
        <f t="shared" si="144"/>
        <v>106358.0472</v>
      </c>
      <c r="H415" s="374">
        <f t="shared" si="145"/>
        <v>0.12307439958337259</v>
      </c>
      <c r="I415" s="372"/>
    </row>
    <row r="416" spans="1:10" x14ac:dyDescent="0.25">
      <c r="A416" t="s">
        <v>393</v>
      </c>
      <c r="B416" s="635">
        <v>42767</v>
      </c>
      <c r="C416" s="371">
        <v>6500</v>
      </c>
      <c r="D416" s="636">
        <v>14.578353999999999</v>
      </c>
      <c r="E416" s="372">
        <v>16.59</v>
      </c>
      <c r="F416" s="454">
        <f t="shared" si="143"/>
        <v>13075.699000000004</v>
      </c>
      <c r="G416" s="372">
        <f t="shared" si="144"/>
        <v>94759.300999999992</v>
      </c>
      <c r="H416" s="374">
        <f t="shared" si="145"/>
        <v>0.13798855481215511</v>
      </c>
      <c r="I416" s="372"/>
    </row>
    <row r="417" spans="1:13" ht="15" customHeight="1" x14ac:dyDescent="0.25">
      <c r="A417" t="s">
        <v>395</v>
      </c>
      <c r="B417" s="635">
        <v>42768</v>
      </c>
      <c r="C417" s="371">
        <v>6000</v>
      </c>
      <c r="D417" s="636">
        <v>14.368788</v>
      </c>
      <c r="E417" s="372">
        <v>16.68</v>
      </c>
      <c r="F417" s="454">
        <f t="shared" si="143"/>
        <v>13867.271999999995</v>
      </c>
      <c r="G417" s="372">
        <f>IF(C417=0, 0,D417*C417)</f>
        <v>86212.728000000003</v>
      </c>
      <c r="H417" s="374">
        <f t="shared" si="145"/>
        <v>0.16084947456946261</v>
      </c>
      <c r="I417" s="372"/>
    </row>
    <row r="418" spans="1:13" x14ac:dyDescent="0.25">
      <c r="A418" t="s">
        <v>403</v>
      </c>
      <c r="B418" s="635">
        <v>42769</v>
      </c>
      <c r="C418" s="371">
        <v>5300</v>
      </c>
      <c r="D418" s="636">
        <v>14.006677</v>
      </c>
      <c r="E418" s="372">
        <v>17.23</v>
      </c>
      <c r="F418" s="454">
        <f t="shared" si="143"/>
        <v>17083.611900000004</v>
      </c>
      <c r="G418" s="372">
        <f t="shared" si="144"/>
        <v>74235.388099999996</v>
      </c>
      <c r="H418" s="374">
        <f t="shared" si="145"/>
        <v>0.2301276027140485</v>
      </c>
      <c r="I418" s="372"/>
    </row>
    <row r="419" spans="1:13" x14ac:dyDescent="0.25">
      <c r="A419" t="s">
        <v>413</v>
      </c>
      <c r="B419" s="635">
        <v>42772</v>
      </c>
      <c r="C419" s="371">
        <v>6000</v>
      </c>
      <c r="D419" s="636">
        <v>14.311230999999999</v>
      </c>
      <c r="E419" s="372">
        <v>16.52</v>
      </c>
      <c r="F419" s="454">
        <f t="shared" si="143"/>
        <v>13252.614000000001</v>
      </c>
      <c r="G419" s="372">
        <f t="shared" si="144"/>
        <v>85867.385999999999</v>
      </c>
      <c r="H419" s="374">
        <f t="shared" si="145"/>
        <v>0.15433815581622576</v>
      </c>
      <c r="I419" s="372"/>
    </row>
    <row r="420" spans="1:13" x14ac:dyDescent="0.25">
      <c r="A420" t="s">
        <v>418</v>
      </c>
      <c r="B420" s="635">
        <v>42773</v>
      </c>
      <c r="C420" s="371">
        <v>6600</v>
      </c>
      <c r="D420" s="636">
        <v>14.461574000000001</v>
      </c>
      <c r="E420" s="372">
        <v>16.03</v>
      </c>
      <c r="F420" s="454">
        <f t="shared" si="143"/>
        <v>10351.611600000004</v>
      </c>
      <c r="G420" s="372">
        <f t="shared" si="144"/>
        <v>95446.388400000011</v>
      </c>
      <c r="H420" s="374">
        <f t="shared" si="145"/>
        <v>0.10845472283998965</v>
      </c>
      <c r="I420" s="372"/>
    </row>
    <row r="421" spans="1:13" x14ac:dyDescent="0.25">
      <c r="A421" t="s">
        <v>441</v>
      </c>
      <c r="B421" s="635">
        <v>42781</v>
      </c>
      <c r="C421" s="371">
        <v>5700</v>
      </c>
      <c r="D421" s="636">
        <v>14.140828000000001</v>
      </c>
      <c r="E421" s="372">
        <v>16.3</v>
      </c>
      <c r="F421" s="454">
        <f t="shared" si="143"/>
        <v>12307.2804</v>
      </c>
      <c r="G421" s="372">
        <f t="shared" si="144"/>
        <v>80602.719600000011</v>
      </c>
      <c r="H421" s="374">
        <f t="shared" si="145"/>
        <v>0.1526906345229572</v>
      </c>
      <c r="I421" s="372"/>
    </row>
    <row r="422" spans="1:13" x14ac:dyDescent="0.25">
      <c r="A422" t="s">
        <v>443</v>
      </c>
      <c r="B422" s="635">
        <v>42782</v>
      </c>
      <c r="C422" s="371">
        <v>5700</v>
      </c>
      <c r="D422" s="636">
        <v>14.103</v>
      </c>
      <c r="E422" s="372">
        <v>16.170000000000002</v>
      </c>
      <c r="F422" s="454">
        <f t="shared" si="143"/>
        <v>11781.900000000011</v>
      </c>
      <c r="G422" s="372">
        <f t="shared" si="144"/>
        <v>80387.100000000006</v>
      </c>
      <c r="H422" s="374">
        <f t="shared" si="145"/>
        <v>0.14656456073175933</v>
      </c>
      <c r="I422" s="372"/>
    </row>
    <row r="423" spans="1:13" ht="15" customHeight="1" x14ac:dyDescent="0.25">
      <c r="B423" s="635"/>
      <c r="C423" s="371"/>
      <c r="D423" s="636"/>
      <c r="E423" s="372"/>
      <c r="F423" s="454"/>
      <c r="G423" s="372"/>
      <c r="H423" s="374"/>
      <c r="I423" s="372"/>
    </row>
    <row r="424" spans="1:13" x14ac:dyDescent="0.25">
      <c r="B424" s="635"/>
      <c r="C424" s="371"/>
      <c r="D424" s="636"/>
      <c r="E424" s="372"/>
      <c r="F424" s="454"/>
      <c r="G424" s="372"/>
      <c r="H424" s="374"/>
      <c r="I424" s="372"/>
    </row>
    <row r="425" spans="1:13" x14ac:dyDescent="0.25">
      <c r="B425" s="635"/>
      <c r="C425" s="371"/>
      <c r="D425" s="636"/>
      <c r="E425" s="372"/>
      <c r="F425" s="454"/>
      <c r="G425" s="372"/>
      <c r="H425" s="374"/>
      <c r="I425" s="372"/>
    </row>
    <row r="426" spans="1:13" x14ac:dyDescent="0.25">
      <c r="B426" s="635"/>
      <c r="C426" s="371"/>
      <c r="D426" s="636"/>
      <c r="E426" s="372"/>
      <c r="F426" s="454"/>
      <c r="G426" s="372"/>
      <c r="H426" s="374"/>
      <c r="I426" s="372"/>
    </row>
    <row r="430" spans="1:13" x14ac:dyDescent="0.25">
      <c r="L430" t="s">
        <v>65</v>
      </c>
      <c r="M430" s="231">
        <f>K693+M693-F693</f>
        <v>14615.571000001626</v>
      </c>
    </row>
    <row r="431" spans="1:13" x14ac:dyDescent="0.25">
      <c r="A431" s="525" t="s">
        <v>1</v>
      </c>
      <c r="B431" s="602" t="s">
        <v>2</v>
      </c>
      <c r="C431" s="525" t="s">
        <v>4</v>
      </c>
      <c r="D431" s="603" t="s">
        <v>5</v>
      </c>
      <c r="E431" s="526" t="s">
        <v>90</v>
      </c>
      <c r="F431" s="526" t="s">
        <v>60</v>
      </c>
      <c r="G431" s="525" t="s">
        <v>3</v>
      </c>
      <c r="H431" s="604" t="s">
        <v>6</v>
      </c>
      <c r="I431" s="603" t="s">
        <v>7</v>
      </c>
      <c r="J431" s="526" t="s">
        <v>89</v>
      </c>
      <c r="K431" s="526" t="s">
        <v>61</v>
      </c>
      <c r="L431" s="525" t="s">
        <v>37</v>
      </c>
      <c r="M431" s="526" t="s">
        <v>38</v>
      </c>
    </row>
    <row r="432" spans="1:13" x14ac:dyDescent="0.25">
      <c r="A432" s="527" t="s">
        <v>50</v>
      </c>
      <c r="B432" s="560">
        <v>42187</v>
      </c>
      <c r="C432" s="511">
        <v>1000</v>
      </c>
      <c r="D432" s="512">
        <v>27.25</v>
      </c>
      <c r="E432" s="513">
        <v>0</v>
      </c>
      <c r="F432" s="513">
        <f>C432*D432+E432</f>
        <v>27250</v>
      </c>
      <c r="G432" s="510">
        <v>42187</v>
      </c>
      <c r="H432" s="528">
        <v>2000</v>
      </c>
      <c r="I432" s="512">
        <v>27.34</v>
      </c>
      <c r="J432" s="513">
        <v>-5.49</v>
      </c>
      <c r="K432" s="513">
        <f>H432*I432-J432</f>
        <v>54685.49</v>
      </c>
      <c r="L432" s="510">
        <v>42257</v>
      </c>
      <c r="M432" s="513">
        <v>850.5</v>
      </c>
    </row>
    <row r="433" spans="1:13" x14ac:dyDescent="0.25">
      <c r="A433" s="529" t="s">
        <v>71</v>
      </c>
      <c r="B433" s="560">
        <v>42187</v>
      </c>
      <c r="C433" s="511">
        <v>80</v>
      </c>
      <c r="D433" s="512">
        <v>27.152249999999999</v>
      </c>
      <c r="E433" s="513">
        <v>0</v>
      </c>
      <c r="F433" s="513">
        <f t="shared" ref="F433:F496" si="146">C433*D433+E433</f>
        <v>2172.1799999999998</v>
      </c>
      <c r="G433" s="510">
        <v>42199</v>
      </c>
      <c r="H433" s="528">
        <v>102</v>
      </c>
      <c r="I433" s="512">
        <v>25.28</v>
      </c>
      <c r="J433" s="513">
        <v>0.05</v>
      </c>
      <c r="K433" s="513">
        <f t="shared" ref="K433:K460" si="147">H433*I433-J433</f>
        <v>2578.5099999999998</v>
      </c>
      <c r="L433" s="510">
        <v>42439</v>
      </c>
      <c r="M433" s="513">
        <v>483.9</v>
      </c>
    </row>
    <row r="434" spans="1:13" x14ac:dyDescent="0.25">
      <c r="A434" s="511"/>
      <c r="B434" s="560">
        <v>42187</v>
      </c>
      <c r="C434" s="511">
        <v>1000</v>
      </c>
      <c r="D434" s="512">
        <v>27.1</v>
      </c>
      <c r="E434" s="513">
        <v>0</v>
      </c>
      <c r="F434" s="513">
        <f t="shared" si="146"/>
        <v>27100</v>
      </c>
      <c r="G434" s="510">
        <v>42227</v>
      </c>
      <c r="H434" s="528">
        <v>200</v>
      </c>
      <c r="I434" s="512">
        <v>19.649999999999999</v>
      </c>
      <c r="J434" s="513">
        <v>7.0000000000000007E-2</v>
      </c>
      <c r="K434" s="513">
        <f t="shared" si="147"/>
        <v>3929.9299999999994</v>
      </c>
      <c r="L434" s="510">
        <v>42531</v>
      </c>
      <c r="M434" s="513">
        <v>483.9</v>
      </c>
    </row>
    <row r="435" spans="1:13" x14ac:dyDescent="0.25">
      <c r="A435" s="511"/>
      <c r="B435" s="623">
        <v>42187</v>
      </c>
      <c r="C435" s="511">
        <v>500</v>
      </c>
      <c r="D435" s="512">
        <v>27.039332999999999</v>
      </c>
      <c r="E435" s="513">
        <v>0</v>
      </c>
      <c r="F435" s="513">
        <f t="shared" si="146"/>
        <v>13519.666499999999</v>
      </c>
      <c r="G435" s="510">
        <v>42227</v>
      </c>
      <c r="H435" s="528">
        <v>200</v>
      </c>
      <c r="I435" s="512">
        <v>18.7</v>
      </c>
      <c r="J435" s="513">
        <v>7.0000000000000007E-2</v>
      </c>
      <c r="K435" s="513">
        <f t="shared" si="147"/>
        <v>3739.93</v>
      </c>
      <c r="L435" s="510">
        <v>42625</v>
      </c>
      <c r="M435" s="513">
        <v>433.9</v>
      </c>
    </row>
    <row r="436" spans="1:13" x14ac:dyDescent="0.25">
      <c r="A436" s="511"/>
      <c r="B436" s="623"/>
      <c r="C436" s="511">
        <v>500</v>
      </c>
      <c r="D436" s="512">
        <v>27.039332999999999</v>
      </c>
      <c r="E436" s="513">
        <v>0</v>
      </c>
      <c r="F436" s="513">
        <f t="shared" si="146"/>
        <v>13519.666499999999</v>
      </c>
      <c r="G436" s="510">
        <v>42257</v>
      </c>
      <c r="H436" s="528">
        <v>1600</v>
      </c>
      <c r="I436" s="512">
        <v>16.445</v>
      </c>
      <c r="J436" s="513">
        <v>0.48</v>
      </c>
      <c r="K436" s="513">
        <f t="shared" si="147"/>
        <v>26311.52</v>
      </c>
      <c r="L436" s="510">
        <v>42716</v>
      </c>
      <c r="M436" s="513">
        <v>500</v>
      </c>
    </row>
    <row r="437" spans="1:13" x14ac:dyDescent="0.25">
      <c r="A437" s="511"/>
      <c r="B437" s="623"/>
      <c r="C437" s="511">
        <v>500</v>
      </c>
      <c r="D437" s="512">
        <v>27.039332999999999</v>
      </c>
      <c r="E437" s="513">
        <v>0</v>
      </c>
      <c r="F437" s="513">
        <f t="shared" si="146"/>
        <v>13519.666499999999</v>
      </c>
      <c r="G437" s="624">
        <v>42265</v>
      </c>
      <c r="H437" s="528">
        <v>200</v>
      </c>
      <c r="I437" s="512">
        <v>15.65</v>
      </c>
      <c r="J437" s="513">
        <v>0.05</v>
      </c>
      <c r="K437" s="513">
        <f t="shared" si="147"/>
        <v>3129.95</v>
      </c>
      <c r="L437" s="511"/>
      <c r="M437" s="513"/>
    </row>
    <row r="438" spans="1:13" x14ac:dyDescent="0.25">
      <c r="A438" s="511"/>
      <c r="B438" s="623"/>
      <c r="C438" s="511">
        <v>500</v>
      </c>
      <c r="D438" s="512">
        <v>27.039332999999999</v>
      </c>
      <c r="E438" s="513">
        <v>0</v>
      </c>
      <c r="F438" s="513">
        <f t="shared" si="146"/>
        <v>13519.666499999999</v>
      </c>
      <c r="G438" s="624"/>
      <c r="H438" s="528">
        <v>2400</v>
      </c>
      <c r="I438" s="512">
        <v>15.7</v>
      </c>
      <c r="J438" s="513">
        <v>0.7</v>
      </c>
      <c r="K438" s="513">
        <f t="shared" si="147"/>
        <v>37679.300000000003</v>
      </c>
      <c r="L438" s="511"/>
      <c r="M438" s="513"/>
    </row>
    <row r="439" spans="1:13" x14ac:dyDescent="0.25">
      <c r="A439" s="511"/>
      <c r="B439" s="623"/>
      <c r="C439" s="511">
        <v>1000</v>
      </c>
      <c r="D439" s="512">
        <v>27.039332999999999</v>
      </c>
      <c r="E439" s="513">
        <v>0</v>
      </c>
      <c r="F439" s="513">
        <f t="shared" si="146"/>
        <v>27039.332999999999</v>
      </c>
      <c r="G439" s="510">
        <v>42271</v>
      </c>
      <c r="H439" s="605">
        <v>918</v>
      </c>
      <c r="I439" s="606">
        <v>16.45</v>
      </c>
      <c r="J439" s="607">
        <v>0.28000000000000003</v>
      </c>
      <c r="K439" s="607">
        <f t="shared" si="147"/>
        <v>15100.819999999998</v>
      </c>
      <c r="L439" s="511"/>
      <c r="M439" s="513"/>
    </row>
    <row r="440" spans="1:13" ht="60" x14ac:dyDescent="0.25">
      <c r="A440" s="511"/>
      <c r="B440" s="560">
        <v>42198</v>
      </c>
      <c r="C440" s="511">
        <v>100</v>
      </c>
      <c r="D440" s="512">
        <v>24.77</v>
      </c>
      <c r="E440" s="513">
        <v>0</v>
      </c>
      <c r="F440" s="513">
        <f t="shared" si="146"/>
        <v>2477</v>
      </c>
      <c r="G440" s="625" t="s">
        <v>139</v>
      </c>
      <c r="H440" s="528">
        <v>500</v>
      </c>
      <c r="I440" s="512">
        <v>15.95</v>
      </c>
      <c r="J440" s="513">
        <v>0.15</v>
      </c>
      <c r="K440" s="607">
        <f t="shared" si="147"/>
        <v>7974.85</v>
      </c>
      <c r="L440" s="511"/>
      <c r="M440" s="513"/>
    </row>
    <row r="441" spans="1:13" x14ac:dyDescent="0.25">
      <c r="A441" s="511"/>
      <c r="B441" s="560">
        <v>42205</v>
      </c>
      <c r="C441" s="511">
        <v>50</v>
      </c>
      <c r="D441" s="512">
        <v>24.35</v>
      </c>
      <c r="E441" s="513">
        <v>0</v>
      </c>
      <c r="F441" s="513">
        <f t="shared" si="146"/>
        <v>1217.5</v>
      </c>
      <c r="G441" s="625"/>
      <c r="H441" s="528">
        <v>500</v>
      </c>
      <c r="I441" s="512">
        <v>16.100000000000001</v>
      </c>
      <c r="J441" s="513">
        <v>0.15</v>
      </c>
      <c r="K441" s="607">
        <f t="shared" si="147"/>
        <v>8049.8500000000013</v>
      </c>
      <c r="L441" s="511"/>
      <c r="M441" s="513"/>
    </row>
    <row r="442" spans="1:13" x14ac:dyDescent="0.25">
      <c r="A442" s="511"/>
      <c r="B442" s="560">
        <v>42207</v>
      </c>
      <c r="C442" s="511">
        <v>20</v>
      </c>
      <c r="D442" s="512">
        <v>24.02</v>
      </c>
      <c r="E442" s="513">
        <v>0</v>
      </c>
      <c r="F442" s="513">
        <f t="shared" si="146"/>
        <v>480.4</v>
      </c>
      <c r="G442" s="625"/>
      <c r="H442" s="528">
        <v>500</v>
      </c>
      <c r="I442" s="512">
        <v>16.170000000000002</v>
      </c>
      <c r="J442" s="513">
        <v>0.15</v>
      </c>
      <c r="K442" s="607">
        <f t="shared" si="147"/>
        <v>8084.8500000000013</v>
      </c>
      <c r="L442" s="511"/>
      <c r="M442" s="513"/>
    </row>
    <row r="443" spans="1:13" x14ac:dyDescent="0.25">
      <c r="A443" s="511"/>
      <c r="B443" s="560">
        <v>42207</v>
      </c>
      <c r="C443" s="511">
        <v>20</v>
      </c>
      <c r="D443" s="512">
        <v>23.91</v>
      </c>
      <c r="E443" s="513">
        <v>0</v>
      </c>
      <c r="F443" s="513">
        <f t="shared" si="146"/>
        <v>478.2</v>
      </c>
      <c r="G443" s="625"/>
      <c r="H443" s="528">
        <v>500</v>
      </c>
      <c r="I443" s="512">
        <v>16.28</v>
      </c>
      <c r="J443" s="513">
        <v>0.15</v>
      </c>
      <c r="K443" s="607">
        <f t="shared" si="147"/>
        <v>8139.8500000000013</v>
      </c>
      <c r="L443" s="513"/>
      <c r="M443" s="513"/>
    </row>
    <row r="444" spans="1:13" ht="15" customHeight="1" x14ac:dyDescent="0.25">
      <c r="A444" s="511"/>
      <c r="B444" s="560">
        <v>42207</v>
      </c>
      <c r="C444" s="511">
        <v>20</v>
      </c>
      <c r="D444" s="512">
        <v>23.7</v>
      </c>
      <c r="E444" s="513">
        <v>0</v>
      </c>
      <c r="F444" s="513">
        <f t="shared" si="146"/>
        <v>474</v>
      </c>
      <c r="G444" s="625"/>
      <c r="H444" s="528">
        <v>500</v>
      </c>
      <c r="I444" s="512">
        <v>16.39</v>
      </c>
      <c r="J444" s="513">
        <v>0.15</v>
      </c>
      <c r="K444" s="607">
        <f t="shared" si="147"/>
        <v>8194.85</v>
      </c>
      <c r="L444" s="511"/>
      <c r="M444" s="513"/>
    </row>
    <row r="445" spans="1:13" x14ac:dyDescent="0.25">
      <c r="A445" s="511"/>
      <c r="B445" s="560">
        <v>42207</v>
      </c>
      <c r="C445" s="511">
        <v>20</v>
      </c>
      <c r="D445" s="512">
        <v>23.6</v>
      </c>
      <c r="E445" s="513">
        <v>0</v>
      </c>
      <c r="F445" s="513">
        <f t="shared" si="146"/>
        <v>472</v>
      </c>
      <c r="G445" s="625"/>
      <c r="H445" s="528">
        <v>500</v>
      </c>
      <c r="I445" s="512">
        <v>16.55</v>
      </c>
      <c r="J445" s="513">
        <v>0.17</v>
      </c>
      <c r="K445" s="607">
        <f t="shared" si="147"/>
        <v>8274.83</v>
      </c>
      <c r="L445" s="511"/>
      <c r="M445" s="513"/>
    </row>
    <row r="446" spans="1:13" x14ac:dyDescent="0.25">
      <c r="A446" s="511"/>
      <c r="B446" s="560">
        <v>42209</v>
      </c>
      <c r="C446" s="511">
        <v>40</v>
      </c>
      <c r="D446" s="512">
        <v>22.3</v>
      </c>
      <c r="E446" s="513">
        <v>0</v>
      </c>
      <c r="F446" s="513">
        <f t="shared" si="146"/>
        <v>892</v>
      </c>
      <c r="G446" s="625"/>
      <c r="H446" s="528">
        <v>50</v>
      </c>
      <c r="I446" s="512">
        <v>16.55</v>
      </c>
      <c r="J446" s="513">
        <v>0</v>
      </c>
      <c r="K446" s="607">
        <f t="shared" si="147"/>
        <v>827.5</v>
      </c>
      <c r="L446" s="511"/>
      <c r="M446" s="513"/>
    </row>
    <row r="447" spans="1:13" x14ac:dyDescent="0.25">
      <c r="A447" s="513"/>
      <c r="B447" s="560">
        <v>42221</v>
      </c>
      <c r="C447" s="511">
        <v>12</v>
      </c>
      <c r="D447" s="512">
        <v>20.95</v>
      </c>
      <c r="E447" s="513">
        <v>0</v>
      </c>
      <c r="F447" s="513">
        <f t="shared" si="146"/>
        <v>251.39999999999998</v>
      </c>
      <c r="G447" s="625"/>
      <c r="H447" s="528">
        <v>28</v>
      </c>
      <c r="I447" s="512">
        <v>16.68</v>
      </c>
      <c r="J447" s="513">
        <v>0.01</v>
      </c>
      <c r="K447" s="607">
        <f t="shared" si="147"/>
        <v>467.03</v>
      </c>
      <c r="L447" s="528"/>
      <c r="M447" s="513"/>
    </row>
    <row r="448" spans="1:13" x14ac:dyDescent="0.25">
      <c r="A448" s="511"/>
      <c r="B448" s="560">
        <v>42223</v>
      </c>
      <c r="C448" s="511">
        <v>100</v>
      </c>
      <c r="D448" s="512">
        <v>20.399999999999999</v>
      </c>
      <c r="E448" s="513">
        <v>0</v>
      </c>
      <c r="F448" s="513">
        <f t="shared" si="146"/>
        <v>2039.9999999999998</v>
      </c>
      <c r="G448" s="510">
        <v>42285</v>
      </c>
      <c r="H448" s="528">
        <v>632</v>
      </c>
      <c r="I448" s="512">
        <v>17.850000000000001</v>
      </c>
      <c r="J448" s="513">
        <v>0.21</v>
      </c>
      <c r="K448" s="607">
        <f t="shared" si="147"/>
        <v>11280.990000000002</v>
      </c>
      <c r="L448" s="513"/>
      <c r="M448" s="513"/>
    </row>
    <row r="449" spans="1:13" x14ac:dyDescent="0.25">
      <c r="A449" s="513"/>
      <c r="B449" s="560">
        <v>42226</v>
      </c>
      <c r="C449" s="511">
        <v>200</v>
      </c>
      <c r="D449" s="512">
        <v>19.95</v>
      </c>
      <c r="E449" s="513">
        <v>0</v>
      </c>
      <c r="F449" s="513">
        <f t="shared" si="146"/>
        <v>3990</v>
      </c>
      <c r="G449" s="510">
        <v>42297</v>
      </c>
      <c r="H449" s="528">
        <v>500</v>
      </c>
      <c r="I449" s="512">
        <v>19.149999999999999</v>
      </c>
      <c r="J449" s="513">
        <v>0.18</v>
      </c>
      <c r="K449" s="607">
        <f t="shared" si="147"/>
        <v>9574.82</v>
      </c>
      <c r="L449" s="511"/>
      <c r="M449" s="513"/>
    </row>
    <row r="450" spans="1:13" x14ac:dyDescent="0.25">
      <c r="A450" s="511"/>
      <c r="B450" s="560">
        <v>42226</v>
      </c>
      <c r="C450" s="511">
        <v>50</v>
      </c>
      <c r="D450" s="512">
        <v>20.010000000000002</v>
      </c>
      <c r="E450" s="513">
        <v>0</v>
      </c>
      <c r="F450" s="513">
        <f t="shared" si="146"/>
        <v>1000.5000000000001</v>
      </c>
      <c r="G450" s="510">
        <v>42300</v>
      </c>
      <c r="H450" s="528">
        <v>1000</v>
      </c>
      <c r="I450" s="512">
        <v>18.62</v>
      </c>
      <c r="J450" s="513">
        <v>0.34</v>
      </c>
      <c r="K450" s="607">
        <f t="shared" si="147"/>
        <v>18619.66</v>
      </c>
      <c r="L450" s="511"/>
      <c r="M450" s="513"/>
    </row>
    <row r="451" spans="1:13" x14ac:dyDescent="0.25">
      <c r="A451" s="511"/>
      <c r="B451" s="560">
        <v>42226</v>
      </c>
      <c r="C451" s="511">
        <v>100</v>
      </c>
      <c r="D451" s="512">
        <v>20.2</v>
      </c>
      <c r="E451" s="513">
        <v>0</v>
      </c>
      <c r="F451" s="513">
        <f t="shared" si="146"/>
        <v>2020</v>
      </c>
      <c r="G451" s="510">
        <v>42312</v>
      </c>
      <c r="H451" s="528">
        <v>2500</v>
      </c>
      <c r="I451" s="512">
        <v>18.48</v>
      </c>
      <c r="J451" s="513">
        <v>7.8</v>
      </c>
      <c r="K451" s="513">
        <f t="shared" si="147"/>
        <v>46192.2</v>
      </c>
      <c r="L451" s="511"/>
      <c r="M451" s="513"/>
    </row>
    <row r="452" spans="1:13" x14ac:dyDescent="0.25">
      <c r="A452" s="511"/>
      <c r="B452" s="560">
        <v>42227</v>
      </c>
      <c r="C452" s="511">
        <v>200</v>
      </c>
      <c r="D452" s="512">
        <v>18.399999999999999</v>
      </c>
      <c r="E452" s="513">
        <v>0</v>
      </c>
      <c r="F452" s="513">
        <f t="shared" si="146"/>
        <v>3679.9999999999995</v>
      </c>
      <c r="G452" s="510">
        <v>42313</v>
      </c>
      <c r="H452" s="528">
        <v>3000</v>
      </c>
      <c r="I452" s="512">
        <v>19.059999999999999</v>
      </c>
      <c r="J452" s="513">
        <v>1.05</v>
      </c>
      <c r="K452" s="513">
        <f t="shared" si="147"/>
        <v>57178.94999999999</v>
      </c>
      <c r="L452" s="511"/>
      <c r="M452" s="513"/>
    </row>
    <row r="453" spans="1:13" x14ac:dyDescent="0.25">
      <c r="A453" s="511"/>
      <c r="B453" s="560">
        <v>42227</v>
      </c>
      <c r="C453" s="511">
        <v>200</v>
      </c>
      <c r="D453" s="512">
        <v>19.55</v>
      </c>
      <c r="E453" s="513">
        <v>0</v>
      </c>
      <c r="F453" s="513">
        <f t="shared" si="146"/>
        <v>3910</v>
      </c>
      <c r="G453" s="510">
        <v>42324</v>
      </c>
      <c r="H453" s="528">
        <v>2500</v>
      </c>
      <c r="I453" s="512">
        <v>18.8</v>
      </c>
      <c r="J453" s="513">
        <v>0.86</v>
      </c>
      <c r="K453" s="513">
        <f t="shared" si="147"/>
        <v>46999.14</v>
      </c>
      <c r="L453" s="513"/>
      <c r="M453" s="513"/>
    </row>
    <row r="454" spans="1:13" x14ac:dyDescent="0.25">
      <c r="A454" s="511"/>
      <c r="B454" s="560">
        <v>42234</v>
      </c>
      <c r="C454" s="511">
        <v>40</v>
      </c>
      <c r="D454" s="512">
        <v>18.149999999999999</v>
      </c>
      <c r="E454" s="513">
        <v>0</v>
      </c>
      <c r="F454" s="513">
        <f t="shared" si="146"/>
        <v>726</v>
      </c>
      <c r="G454" s="510">
        <v>42335</v>
      </c>
      <c r="H454" s="528">
        <v>3078</v>
      </c>
      <c r="I454" s="512">
        <v>17.649999999999999</v>
      </c>
      <c r="J454" s="513">
        <v>1</v>
      </c>
      <c r="K454" s="513">
        <f t="shared" si="147"/>
        <v>54325.7</v>
      </c>
      <c r="L454" s="511"/>
      <c r="M454" s="513"/>
    </row>
    <row r="455" spans="1:13" x14ac:dyDescent="0.25">
      <c r="A455" s="511"/>
      <c r="B455" s="560">
        <v>42234</v>
      </c>
      <c r="C455" s="511">
        <v>100</v>
      </c>
      <c r="D455" s="512">
        <v>18</v>
      </c>
      <c r="E455" s="513">
        <v>0</v>
      </c>
      <c r="F455" s="513">
        <f t="shared" si="146"/>
        <v>1800</v>
      </c>
      <c r="G455" s="510">
        <v>42347</v>
      </c>
      <c r="H455" s="528">
        <v>500</v>
      </c>
      <c r="I455" s="512">
        <v>16.149999999999999</v>
      </c>
      <c r="J455" s="513">
        <v>0.15</v>
      </c>
      <c r="K455" s="513">
        <f t="shared" si="147"/>
        <v>8074.8499999999995</v>
      </c>
      <c r="L455" s="511"/>
      <c r="M455" s="513"/>
    </row>
    <row r="456" spans="1:13" x14ac:dyDescent="0.25">
      <c r="A456" s="511"/>
      <c r="B456" s="560">
        <v>42235</v>
      </c>
      <c r="C456" s="511">
        <v>100</v>
      </c>
      <c r="D456" s="512">
        <v>17.78</v>
      </c>
      <c r="E456" s="513">
        <v>0</v>
      </c>
      <c r="F456" s="513">
        <f t="shared" si="146"/>
        <v>1778</v>
      </c>
      <c r="G456" s="510">
        <v>42353</v>
      </c>
      <c r="H456" s="528">
        <v>600</v>
      </c>
      <c r="I456" s="512">
        <v>14.95</v>
      </c>
      <c r="J456" s="513">
        <v>0.17</v>
      </c>
      <c r="K456" s="513">
        <f t="shared" si="147"/>
        <v>8969.83</v>
      </c>
      <c r="L456" s="511"/>
      <c r="M456" s="513"/>
    </row>
    <row r="457" spans="1:13" x14ac:dyDescent="0.25">
      <c r="A457" s="511"/>
      <c r="B457" s="560">
        <v>42235</v>
      </c>
      <c r="C457" s="511">
        <v>100</v>
      </c>
      <c r="D457" s="512">
        <v>17.68</v>
      </c>
      <c r="E457" s="513">
        <v>0</v>
      </c>
      <c r="F457" s="513">
        <f t="shared" si="146"/>
        <v>1768</v>
      </c>
      <c r="G457" s="510">
        <v>42354</v>
      </c>
      <c r="H457" s="528">
        <v>500</v>
      </c>
      <c r="I457" s="512">
        <v>14.32</v>
      </c>
      <c r="J457" s="513">
        <v>0.13</v>
      </c>
      <c r="K457" s="513">
        <f t="shared" si="147"/>
        <v>7159.87</v>
      </c>
      <c r="L457" s="511"/>
      <c r="M457" s="513"/>
    </row>
    <row r="458" spans="1:13" x14ac:dyDescent="0.25">
      <c r="A458" s="511"/>
      <c r="B458" s="560">
        <v>42240</v>
      </c>
      <c r="C458" s="511">
        <v>100</v>
      </c>
      <c r="D458" s="512">
        <v>16.649999999999999</v>
      </c>
      <c r="E458" s="513">
        <v>0</v>
      </c>
      <c r="F458" s="513">
        <f t="shared" si="146"/>
        <v>1664.9999999999998</v>
      </c>
      <c r="G458" s="510">
        <v>42361</v>
      </c>
      <c r="H458" s="528">
        <v>500</v>
      </c>
      <c r="I458" s="512">
        <v>12.83</v>
      </c>
      <c r="J458" s="513">
        <v>0.12</v>
      </c>
      <c r="K458" s="513">
        <f t="shared" si="147"/>
        <v>6414.88</v>
      </c>
      <c r="L458" s="511"/>
      <c r="M458" s="513"/>
    </row>
    <row r="459" spans="1:13" x14ac:dyDescent="0.25">
      <c r="A459" s="511"/>
      <c r="B459" s="560">
        <v>42240</v>
      </c>
      <c r="C459" s="511">
        <v>100</v>
      </c>
      <c r="D459" s="512">
        <v>16.100000000000001</v>
      </c>
      <c r="E459" s="513">
        <v>0</v>
      </c>
      <c r="F459" s="513">
        <f t="shared" si="146"/>
        <v>1610.0000000000002</v>
      </c>
      <c r="G459" s="510">
        <v>42362</v>
      </c>
      <c r="H459" s="528">
        <v>1222</v>
      </c>
      <c r="I459" s="512">
        <v>12.75</v>
      </c>
      <c r="J459" s="513">
        <v>0.28999999999999998</v>
      </c>
      <c r="K459" s="513">
        <f t="shared" si="147"/>
        <v>15580.21</v>
      </c>
      <c r="L459" s="511"/>
      <c r="M459" s="513"/>
    </row>
    <row r="460" spans="1:13" x14ac:dyDescent="0.25">
      <c r="A460" s="511"/>
      <c r="B460" s="560">
        <v>42257</v>
      </c>
      <c r="C460" s="511">
        <v>1500</v>
      </c>
      <c r="D460" s="512">
        <v>16.350000000000001</v>
      </c>
      <c r="E460" s="513">
        <v>0</v>
      </c>
      <c r="F460" s="513">
        <f t="shared" si="146"/>
        <v>24525.000000000004</v>
      </c>
      <c r="G460" s="510">
        <v>42367</v>
      </c>
      <c r="H460" s="528">
        <v>1000</v>
      </c>
      <c r="I460" s="512">
        <v>13.15</v>
      </c>
      <c r="J460" s="513">
        <v>0.24</v>
      </c>
      <c r="K460" s="513">
        <f t="shared" si="147"/>
        <v>13149.76</v>
      </c>
      <c r="L460" s="511"/>
      <c r="M460" s="513"/>
    </row>
    <row r="461" spans="1:13" x14ac:dyDescent="0.25">
      <c r="A461" s="511"/>
      <c r="B461" s="560">
        <v>42258</v>
      </c>
      <c r="C461" s="511">
        <v>100</v>
      </c>
      <c r="D461" s="512">
        <v>16.100000000000001</v>
      </c>
      <c r="E461" s="513">
        <v>0</v>
      </c>
      <c r="F461" s="513">
        <f t="shared" si="146"/>
        <v>1610.0000000000002</v>
      </c>
      <c r="G461" s="510">
        <v>42367</v>
      </c>
      <c r="H461" s="528">
        <v>2178</v>
      </c>
      <c r="I461" s="512">
        <v>13.75</v>
      </c>
      <c r="J461" s="513">
        <v>0.55000000000000004</v>
      </c>
      <c r="K461" s="513">
        <f>H461*I461-J461</f>
        <v>29946.95</v>
      </c>
      <c r="L461" s="511"/>
      <c r="M461" s="513"/>
    </row>
    <row r="462" spans="1:13" x14ac:dyDescent="0.25">
      <c r="A462" s="511"/>
      <c r="B462" s="560">
        <v>42261</v>
      </c>
      <c r="C462" s="511">
        <v>1000</v>
      </c>
      <c r="D462" s="512">
        <v>15.416</v>
      </c>
      <c r="E462" s="513">
        <v>0</v>
      </c>
      <c r="F462" s="513">
        <f t="shared" si="146"/>
        <v>15416</v>
      </c>
      <c r="G462" s="510">
        <v>42010</v>
      </c>
      <c r="H462" s="528">
        <v>1000</v>
      </c>
      <c r="I462" s="512">
        <v>12.63</v>
      </c>
      <c r="J462" s="513">
        <v>0.23</v>
      </c>
      <c r="K462" s="513">
        <f>H462*I462-J462</f>
        <v>12629.77</v>
      </c>
      <c r="L462" s="511"/>
      <c r="M462" s="513"/>
    </row>
    <row r="463" spans="1:13" x14ac:dyDescent="0.25">
      <c r="A463" s="511"/>
      <c r="B463" s="560">
        <v>42261</v>
      </c>
      <c r="C463" s="511">
        <v>1000</v>
      </c>
      <c r="D463" s="512">
        <v>15.1</v>
      </c>
      <c r="E463" s="513">
        <v>0</v>
      </c>
      <c r="F463" s="513">
        <f t="shared" si="146"/>
        <v>15100</v>
      </c>
      <c r="G463" s="608">
        <v>42374</v>
      </c>
      <c r="H463" s="528">
        <v>2000</v>
      </c>
      <c r="I463" s="512">
        <v>12.81</v>
      </c>
      <c r="J463" s="513">
        <v>0.47</v>
      </c>
      <c r="K463" s="513">
        <f t="shared" ref="K463:K475" si="148">H463*I463-J463</f>
        <v>25619.53</v>
      </c>
      <c r="L463" s="511"/>
      <c r="M463" s="513"/>
    </row>
    <row r="464" spans="1:13" ht="15" customHeight="1" x14ac:dyDescent="0.25">
      <c r="A464" s="511"/>
      <c r="B464" s="560">
        <v>42261</v>
      </c>
      <c r="C464" s="511">
        <v>200</v>
      </c>
      <c r="D464" s="512">
        <v>14.87</v>
      </c>
      <c r="E464" s="513">
        <v>0</v>
      </c>
      <c r="F464" s="513">
        <f t="shared" si="146"/>
        <v>2974</v>
      </c>
      <c r="G464" s="510">
        <v>42374</v>
      </c>
      <c r="H464" s="528">
        <v>1000</v>
      </c>
      <c r="I464" s="512">
        <v>12.82</v>
      </c>
      <c r="J464" s="513">
        <v>0.24</v>
      </c>
      <c r="K464" s="513">
        <f t="shared" si="148"/>
        <v>12819.76</v>
      </c>
      <c r="L464" s="511"/>
      <c r="M464" s="513"/>
    </row>
    <row r="465" spans="1:13" x14ac:dyDescent="0.25">
      <c r="A465" s="511"/>
      <c r="B465" s="560">
        <v>42261</v>
      </c>
      <c r="C465" s="511">
        <v>300</v>
      </c>
      <c r="D465" s="512">
        <v>14.87</v>
      </c>
      <c r="E465" s="513">
        <v>0</v>
      </c>
      <c r="F465" s="513">
        <f t="shared" si="146"/>
        <v>4461</v>
      </c>
      <c r="G465" s="510">
        <v>42398</v>
      </c>
      <c r="H465" s="528">
        <v>400</v>
      </c>
      <c r="I465" s="512">
        <v>9.5500000000000007</v>
      </c>
      <c r="J465" s="513">
        <v>7.0000000000000007E-2</v>
      </c>
      <c r="K465" s="513">
        <f t="shared" si="148"/>
        <v>3819.9300000000003</v>
      </c>
      <c r="L465" s="511"/>
      <c r="M465" s="513"/>
    </row>
    <row r="466" spans="1:13" x14ac:dyDescent="0.25">
      <c r="A466" s="511"/>
      <c r="B466" s="560">
        <v>42270</v>
      </c>
      <c r="C466" s="511">
        <v>478</v>
      </c>
      <c r="D466" s="512">
        <v>15.85</v>
      </c>
      <c r="E466" s="513">
        <v>0</v>
      </c>
      <c r="F466" s="513">
        <f t="shared" si="146"/>
        <v>7576.3</v>
      </c>
      <c r="G466" s="510">
        <v>42411</v>
      </c>
      <c r="H466" s="528">
        <v>500</v>
      </c>
      <c r="I466" s="512">
        <v>6.97</v>
      </c>
      <c r="J466" s="513">
        <v>0.08</v>
      </c>
      <c r="K466" s="513">
        <f t="shared" si="148"/>
        <v>3484.92</v>
      </c>
      <c r="L466" s="511"/>
      <c r="M466" s="513"/>
    </row>
    <row r="467" spans="1:13" x14ac:dyDescent="0.25">
      <c r="A467" s="511"/>
      <c r="B467" s="560">
        <v>42292</v>
      </c>
      <c r="C467" s="511">
        <v>500</v>
      </c>
      <c r="D467" s="512">
        <v>18.55</v>
      </c>
      <c r="E467" s="513">
        <v>0</v>
      </c>
      <c r="F467" s="513">
        <f t="shared" si="146"/>
        <v>9275</v>
      </c>
      <c r="G467" s="510">
        <v>42412</v>
      </c>
      <c r="H467" s="528">
        <v>200</v>
      </c>
      <c r="I467" s="512">
        <v>7.45</v>
      </c>
      <c r="J467" s="513">
        <v>0.03</v>
      </c>
      <c r="K467" s="513">
        <f t="shared" si="148"/>
        <v>1489.97</v>
      </c>
      <c r="L467" s="511"/>
      <c r="M467" s="513"/>
    </row>
    <row r="468" spans="1:13" x14ac:dyDescent="0.25">
      <c r="A468" s="511"/>
      <c r="B468" s="560">
        <v>42299</v>
      </c>
      <c r="C468" s="511">
        <v>500</v>
      </c>
      <c r="D468" s="512">
        <v>18.55</v>
      </c>
      <c r="E468" s="513">
        <v>0</v>
      </c>
      <c r="F468" s="513">
        <f t="shared" si="146"/>
        <v>9275</v>
      </c>
      <c r="G468" s="510">
        <v>42416</v>
      </c>
      <c r="H468" s="528">
        <v>500</v>
      </c>
      <c r="I468" s="512">
        <v>7.75</v>
      </c>
      <c r="J468" s="513">
        <v>0.08</v>
      </c>
      <c r="K468" s="513">
        <f t="shared" si="148"/>
        <v>3874.92</v>
      </c>
      <c r="L468" s="511"/>
      <c r="M468" s="513"/>
    </row>
    <row r="469" spans="1:13" x14ac:dyDescent="0.25">
      <c r="A469" s="511"/>
      <c r="B469" s="560">
        <v>42299</v>
      </c>
      <c r="C469" s="511">
        <v>500</v>
      </c>
      <c r="D469" s="512">
        <v>18.28</v>
      </c>
      <c r="E469" s="513">
        <v>0</v>
      </c>
      <c r="F469" s="513">
        <f t="shared" si="146"/>
        <v>9140</v>
      </c>
      <c r="G469" s="510">
        <v>42422</v>
      </c>
      <c r="H469" s="528">
        <v>2500</v>
      </c>
      <c r="I469" s="512">
        <v>7.47</v>
      </c>
      <c r="J469" s="513">
        <v>0.41</v>
      </c>
      <c r="K469" s="513">
        <f t="shared" si="148"/>
        <v>18674.59</v>
      </c>
      <c r="L469" s="511"/>
      <c r="M469" s="513"/>
    </row>
    <row r="470" spans="1:13" x14ac:dyDescent="0.25">
      <c r="A470" s="511"/>
      <c r="B470" s="560">
        <v>42299</v>
      </c>
      <c r="C470" s="511">
        <v>1000</v>
      </c>
      <c r="D470" s="512">
        <v>18.100000000000001</v>
      </c>
      <c r="E470" s="513">
        <v>0</v>
      </c>
      <c r="F470" s="513">
        <f t="shared" si="146"/>
        <v>18100</v>
      </c>
      <c r="G470" s="510">
        <v>42422</v>
      </c>
      <c r="H470" s="528">
        <v>1000</v>
      </c>
      <c r="I470" s="512">
        <v>7.49</v>
      </c>
      <c r="J470" s="513">
        <v>0.16</v>
      </c>
      <c r="K470" s="513">
        <f t="shared" si="148"/>
        <v>7489.84</v>
      </c>
      <c r="L470" s="511"/>
      <c r="M470" s="513"/>
    </row>
    <row r="471" spans="1:13" x14ac:dyDescent="0.25">
      <c r="A471" s="511"/>
      <c r="B471" s="623">
        <v>42306</v>
      </c>
      <c r="C471" s="511">
        <v>660</v>
      </c>
      <c r="D471" s="512">
        <v>17.8</v>
      </c>
      <c r="E471" s="513">
        <v>0</v>
      </c>
      <c r="F471" s="513">
        <f t="shared" si="146"/>
        <v>11748</v>
      </c>
      <c r="G471" s="510">
        <v>42426</v>
      </c>
      <c r="H471" s="528">
        <v>900</v>
      </c>
      <c r="I471" s="512">
        <v>7.7</v>
      </c>
      <c r="J471" s="513">
        <v>0.15</v>
      </c>
      <c r="K471" s="513">
        <f t="shared" si="148"/>
        <v>6929.85</v>
      </c>
      <c r="L471" s="511"/>
      <c r="M471" s="513"/>
    </row>
    <row r="472" spans="1:13" ht="30" x14ac:dyDescent="0.25">
      <c r="A472" s="511"/>
      <c r="B472" s="623"/>
      <c r="C472" s="511">
        <v>340</v>
      </c>
      <c r="D472" s="512">
        <v>17.8</v>
      </c>
      <c r="E472" s="513">
        <v>0</v>
      </c>
      <c r="F472" s="513">
        <f t="shared" si="146"/>
        <v>6052</v>
      </c>
      <c r="G472" s="626" t="s">
        <v>181</v>
      </c>
      <c r="H472" s="528">
        <v>500</v>
      </c>
      <c r="I472" s="512">
        <v>7.73</v>
      </c>
      <c r="J472" s="513">
        <v>0.08</v>
      </c>
      <c r="K472" s="513">
        <f t="shared" si="148"/>
        <v>3864.92</v>
      </c>
      <c r="L472" s="511"/>
      <c r="M472" s="513"/>
    </row>
    <row r="473" spans="1:13" ht="15" customHeight="1" x14ac:dyDescent="0.25">
      <c r="A473" s="511"/>
      <c r="B473" s="560">
        <v>42312</v>
      </c>
      <c r="C473" s="609">
        <v>500</v>
      </c>
      <c r="D473" s="606">
        <v>17.559999999999999</v>
      </c>
      <c r="E473" s="607">
        <v>6.95</v>
      </c>
      <c r="F473" s="607">
        <f t="shared" si="146"/>
        <v>8786.9500000000007</v>
      </c>
      <c r="G473" s="626"/>
      <c r="H473" s="528">
        <v>500</v>
      </c>
      <c r="I473" s="512">
        <v>7.96</v>
      </c>
      <c r="J473" s="513">
        <v>0.09</v>
      </c>
      <c r="K473" s="513">
        <f t="shared" si="148"/>
        <v>3979.91</v>
      </c>
      <c r="L473" s="511"/>
      <c r="M473" s="513"/>
    </row>
    <row r="474" spans="1:13" x14ac:dyDescent="0.25">
      <c r="A474" s="511"/>
      <c r="B474" s="560">
        <v>42313</v>
      </c>
      <c r="C474" s="511">
        <v>3000</v>
      </c>
      <c r="D474" s="512">
        <v>19.05</v>
      </c>
      <c r="E474" s="513">
        <v>0</v>
      </c>
      <c r="F474" s="513">
        <f t="shared" si="146"/>
        <v>57150</v>
      </c>
      <c r="G474" s="626"/>
      <c r="H474" s="528">
        <v>500</v>
      </c>
      <c r="I474" s="512">
        <v>8.0299999999999994</v>
      </c>
      <c r="J474" s="513">
        <v>0.09</v>
      </c>
      <c r="K474" s="513">
        <f t="shared" si="148"/>
        <v>4014.9099999999994</v>
      </c>
      <c r="L474" s="511"/>
      <c r="M474" s="512"/>
    </row>
    <row r="475" spans="1:13" x14ac:dyDescent="0.25">
      <c r="A475" s="511"/>
      <c r="B475" s="560">
        <v>42320</v>
      </c>
      <c r="C475" s="511">
        <v>500</v>
      </c>
      <c r="D475" s="512">
        <v>18.079999999999998</v>
      </c>
      <c r="E475" s="513">
        <v>0</v>
      </c>
      <c r="F475" s="513">
        <f t="shared" si="146"/>
        <v>9040</v>
      </c>
      <c r="G475" s="626"/>
      <c r="H475" s="528">
        <v>1500</v>
      </c>
      <c r="I475" s="512">
        <v>8.1</v>
      </c>
      <c r="J475" s="513">
        <v>0.26</v>
      </c>
      <c r="K475" s="513">
        <f t="shared" si="148"/>
        <v>12149.74</v>
      </c>
      <c r="L475" s="511"/>
      <c r="M475" s="513"/>
    </row>
    <row r="476" spans="1:13" x14ac:dyDescent="0.25">
      <c r="A476" s="511"/>
      <c r="B476" s="560">
        <v>42320</v>
      </c>
      <c r="C476" s="511">
        <v>1000</v>
      </c>
      <c r="D476" s="512">
        <v>18.05</v>
      </c>
      <c r="E476" s="513">
        <v>0</v>
      </c>
      <c r="F476" s="513">
        <f t="shared" si="146"/>
        <v>18050</v>
      </c>
      <c r="G476" s="510">
        <v>42429</v>
      </c>
      <c r="H476" s="528">
        <v>1000</v>
      </c>
      <c r="I476" s="512">
        <v>8.5399999999999991</v>
      </c>
      <c r="J476" s="513">
        <v>0.19</v>
      </c>
      <c r="K476" s="513">
        <f>H476*I476-J476</f>
        <v>8539.81</v>
      </c>
      <c r="L476" s="511"/>
      <c r="M476" s="610"/>
    </row>
    <row r="477" spans="1:13" x14ac:dyDescent="0.25">
      <c r="A477" s="511"/>
      <c r="B477" s="560">
        <v>42320</v>
      </c>
      <c r="C477" s="511">
        <v>1000</v>
      </c>
      <c r="D477" s="512">
        <v>17.82</v>
      </c>
      <c r="E477" s="513">
        <v>0</v>
      </c>
      <c r="F477" s="513">
        <f t="shared" si="146"/>
        <v>17820</v>
      </c>
      <c r="G477" s="510">
        <v>42429</v>
      </c>
      <c r="H477" s="528">
        <v>500</v>
      </c>
      <c r="I477" s="512">
        <v>7.95</v>
      </c>
      <c r="J477" s="513">
        <v>0.09</v>
      </c>
      <c r="K477" s="513">
        <f>H477*I477-J477</f>
        <v>3974.91</v>
      </c>
      <c r="L477" s="511"/>
      <c r="M477" s="513"/>
    </row>
    <row r="478" spans="1:13" x14ac:dyDescent="0.25">
      <c r="A478" s="511"/>
      <c r="B478" s="560">
        <v>42328</v>
      </c>
      <c r="C478" s="511">
        <v>3078</v>
      </c>
      <c r="D478" s="512">
        <v>17.47</v>
      </c>
      <c r="E478" s="513">
        <v>0</v>
      </c>
      <c r="F478" s="513">
        <f t="shared" si="146"/>
        <v>53772.659999999996</v>
      </c>
      <c r="G478" s="510">
        <v>42429</v>
      </c>
      <c r="H478" s="528">
        <v>500</v>
      </c>
      <c r="I478" s="512">
        <v>7.97</v>
      </c>
      <c r="J478" s="513">
        <v>0.09</v>
      </c>
      <c r="K478" s="513">
        <f t="shared" ref="K478:K537" si="149">H478*I478-J478</f>
        <v>3984.91</v>
      </c>
      <c r="L478" s="511"/>
      <c r="M478" s="513"/>
    </row>
    <row r="479" spans="1:13" x14ac:dyDescent="0.25">
      <c r="A479" s="511"/>
      <c r="B479" s="560">
        <v>42340</v>
      </c>
      <c r="C479" s="511">
        <v>3078</v>
      </c>
      <c r="D479" s="512">
        <v>17.739999999999998</v>
      </c>
      <c r="E479" s="513">
        <v>0</v>
      </c>
      <c r="F479" s="513">
        <f t="shared" si="146"/>
        <v>54603.719999999994</v>
      </c>
      <c r="G479" s="510">
        <v>42430</v>
      </c>
      <c r="H479" s="528">
        <v>500</v>
      </c>
      <c r="I479" s="512">
        <v>7.85</v>
      </c>
      <c r="J479" s="513">
        <v>0.09</v>
      </c>
      <c r="K479" s="513">
        <f t="shared" si="149"/>
        <v>3924.91</v>
      </c>
      <c r="L479" s="511"/>
      <c r="M479" s="513"/>
    </row>
    <row r="480" spans="1:13" x14ac:dyDescent="0.25">
      <c r="A480" s="511"/>
      <c r="B480" s="560">
        <v>42340</v>
      </c>
      <c r="C480" s="511">
        <v>500</v>
      </c>
      <c r="D480" s="512">
        <v>17.5</v>
      </c>
      <c r="E480" s="513">
        <v>0</v>
      </c>
      <c r="F480" s="513">
        <f t="shared" si="146"/>
        <v>8750</v>
      </c>
      <c r="G480" s="510">
        <v>42430</v>
      </c>
      <c r="H480" s="528">
        <v>500</v>
      </c>
      <c r="I480" s="512">
        <v>8.0299999999999994</v>
      </c>
      <c r="J480" s="513">
        <v>0.09</v>
      </c>
      <c r="K480" s="513">
        <f t="shared" si="149"/>
        <v>4014.9099999999994</v>
      </c>
      <c r="L480" s="513"/>
      <c r="M480" s="513"/>
    </row>
    <row r="481" spans="1:13" x14ac:dyDescent="0.25">
      <c r="A481" s="511"/>
      <c r="B481" s="560">
        <v>42345</v>
      </c>
      <c r="C481" s="511">
        <v>100</v>
      </c>
      <c r="D481" s="512">
        <v>16.7</v>
      </c>
      <c r="E481" s="513">
        <v>0</v>
      </c>
      <c r="F481" s="513">
        <f t="shared" si="146"/>
        <v>1670</v>
      </c>
      <c r="G481" s="510">
        <v>42431</v>
      </c>
      <c r="H481" s="528">
        <v>500</v>
      </c>
      <c r="I481" s="512">
        <v>8.3800000000000008</v>
      </c>
      <c r="J481" s="513">
        <v>0.09</v>
      </c>
      <c r="K481" s="513">
        <f t="shared" si="149"/>
        <v>4189.91</v>
      </c>
      <c r="L481" s="513"/>
      <c r="M481" s="513"/>
    </row>
    <row r="482" spans="1:13" x14ac:dyDescent="0.25">
      <c r="A482" s="511"/>
      <c r="B482" s="560">
        <v>42345</v>
      </c>
      <c r="C482" s="511">
        <v>500</v>
      </c>
      <c r="D482" s="512">
        <v>16.850000000000001</v>
      </c>
      <c r="E482" s="513">
        <v>0</v>
      </c>
      <c r="F482" s="513">
        <f t="shared" si="146"/>
        <v>8425</v>
      </c>
      <c r="G482" s="510">
        <v>42431</v>
      </c>
      <c r="H482" s="528">
        <v>500</v>
      </c>
      <c r="I482" s="512">
        <v>8.58</v>
      </c>
      <c r="J482" s="513">
        <v>0.09</v>
      </c>
      <c r="K482" s="513">
        <f t="shared" si="149"/>
        <v>4289.91</v>
      </c>
      <c r="L482" s="511"/>
      <c r="M482" s="513"/>
    </row>
    <row r="483" spans="1:13" ht="30" x14ac:dyDescent="0.25">
      <c r="A483" s="511"/>
      <c r="B483" s="560">
        <v>42347</v>
      </c>
      <c r="C483" s="511">
        <v>500</v>
      </c>
      <c r="D483" s="512">
        <v>15.84</v>
      </c>
      <c r="E483" s="513">
        <v>0</v>
      </c>
      <c r="F483" s="513">
        <f t="shared" si="146"/>
        <v>7920</v>
      </c>
      <c r="G483" s="625" t="s">
        <v>183</v>
      </c>
      <c r="H483" s="528">
        <v>400</v>
      </c>
      <c r="I483" s="512">
        <v>9.09</v>
      </c>
      <c r="J483" s="513">
        <v>0.1</v>
      </c>
      <c r="K483" s="513">
        <f t="shared" si="149"/>
        <v>3635.9</v>
      </c>
      <c r="L483" s="511"/>
      <c r="M483" s="513"/>
    </row>
    <row r="484" spans="1:13" x14ac:dyDescent="0.25">
      <c r="A484" s="511"/>
      <c r="B484" s="560">
        <v>42348</v>
      </c>
      <c r="C484" s="511">
        <v>500</v>
      </c>
      <c r="D484" s="512">
        <v>14.78</v>
      </c>
      <c r="E484" s="513">
        <v>0</v>
      </c>
      <c r="F484" s="513">
        <f t="shared" si="146"/>
        <v>7390</v>
      </c>
      <c r="G484" s="625"/>
      <c r="H484" s="528">
        <v>100</v>
      </c>
      <c r="I484" s="512">
        <v>9.09</v>
      </c>
      <c r="J484" s="513">
        <v>0</v>
      </c>
      <c r="K484" s="513">
        <f t="shared" si="149"/>
        <v>909</v>
      </c>
      <c r="L484" s="511"/>
      <c r="M484" s="513"/>
    </row>
    <row r="485" spans="1:13" x14ac:dyDescent="0.25">
      <c r="A485" s="511"/>
      <c r="B485" s="560">
        <v>42352</v>
      </c>
      <c r="C485" s="511">
        <v>100</v>
      </c>
      <c r="D485" s="512">
        <v>14.57</v>
      </c>
      <c r="E485" s="513">
        <v>0</v>
      </c>
      <c r="F485" s="513">
        <f t="shared" si="146"/>
        <v>1457</v>
      </c>
      <c r="G485" s="625"/>
      <c r="H485" s="528">
        <v>500</v>
      </c>
      <c r="I485" s="512">
        <v>8.81</v>
      </c>
      <c r="J485" s="513">
        <v>0.1</v>
      </c>
      <c r="K485" s="513">
        <f t="shared" si="149"/>
        <v>4404.8999999999996</v>
      </c>
      <c r="L485" s="511"/>
      <c r="M485" s="513"/>
    </row>
    <row r="486" spans="1:13" x14ac:dyDescent="0.25">
      <c r="A486" s="511"/>
      <c r="B486" s="560">
        <v>42355</v>
      </c>
      <c r="C486" s="511">
        <v>500</v>
      </c>
      <c r="D486" s="512">
        <v>13.89</v>
      </c>
      <c r="E486" s="513">
        <v>0</v>
      </c>
      <c r="F486" s="513">
        <f t="shared" si="146"/>
        <v>6945</v>
      </c>
      <c r="G486" s="510">
        <v>42432</v>
      </c>
      <c r="H486" s="528">
        <v>600</v>
      </c>
      <c r="I486" s="512">
        <v>9.65</v>
      </c>
      <c r="J486" s="513">
        <v>0.13</v>
      </c>
      <c r="K486" s="513">
        <f t="shared" si="149"/>
        <v>5789.87</v>
      </c>
      <c r="L486" s="511"/>
      <c r="M486" s="513"/>
    </row>
    <row r="487" spans="1:13" x14ac:dyDescent="0.25">
      <c r="A487" s="511"/>
      <c r="B487" s="560">
        <v>42360</v>
      </c>
      <c r="C487" s="511">
        <v>500</v>
      </c>
      <c r="D487" s="512">
        <v>12.95</v>
      </c>
      <c r="E487" s="513">
        <v>0</v>
      </c>
      <c r="F487" s="513">
        <f t="shared" si="146"/>
        <v>6475</v>
      </c>
      <c r="G487" s="510">
        <v>42433</v>
      </c>
      <c r="H487" s="528">
        <v>600</v>
      </c>
      <c r="I487" s="512">
        <v>10.45</v>
      </c>
      <c r="J487" s="513">
        <v>0.14000000000000001</v>
      </c>
      <c r="K487" s="513">
        <f t="shared" si="149"/>
        <v>6269.86</v>
      </c>
      <c r="L487" s="511"/>
      <c r="M487" s="513"/>
    </row>
    <row r="488" spans="1:13" x14ac:dyDescent="0.25">
      <c r="A488" s="511"/>
      <c r="B488" s="560">
        <v>42361</v>
      </c>
      <c r="C488" s="511">
        <v>500</v>
      </c>
      <c r="D488" s="512">
        <v>12.75</v>
      </c>
      <c r="E488" s="513">
        <v>0</v>
      </c>
      <c r="F488" s="513">
        <f t="shared" si="146"/>
        <v>6375</v>
      </c>
      <c r="G488" s="510">
        <v>42440</v>
      </c>
      <c r="H488" s="528">
        <v>400</v>
      </c>
      <c r="I488" s="512">
        <v>11.25</v>
      </c>
      <c r="J488" s="513">
        <v>0.1</v>
      </c>
      <c r="K488" s="513">
        <f t="shared" si="149"/>
        <v>4499.8999999999996</v>
      </c>
      <c r="L488" s="511"/>
      <c r="M488" s="513"/>
    </row>
    <row r="489" spans="1:13" x14ac:dyDescent="0.25">
      <c r="A489" s="511"/>
      <c r="B489" s="560">
        <v>42361</v>
      </c>
      <c r="C489" s="511">
        <v>500</v>
      </c>
      <c r="D489" s="512">
        <v>12.8</v>
      </c>
      <c r="E489" s="513">
        <v>0</v>
      </c>
      <c r="F489" s="513">
        <f t="shared" si="146"/>
        <v>6400</v>
      </c>
      <c r="G489" s="510">
        <v>42446</v>
      </c>
      <c r="H489" s="528">
        <v>1500</v>
      </c>
      <c r="I489" s="512">
        <v>11.49</v>
      </c>
      <c r="J489" s="513">
        <v>0.38</v>
      </c>
      <c r="K489" s="513">
        <f t="shared" si="149"/>
        <v>17234.62</v>
      </c>
      <c r="L489" s="511"/>
      <c r="M489" s="513"/>
    </row>
    <row r="490" spans="1:13" x14ac:dyDescent="0.25">
      <c r="A490" s="511"/>
      <c r="B490" s="560">
        <v>42361</v>
      </c>
      <c r="C490" s="511">
        <v>1000</v>
      </c>
      <c r="D490" s="512">
        <v>12.67</v>
      </c>
      <c r="E490" s="513">
        <v>0</v>
      </c>
      <c r="F490" s="513">
        <f t="shared" si="146"/>
        <v>12670</v>
      </c>
      <c r="G490" s="510">
        <v>42447</v>
      </c>
      <c r="H490" s="528">
        <v>1500</v>
      </c>
      <c r="I490" s="512">
        <v>11.44</v>
      </c>
      <c r="J490" s="513">
        <v>0.37</v>
      </c>
      <c r="K490" s="513">
        <f t="shared" si="149"/>
        <v>17159.63</v>
      </c>
      <c r="L490" s="511"/>
      <c r="M490" s="513"/>
    </row>
    <row r="491" spans="1:13" x14ac:dyDescent="0.25">
      <c r="A491" s="511"/>
      <c r="B491" s="560">
        <v>42361</v>
      </c>
      <c r="C491" s="511">
        <v>222</v>
      </c>
      <c r="D491" s="512">
        <v>12.44</v>
      </c>
      <c r="E491" s="513">
        <v>0</v>
      </c>
      <c r="F491" s="513">
        <f t="shared" si="146"/>
        <v>2761.68</v>
      </c>
      <c r="G491" s="510">
        <v>42447</v>
      </c>
      <c r="H491" s="528">
        <v>500</v>
      </c>
      <c r="I491" s="512">
        <v>11.484999999999999</v>
      </c>
      <c r="J491" s="513">
        <v>0.13</v>
      </c>
      <c r="K491" s="513">
        <f t="shared" si="149"/>
        <v>5742.37</v>
      </c>
      <c r="L491" s="511"/>
      <c r="M491" s="513"/>
    </row>
    <row r="492" spans="1:13" x14ac:dyDescent="0.25">
      <c r="A492" s="511"/>
      <c r="B492" s="560">
        <v>42367</v>
      </c>
      <c r="C492" s="511">
        <v>2178</v>
      </c>
      <c r="D492" s="512">
        <v>13.68</v>
      </c>
      <c r="E492" s="513">
        <v>0</v>
      </c>
      <c r="F492" s="513">
        <f t="shared" si="146"/>
        <v>29795.040000000001</v>
      </c>
      <c r="G492" s="624">
        <v>42447</v>
      </c>
      <c r="H492" s="528">
        <v>650</v>
      </c>
      <c r="I492" s="512">
        <v>11.56</v>
      </c>
      <c r="J492" s="513">
        <v>0.25</v>
      </c>
      <c r="K492" s="513">
        <f t="shared" si="149"/>
        <v>7513.75</v>
      </c>
      <c r="L492" s="511"/>
      <c r="M492" s="513"/>
    </row>
    <row r="493" spans="1:13" x14ac:dyDescent="0.25">
      <c r="A493" s="511"/>
      <c r="B493" s="560">
        <v>42369</v>
      </c>
      <c r="C493" s="511">
        <v>2500</v>
      </c>
      <c r="D493" s="512">
        <v>13.04</v>
      </c>
      <c r="E493" s="513">
        <v>0</v>
      </c>
      <c r="F493" s="513">
        <f t="shared" si="146"/>
        <v>32599.999999999996</v>
      </c>
      <c r="G493" s="624"/>
      <c r="H493" s="528">
        <v>350</v>
      </c>
      <c r="I493" s="512">
        <v>11.56</v>
      </c>
      <c r="J493" s="513">
        <v>0</v>
      </c>
      <c r="K493" s="513">
        <f t="shared" si="149"/>
        <v>4046</v>
      </c>
      <c r="L493" s="511"/>
      <c r="M493" s="513"/>
    </row>
    <row r="494" spans="1:13" x14ac:dyDescent="0.25">
      <c r="A494" s="511"/>
      <c r="B494" s="560">
        <v>42008</v>
      </c>
      <c r="C494" s="511">
        <v>2000</v>
      </c>
      <c r="D494" s="512">
        <v>13.01</v>
      </c>
      <c r="E494" s="513">
        <v>0</v>
      </c>
      <c r="F494" s="513">
        <f t="shared" si="146"/>
        <v>26020</v>
      </c>
      <c r="G494" s="510">
        <v>42447</v>
      </c>
      <c r="H494" s="528">
        <v>1000</v>
      </c>
      <c r="I494" s="512">
        <v>11.62</v>
      </c>
      <c r="J494" s="513">
        <v>0.25</v>
      </c>
      <c r="K494" s="513">
        <f t="shared" si="149"/>
        <v>11619.75</v>
      </c>
      <c r="L494" s="511"/>
      <c r="M494" s="513"/>
    </row>
    <row r="495" spans="1:13" x14ac:dyDescent="0.25">
      <c r="A495" s="511"/>
      <c r="B495" s="560">
        <v>42009</v>
      </c>
      <c r="C495" s="511">
        <v>500</v>
      </c>
      <c r="D495" s="512">
        <v>12.62</v>
      </c>
      <c r="E495" s="513">
        <v>0</v>
      </c>
      <c r="F495" s="513">
        <f t="shared" si="146"/>
        <v>6310</v>
      </c>
      <c r="G495" s="510">
        <v>42451</v>
      </c>
      <c r="H495" s="528">
        <v>1000</v>
      </c>
      <c r="I495" s="512">
        <v>11.45</v>
      </c>
      <c r="J495" s="513">
        <v>0.25</v>
      </c>
      <c r="K495" s="513">
        <f t="shared" si="149"/>
        <v>11449.75</v>
      </c>
      <c r="L495" s="511"/>
      <c r="M495" s="513"/>
    </row>
    <row r="496" spans="1:13" x14ac:dyDescent="0.25">
      <c r="A496" s="511"/>
      <c r="B496" s="560">
        <v>42009</v>
      </c>
      <c r="C496" s="511">
        <v>500</v>
      </c>
      <c r="D496" s="512">
        <v>12.45</v>
      </c>
      <c r="E496" s="513">
        <v>0</v>
      </c>
      <c r="F496" s="513">
        <f t="shared" si="146"/>
        <v>6225</v>
      </c>
      <c r="G496" s="510">
        <v>42451</v>
      </c>
      <c r="H496" s="528">
        <v>50</v>
      </c>
      <c r="I496" s="512">
        <v>11.28</v>
      </c>
      <c r="J496" s="513">
        <v>0.01</v>
      </c>
      <c r="K496" s="513">
        <f t="shared" si="149"/>
        <v>563.99</v>
      </c>
      <c r="L496" s="511"/>
      <c r="M496" s="513"/>
    </row>
    <row r="497" spans="1:13" x14ac:dyDescent="0.25">
      <c r="A497" s="511"/>
      <c r="B497" s="611">
        <v>42374</v>
      </c>
      <c r="C497" s="511">
        <v>2000</v>
      </c>
      <c r="D497" s="512">
        <v>12.73</v>
      </c>
      <c r="E497" s="513">
        <v>0</v>
      </c>
      <c r="F497" s="513">
        <f t="shared" ref="F497:F560" si="150">C497*D497+E497</f>
        <v>25460</v>
      </c>
      <c r="G497" s="510">
        <v>42459</v>
      </c>
      <c r="H497" s="528">
        <v>2000</v>
      </c>
      <c r="I497" s="512">
        <v>10.75</v>
      </c>
      <c r="J497" s="513">
        <v>0.47</v>
      </c>
      <c r="K497" s="513">
        <f t="shared" si="149"/>
        <v>21499.53</v>
      </c>
      <c r="L497" s="511"/>
      <c r="M497" s="513"/>
    </row>
    <row r="498" spans="1:13" ht="15" customHeight="1" x14ac:dyDescent="0.25">
      <c r="A498" s="511"/>
      <c r="B498" s="560">
        <v>42375</v>
      </c>
      <c r="C498" s="511">
        <v>1000</v>
      </c>
      <c r="D498" s="512">
        <v>12.5</v>
      </c>
      <c r="E498" s="513">
        <v>0</v>
      </c>
      <c r="F498" s="513">
        <f t="shared" si="150"/>
        <v>12500</v>
      </c>
      <c r="G498" s="510">
        <v>42460</v>
      </c>
      <c r="H498" s="528">
        <v>1600</v>
      </c>
      <c r="I498" s="512">
        <v>10.95</v>
      </c>
      <c r="J498" s="513">
        <v>2.88</v>
      </c>
      <c r="K498" s="513">
        <f t="shared" si="149"/>
        <v>17517.12</v>
      </c>
      <c r="L498" s="511"/>
      <c r="M498" s="513"/>
    </row>
    <row r="499" spans="1:13" x14ac:dyDescent="0.25">
      <c r="A499" s="511"/>
      <c r="B499" s="560">
        <v>42375</v>
      </c>
      <c r="C499" s="511">
        <v>1000</v>
      </c>
      <c r="D499" s="512">
        <v>11.7</v>
      </c>
      <c r="E499" s="513">
        <v>0</v>
      </c>
      <c r="F499" s="513">
        <f t="shared" si="150"/>
        <v>11700</v>
      </c>
      <c r="G499" s="510">
        <v>42461</v>
      </c>
      <c r="H499" s="528">
        <v>2000</v>
      </c>
      <c r="I499" s="512">
        <v>10.52</v>
      </c>
      <c r="J499" s="513">
        <v>0.46</v>
      </c>
      <c r="K499" s="513">
        <f t="shared" si="149"/>
        <v>21039.54</v>
      </c>
      <c r="L499" s="511"/>
      <c r="M499" s="513"/>
    </row>
    <row r="500" spans="1:13" x14ac:dyDescent="0.25">
      <c r="A500" s="511"/>
      <c r="B500" s="560">
        <v>42402</v>
      </c>
      <c r="C500" s="511">
        <v>400</v>
      </c>
      <c r="D500" s="512">
        <v>9.1</v>
      </c>
      <c r="E500" s="513">
        <v>0</v>
      </c>
      <c r="F500" s="513">
        <f t="shared" si="150"/>
        <v>3640</v>
      </c>
      <c r="G500" s="510">
        <v>42461</v>
      </c>
      <c r="H500" s="528">
        <v>2000</v>
      </c>
      <c r="I500" s="512">
        <v>10.55</v>
      </c>
      <c r="J500" s="513">
        <v>0.46</v>
      </c>
      <c r="K500" s="513">
        <f t="shared" si="149"/>
        <v>21099.54</v>
      </c>
      <c r="L500" s="511"/>
      <c r="M500" s="513"/>
    </row>
    <row r="501" spans="1:13" x14ac:dyDescent="0.25">
      <c r="A501" s="511"/>
      <c r="B501" s="560">
        <v>42411</v>
      </c>
      <c r="C501" s="511">
        <v>500</v>
      </c>
      <c r="D501" s="512">
        <v>6.835</v>
      </c>
      <c r="E501" s="513">
        <v>0</v>
      </c>
      <c r="F501" s="513">
        <f t="shared" si="150"/>
        <v>3417.5</v>
      </c>
      <c r="G501" s="510">
        <v>42465</v>
      </c>
      <c r="H501" s="528">
        <v>100</v>
      </c>
      <c r="I501" s="512">
        <v>10.75</v>
      </c>
      <c r="J501" s="513">
        <v>0.02</v>
      </c>
      <c r="K501" s="513">
        <f t="shared" si="149"/>
        <v>1074.98</v>
      </c>
      <c r="L501" s="511"/>
      <c r="M501" s="513"/>
    </row>
    <row r="502" spans="1:13" x14ac:dyDescent="0.25">
      <c r="A502" s="511"/>
      <c r="B502" s="560">
        <v>42412</v>
      </c>
      <c r="C502" s="511">
        <v>200</v>
      </c>
      <c r="D502" s="512">
        <v>7.23</v>
      </c>
      <c r="E502" s="513">
        <v>0</v>
      </c>
      <c r="F502" s="513">
        <f t="shared" si="150"/>
        <v>1446</v>
      </c>
      <c r="G502" s="510">
        <v>42468</v>
      </c>
      <c r="H502" s="528">
        <v>1000</v>
      </c>
      <c r="I502" s="512">
        <v>11.77</v>
      </c>
      <c r="J502" s="513">
        <v>0.26</v>
      </c>
      <c r="K502" s="513">
        <f t="shared" si="149"/>
        <v>11769.74</v>
      </c>
      <c r="L502" s="511"/>
      <c r="M502" s="513"/>
    </row>
    <row r="503" spans="1:13" x14ac:dyDescent="0.25">
      <c r="A503" s="511"/>
      <c r="B503" s="560">
        <v>42416</v>
      </c>
      <c r="C503" s="511">
        <v>500</v>
      </c>
      <c r="D503" s="512">
        <v>7.5</v>
      </c>
      <c r="E503" s="513">
        <v>0</v>
      </c>
      <c r="F503" s="513">
        <f t="shared" si="150"/>
        <v>3750</v>
      </c>
      <c r="G503" s="624">
        <v>42472</v>
      </c>
      <c r="H503" s="528">
        <v>420</v>
      </c>
      <c r="I503" s="512">
        <v>13.35</v>
      </c>
      <c r="J503" s="513">
        <v>0.15</v>
      </c>
      <c r="K503" s="513">
        <f t="shared" si="149"/>
        <v>5606.85</v>
      </c>
      <c r="L503" s="511"/>
      <c r="M503" s="513"/>
    </row>
    <row r="504" spans="1:13" ht="30" x14ac:dyDescent="0.25">
      <c r="A504" s="511"/>
      <c r="B504" s="627" t="s">
        <v>179</v>
      </c>
      <c r="C504" s="511">
        <v>3000</v>
      </c>
      <c r="D504" s="512">
        <v>7.55</v>
      </c>
      <c r="E504" s="513">
        <v>0</v>
      </c>
      <c r="F504" s="513">
        <f t="shared" si="150"/>
        <v>22650</v>
      </c>
      <c r="G504" s="624"/>
      <c r="H504" s="528">
        <v>80</v>
      </c>
      <c r="I504" s="512">
        <v>13.35</v>
      </c>
      <c r="J504" s="513">
        <v>0</v>
      </c>
      <c r="K504" s="513">
        <f t="shared" si="149"/>
        <v>1068</v>
      </c>
      <c r="L504" s="511"/>
      <c r="M504" s="513"/>
    </row>
    <row r="505" spans="1:13" x14ac:dyDescent="0.25">
      <c r="A505" s="511"/>
      <c r="B505" s="627"/>
      <c r="C505" s="511">
        <v>500</v>
      </c>
      <c r="D505" s="512">
        <v>6.75</v>
      </c>
      <c r="E505" s="513">
        <v>0</v>
      </c>
      <c r="F505" s="513">
        <f t="shared" si="150"/>
        <v>3375</v>
      </c>
      <c r="G505" s="510">
        <v>42472</v>
      </c>
      <c r="H505" s="528">
        <v>500</v>
      </c>
      <c r="I505" s="512">
        <v>13.15</v>
      </c>
      <c r="J505" s="513">
        <v>0.14000000000000001</v>
      </c>
      <c r="K505" s="513">
        <f t="shared" si="149"/>
        <v>6574.86</v>
      </c>
      <c r="L505" s="511"/>
      <c r="M505" s="513"/>
    </row>
    <row r="506" spans="1:13" x14ac:dyDescent="0.25">
      <c r="A506" s="511"/>
      <c r="B506" s="627"/>
      <c r="C506" s="511">
        <v>300</v>
      </c>
      <c r="D506" s="512">
        <v>6.75</v>
      </c>
      <c r="E506" s="513">
        <v>0</v>
      </c>
      <c r="F506" s="513">
        <f t="shared" si="150"/>
        <v>2025</v>
      </c>
      <c r="G506" s="510">
        <v>42472</v>
      </c>
      <c r="H506" s="528">
        <v>500</v>
      </c>
      <c r="I506" s="512">
        <v>12.92</v>
      </c>
      <c r="J506" s="513">
        <v>0.14000000000000001</v>
      </c>
      <c r="K506" s="513">
        <f t="shared" si="149"/>
        <v>6459.86</v>
      </c>
      <c r="L506" s="511"/>
      <c r="M506" s="513"/>
    </row>
    <row r="507" spans="1:13" x14ac:dyDescent="0.25">
      <c r="A507" s="511"/>
      <c r="B507" s="560">
        <v>42426</v>
      </c>
      <c r="C507" s="511">
        <v>600</v>
      </c>
      <c r="D507" s="512">
        <v>7.63</v>
      </c>
      <c r="E507" s="513">
        <v>0</v>
      </c>
      <c r="F507" s="513">
        <f t="shared" si="150"/>
        <v>4578</v>
      </c>
      <c r="G507" s="510">
        <v>42472</v>
      </c>
      <c r="H507" s="528">
        <v>500</v>
      </c>
      <c r="I507" s="512">
        <v>12.59</v>
      </c>
      <c r="J507" s="513">
        <v>0.14000000000000001</v>
      </c>
      <c r="K507" s="513">
        <f t="shared" si="149"/>
        <v>6294.86</v>
      </c>
      <c r="L507" s="511"/>
      <c r="M507" s="513"/>
    </row>
    <row r="508" spans="1:13" x14ac:dyDescent="0.25">
      <c r="A508" s="511"/>
      <c r="B508" s="560">
        <v>42426</v>
      </c>
      <c r="C508" s="511">
        <v>2000</v>
      </c>
      <c r="D508" s="512">
        <v>7.95</v>
      </c>
      <c r="E508" s="513">
        <v>0</v>
      </c>
      <c r="F508" s="513">
        <f t="shared" si="150"/>
        <v>15900</v>
      </c>
      <c r="G508" s="510">
        <v>42474</v>
      </c>
      <c r="H508" s="528">
        <v>500</v>
      </c>
      <c r="I508" s="512">
        <v>13.18</v>
      </c>
      <c r="J508" s="513">
        <v>0.14000000000000001</v>
      </c>
      <c r="K508" s="513">
        <f t="shared" si="149"/>
        <v>6589.86</v>
      </c>
      <c r="L508" s="511"/>
      <c r="M508" s="513"/>
    </row>
    <row r="509" spans="1:13" x14ac:dyDescent="0.25">
      <c r="A509" s="511"/>
      <c r="B509" s="560">
        <v>42429</v>
      </c>
      <c r="C509" s="511">
        <v>2000</v>
      </c>
      <c r="D509" s="512">
        <v>8.1999999999999993</v>
      </c>
      <c r="E509" s="513">
        <v>0</v>
      </c>
      <c r="F509" s="513">
        <f t="shared" si="150"/>
        <v>16400</v>
      </c>
      <c r="G509" s="510">
        <v>42478</v>
      </c>
      <c r="H509" s="528">
        <v>500</v>
      </c>
      <c r="I509" s="512">
        <v>13.4</v>
      </c>
      <c r="J509" s="513">
        <v>0.15</v>
      </c>
      <c r="K509" s="513">
        <f t="shared" si="149"/>
        <v>6699.85</v>
      </c>
      <c r="L509" s="511"/>
      <c r="M509" s="513"/>
    </row>
    <row r="510" spans="1:13" x14ac:dyDescent="0.25">
      <c r="A510" s="513"/>
      <c r="B510" s="560">
        <v>42429</v>
      </c>
      <c r="C510" s="511">
        <v>500</v>
      </c>
      <c r="D510" s="512">
        <v>7.88</v>
      </c>
      <c r="E510" s="513">
        <v>0</v>
      </c>
      <c r="F510" s="513">
        <f t="shared" si="150"/>
        <v>3940</v>
      </c>
      <c r="G510" s="510">
        <v>42486</v>
      </c>
      <c r="H510" s="528">
        <v>500</v>
      </c>
      <c r="I510" s="512">
        <v>14.35</v>
      </c>
      <c r="J510" s="513">
        <v>0.16</v>
      </c>
      <c r="K510" s="513">
        <f t="shared" si="149"/>
        <v>7174.84</v>
      </c>
      <c r="L510" s="511"/>
      <c r="M510" s="513"/>
    </row>
    <row r="511" spans="1:13" x14ac:dyDescent="0.25">
      <c r="A511" s="511"/>
      <c r="B511" s="560">
        <v>42430</v>
      </c>
      <c r="C511" s="511">
        <v>1000</v>
      </c>
      <c r="D511" s="512">
        <v>7.77</v>
      </c>
      <c r="E511" s="513">
        <v>0</v>
      </c>
      <c r="F511" s="513">
        <f t="shared" si="150"/>
        <v>7770</v>
      </c>
      <c r="G511" s="510">
        <v>42487</v>
      </c>
      <c r="H511" s="528">
        <v>600</v>
      </c>
      <c r="I511" s="512">
        <v>14.85</v>
      </c>
      <c r="J511" s="513">
        <v>0.19</v>
      </c>
      <c r="K511" s="513">
        <f t="shared" si="149"/>
        <v>8909.81</v>
      </c>
      <c r="L511" s="511"/>
      <c r="M511" s="513"/>
    </row>
    <row r="512" spans="1:13" x14ac:dyDescent="0.25">
      <c r="A512" s="511"/>
      <c r="B512" s="560">
        <v>42430</v>
      </c>
      <c r="C512" s="511">
        <v>500</v>
      </c>
      <c r="D512" s="512">
        <v>7.94</v>
      </c>
      <c r="E512" s="513">
        <v>0</v>
      </c>
      <c r="F512" s="513">
        <f t="shared" si="150"/>
        <v>3970</v>
      </c>
      <c r="G512" s="510">
        <v>42489</v>
      </c>
      <c r="H512" s="528">
        <v>3000</v>
      </c>
      <c r="I512" s="512">
        <v>14.15</v>
      </c>
      <c r="J512" s="513">
        <v>0.93</v>
      </c>
      <c r="K512" s="513">
        <f t="shared" si="149"/>
        <v>42449.07</v>
      </c>
      <c r="L512" s="511"/>
      <c r="M512" s="513"/>
    </row>
    <row r="513" spans="1:13" x14ac:dyDescent="0.25">
      <c r="A513" s="511"/>
      <c r="B513" s="560">
        <v>42431</v>
      </c>
      <c r="C513" s="511">
        <v>1000</v>
      </c>
      <c r="D513" s="512">
        <v>8.3699999999999992</v>
      </c>
      <c r="E513" s="513">
        <v>0</v>
      </c>
      <c r="F513" s="513">
        <f t="shared" si="150"/>
        <v>8370</v>
      </c>
      <c r="G513" s="510">
        <v>42492</v>
      </c>
      <c r="H513" s="528">
        <v>1000</v>
      </c>
      <c r="I513" s="512">
        <v>13.48</v>
      </c>
      <c r="J513" s="513">
        <v>0.28999999999999998</v>
      </c>
      <c r="K513" s="513">
        <f t="shared" si="149"/>
        <v>13479.71</v>
      </c>
      <c r="L513" s="511"/>
      <c r="M513" s="513"/>
    </row>
    <row r="514" spans="1:13" x14ac:dyDescent="0.25">
      <c r="A514" s="511"/>
      <c r="B514" s="560">
        <v>42432</v>
      </c>
      <c r="C514" s="511">
        <v>600</v>
      </c>
      <c r="D514" s="512">
        <v>9.3699999999999992</v>
      </c>
      <c r="E514" s="513">
        <v>0</v>
      </c>
      <c r="F514" s="513">
        <f t="shared" si="150"/>
        <v>5621.9999999999991</v>
      </c>
      <c r="G514" s="510">
        <v>42492</v>
      </c>
      <c r="H514" s="528">
        <v>1000</v>
      </c>
      <c r="I514" s="512">
        <v>13.61</v>
      </c>
      <c r="J514" s="513">
        <v>0.3</v>
      </c>
      <c r="K514" s="513">
        <f t="shared" si="149"/>
        <v>13609.7</v>
      </c>
      <c r="L514" s="511"/>
      <c r="M514" s="513"/>
    </row>
    <row r="515" spans="1:13" x14ac:dyDescent="0.25">
      <c r="A515" s="511"/>
      <c r="B515" s="560">
        <v>42432</v>
      </c>
      <c r="C515" s="511">
        <v>600</v>
      </c>
      <c r="D515" s="512">
        <v>8.8800000000000008</v>
      </c>
      <c r="E515" s="513">
        <v>0</v>
      </c>
      <c r="F515" s="513">
        <f t="shared" si="150"/>
        <v>5328.0000000000009</v>
      </c>
      <c r="G515" s="510">
        <v>42493</v>
      </c>
      <c r="H515" s="528">
        <v>322</v>
      </c>
      <c r="I515" s="512">
        <v>13.28</v>
      </c>
      <c r="J515" s="513">
        <v>0.09</v>
      </c>
      <c r="K515" s="513">
        <f t="shared" si="149"/>
        <v>4276.07</v>
      </c>
      <c r="L515" s="511"/>
      <c r="M515" s="513"/>
    </row>
    <row r="516" spans="1:13" x14ac:dyDescent="0.25">
      <c r="A516" s="511"/>
      <c r="B516" s="560">
        <v>42433</v>
      </c>
      <c r="C516" s="511">
        <v>600</v>
      </c>
      <c r="D516" s="512">
        <v>10.42</v>
      </c>
      <c r="E516" s="513">
        <v>0</v>
      </c>
      <c r="F516" s="513">
        <f t="shared" si="150"/>
        <v>6252</v>
      </c>
      <c r="G516" s="510">
        <v>42495</v>
      </c>
      <c r="H516" s="528">
        <v>1000</v>
      </c>
      <c r="I516" s="512">
        <v>12.05</v>
      </c>
      <c r="J516" s="513">
        <v>0.26</v>
      </c>
      <c r="K516" s="513">
        <f t="shared" si="149"/>
        <v>12049.74</v>
      </c>
      <c r="L516" s="511"/>
      <c r="M516" s="513"/>
    </row>
    <row r="517" spans="1:13" x14ac:dyDescent="0.25">
      <c r="A517" s="511"/>
      <c r="B517" s="560">
        <v>42440</v>
      </c>
      <c r="C517" s="511">
        <v>400</v>
      </c>
      <c r="D517" s="512">
        <v>11.12</v>
      </c>
      <c r="E517" s="513">
        <v>0</v>
      </c>
      <c r="F517" s="513">
        <f t="shared" si="150"/>
        <v>4448</v>
      </c>
      <c r="G517" s="510">
        <v>42495</v>
      </c>
      <c r="H517" s="528">
        <v>2000</v>
      </c>
      <c r="I517" s="512">
        <v>12.63</v>
      </c>
      <c r="J517" s="513">
        <v>0.55000000000000004</v>
      </c>
      <c r="K517" s="513">
        <f t="shared" si="149"/>
        <v>25259.45</v>
      </c>
      <c r="L517" s="511"/>
      <c r="M517" s="513"/>
    </row>
    <row r="518" spans="1:13" x14ac:dyDescent="0.25">
      <c r="A518" s="511"/>
      <c r="B518" s="560">
        <v>42446</v>
      </c>
      <c r="C518" s="511">
        <v>1500</v>
      </c>
      <c r="D518" s="512">
        <v>11.445</v>
      </c>
      <c r="E518" s="513">
        <v>0</v>
      </c>
      <c r="F518" s="513">
        <f t="shared" si="150"/>
        <v>17167.5</v>
      </c>
      <c r="G518" s="510">
        <v>42500</v>
      </c>
      <c r="H518" s="528">
        <v>1000</v>
      </c>
      <c r="I518" s="512">
        <v>11.66</v>
      </c>
      <c r="J518" s="513">
        <v>5.25</v>
      </c>
      <c r="K518" s="513">
        <f t="shared" si="149"/>
        <v>11654.75</v>
      </c>
      <c r="L518" s="511"/>
      <c r="M518" s="513"/>
    </row>
    <row r="519" spans="1:13" x14ac:dyDescent="0.25">
      <c r="A519" s="511"/>
      <c r="B519" s="623">
        <v>42447</v>
      </c>
      <c r="C519" s="511">
        <v>1500</v>
      </c>
      <c r="D519" s="512">
        <v>11.42</v>
      </c>
      <c r="E519" s="513">
        <v>0</v>
      </c>
      <c r="F519" s="513">
        <f t="shared" si="150"/>
        <v>17130</v>
      </c>
      <c r="G519" s="510">
        <v>42502</v>
      </c>
      <c r="H519" s="528">
        <v>1500</v>
      </c>
      <c r="I519" s="512">
        <v>12.36</v>
      </c>
      <c r="J519" s="513">
        <v>0.4</v>
      </c>
      <c r="K519" s="513">
        <f t="shared" si="149"/>
        <v>18539.599999999999</v>
      </c>
      <c r="L519" s="511"/>
      <c r="M519" s="513"/>
    </row>
    <row r="520" spans="1:13" x14ac:dyDescent="0.25">
      <c r="A520" s="511"/>
      <c r="B520" s="628"/>
      <c r="C520" s="511">
        <v>500</v>
      </c>
      <c r="D520" s="512">
        <v>11.42</v>
      </c>
      <c r="E520" s="513">
        <v>0</v>
      </c>
      <c r="F520" s="513">
        <f t="shared" si="150"/>
        <v>5710</v>
      </c>
      <c r="G520" s="510">
        <v>42503</v>
      </c>
      <c r="H520" s="528">
        <v>500</v>
      </c>
      <c r="I520" s="512">
        <v>12.49</v>
      </c>
      <c r="J520" s="513">
        <v>0.14000000000000001</v>
      </c>
      <c r="K520" s="513">
        <f t="shared" si="149"/>
        <v>6244.86</v>
      </c>
      <c r="L520" s="511"/>
      <c r="M520" s="513"/>
    </row>
    <row r="521" spans="1:13" x14ac:dyDescent="0.25">
      <c r="A521" s="511"/>
      <c r="B521" s="560">
        <v>42447</v>
      </c>
      <c r="C521" s="511">
        <v>650</v>
      </c>
      <c r="D521" s="512">
        <v>11.545</v>
      </c>
      <c r="E521" s="513">
        <v>0.75</v>
      </c>
      <c r="F521" s="513">
        <f t="shared" si="150"/>
        <v>7505</v>
      </c>
      <c r="G521" s="510">
        <v>42506</v>
      </c>
      <c r="H521" s="528">
        <v>300</v>
      </c>
      <c r="I521" s="512">
        <v>12.85</v>
      </c>
      <c r="J521" s="513">
        <v>0.08</v>
      </c>
      <c r="K521" s="513">
        <f t="shared" si="149"/>
        <v>3854.92</v>
      </c>
      <c r="L521" s="511"/>
      <c r="M521" s="513"/>
    </row>
    <row r="522" spans="1:13" x14ac:dyDescent="0.25">
      <c r="A522" s="511"/>
      <c r="B522" s="560">
        <v>42450</v>
      </c>
      <c r="C522" s="511">
        <v>1350</v>
      </c>
      <c r="D522" s="512">
        <v>11.42</v>
      </c>
      <c r="E522" s="513">
        <v>0</v>
      </c>
      <c r="F522" s="513">
        <f t="shared" si="150"/>
        <v>15417</v>
      </c>
      <c r="G522" s="510">
        <v>42513</v>
      </c>
      <c r="H522" s="528">
        <v>500</v>
      </c>
      <c r="I522" s="512">
        <v>13.05</v>
      </c>
      <c r="J522" s="513">
        <v>0.14000000000000001</v>
      </c>
      <c r="K522" s="513">
        <f t="shared" si="149"/>
        <v>6524.86</v>
      </c>
      <c r="L522" s="511"/>
      <c r="M522" s="513"/>
    </row>
    <row r="523" spans="1:13" x14ac:dyDescent="0.25">
      <c r="A523" s="511"/>
      <c r="B523" s="560">
        <v>42451</v>
      </c>
      <c r="C523" s="511">
        <v>1000</v>
      </c>
      <c r="D523" s="512">
        <v>11.38</v>
      </c>
      <c r="E523" s="513">
        <v>0</v>
      </c>
      <c r="F523" s="513">
        <f t="shared" si="150"/>
        <v>11380</v>
      </c>
      <c r="G523" s="510">
        <v>42515</v>
      </c>
      <c r="H523" s="528">
        <v>500</v>
      </c>
      <c r="I523" s="512">
        <v>13.59</v>
      </c>
      <c r="J523" s="513">
        <v>0.15</v>
      </c>
      <c r="K523" s="513">
        <f t="shared" si="149"/>
        <v>6794.85</v>
      </c>
      <c r="L523" s="511"/>
      <c r="M523" s="513"/>
    </row>
    <row r="524" spans="1:13" x14ac:dyDescent="0.25">
      <c r="A524" s="511"/>
      <c r="B524" s="623">
        <v>42451</v>
      </c>
      <c r="C524" s="511">
        <v>50</v>
      </c>
      <c r="D524" s="512">
        <v>11.22</v>
      </c>
      <c r="E524" s="513">
        <v>0</v>
      </c>
      <c r="F524" s="513">
        <f t="shared" si="150"/>
        <v>561</v>
      </c>
      <c r="G524" s="510">
        <v>42515</v>
      </c>
      <c r="H524" s="528">
        <v>500</v>
      </c>
      <c r="I524" s="512">
        <v>13.57</v>
      </c>
      <c r="J524" s="513">
        <v>0.15</v>
      </c>
      <c r="K524" s="513">
        <f t="shared" si="149"/>
        <v>6784.85</v>
      </c>
      <c r="L524" s="511"/>
      <c r="M524" s="513"/>
    </row>
    <row r="525" spans="1:13" x14ac:dyDescent="0.25">
      <c r="A525" s="511"/>
      <c r="B525" s="623"/>
      <c r="C525" s="511">
        <v>350</v>
      </c>
      <c r="D525" s="512">
        <v>11.22</v>
      </c>
      <c r="E525" s="513">
        <v>0</v>
      </c>
      <c r="F525" s="513">
        <f t="shared" si="150"/>
        <v>3927</v>
      </c>
      <c r="G525" s="510">
        <v>42517</v>
      </c>
      <c r="H525" s="528">
        <v>500</v>
      </c>
      <c r="I525" s="512">
        <v>12.87</v>
      </c>
      <c r="J525" s="513">
        <v>0.14000000000000001</v>
      </c>
      <c r="K525" s="513">
        <f t="shared" si="149"/>
        <v>6434.86</v>
      </c>
      <c r="L525" s="511"/>
      <c r="M525" s="513"/>
    </row>
    <row r="526" spans="1:13" ht="45" x14ac:dyDescent="0.25">
      <c r="A526" s="511"/>
      <c r="B526" s="627" t="s">
        <v>193</v>
      </c>
      <c r="C526" s="511">
        <v>650</v>
      </c>
      <c r="D526" s="512">
        <v>11.22</v>
      </c>
      <c r="E526" s="513">
        <v>0</v>
      </c>
      <c r="F526" s="513">
        <f t="shared" si="150"/>
        <v>7293</v>
      </c>
      <c r="G526" s="510">
        <v>42524</v>
      </c>
      <c r="H526" s="528">
        <v>400</v>
      </c>
      <c r="I526" s="512">
        <v>13.38</v>
      </c>
      <c r="J526" s="513">
        <v>0.12</v>
      </c>
      <c r="K526" s="513">
        <f t="shared" si="149"/>
        <v>5351.88</v>
      </c>
      <c r="L526" s="511"/>
      <c r="M526" s="513"/>
    </row>
    <row r="527" spans="1:13" x14ac:dyDescent="0.25">
      <c r="A527" s="511"/>
      <c r="B527" s="627"/>
      <c r="C527" s="511">
        <v>500</v>
      </c>
      <c r="D527" s="512">
        <v>11.01</v>
      </c>
      <c r="E527" s="513">
        <v>0</v>
      </c>
      <c r="F527" s="513">
        <f t="shared" si="150"/>
        <v>5505</v>
      </c>
      <c r="G527" s="510">
        <v>42527</v>
      </c>
      <c r="H527" s="528">
        <v>1000</v>
      </c>
      <c r="I527" s="512">
        <v>13.82</v>
      </c>
      <c r="J527" s="513">
        <v>0.3</v>
      </c>
      <c r="K527" s="513">
        <f t="shared" si="149"/>
        <v>13819.7</v>
      </c>
      <c r="L527" s="511"/>
      <c r="M527" s="513"/>
    </row>
    <row r="528" spans="1:13" x14ac:dyDescent="0.25">
      <c r="A528" s="511"/>
      <c r="B528" s="627"/>
      <c r="C528" s="511">
        <v>500</v>
      </c>
      <c r="D528" s="512">
        <v>10.75</v>
      </c>
      <c r="E528" s="513">
        <v>0</v>
      </c>
      <c r="F528" s="513">
        <f t="shared" si="150"/>
        <v>5375</v>
      </c>
      <c r="G528" s="510">
        <v>42527</v>
      </c>
      <c r="H528" s="528">
        <v>500</v>
      </c>
      <c r="I528" s="512">
        <v>13.97</v>
      </c>
      <c r="J528" s="513">
        <v>1.1499999999999999</v>
      </c>
      <c r="K528" s="513">
        <f t="shared" si="149"/>
        <v>6983.85</v>
      </c>
      <c r="L528" s="511"/>
      <c r="M528" s="513"/>
    </row>
    <row r="529" spans="1:13" x14ac:dyDescent="0.25">
      <c r="A529" s="511"/>
      <c r="B529" s="627"/>
      <c r="C529" s="511">
        <v>1000</v>
      </c>
      <c r="D529" s="512">
        <v>10.4</v>
      </c>
      <c r="E529" s="513">
        <v>0</v>
      </c>
      <c r="F529" s="513">
        <f t="shared" si="150"/>
        <v>10400</v>
      </c>
      <c r="G529" s="510">
        <v>42528</v>
      </c>
      <c r="H529" s="528">
        <v>500</v>
      </c>
      <c r="I529" s="512">
        <v>14.65</v>
      </c>
      <c r="J529" s="513">
        <v>0.16</v>
      </c>
      <c r="K529" s="513">
        <f t="shared" si="149"/>
        <v>7324.84</v>
      </c>
      <c r="L529" s="511"/>
      <c r="M529" s="513"/>
    </row>
    <row r="530" spans="1:13" x14ac:dyDescent="0.25">
      <c r="A530" s="511"/>
      <c r="B530" s="627"/>
      <c r="C530" s="511">
        <v>1000</v>
      </c>
      <c r="D530" s="512">
        <v>10.185</v>
      </c>
      <c r="E530" s="513">
        <v>0</v>
      </c>
      <c r="F530" s="513">
        <f t="shared" si="150"/>
        <v>10185</v>
      </c>
      <c r="G530" s="510">
        <v>42536</v>
      </c>
      <c r="H530" s="528">
        <v>400</v>
      </c>
      <c r="I530" s="512">
        <v>13.43</v>
      </c>
      <c r="J530" s="513">
        <v>0.12</v>
      </c>
      <c r="K530" s="513">
        <f t="shared" si="149"/>
        <v>5371.88</v>
      </c>
      <c r="L530" s="511"/>
      <c r="M530" s="513"/>
    </row>
    <row r="531" spans="1:13" x14ac:dyDescent="0.25">
      <c r="A531" s="511"/>
      <c r="B531" s="560">
        <v>42461</v>
      </c>
      <c r="C531" s="511">
        <v>2000</v>
      </c>
      <c r="D531" s="512">
        <v>10.43</v>
      </c>
      <c r="E531" s="513">
        <v>0</v>
      </c>
      <c r="F531" s="513">
        <f t="shared" si="150"/>
        <v>20860</v>
      </c>
      <c r="G531" s="510">
        <v>42537</v>
      </c>
      <c r="H531" s="528">
        <v>400</v>
      </c>
      <c r="I531" s="512">
        <v>12.69</v>
      </c>
      <c r="J531" s="513">
        <v>0.11</v>
      </c>
      <c r="K531" s="513">
        <f t="shared" si="149"/>
        <v>5075.8900000000003</v>
      </c>
      <c r="L531" s="511"/>
      <c r="M531" s="513"/>
    </row>
    <row r="532" spans="1:13" x14ac:dyDescent="0.25">
      <c r="A532" s="511"/>
      <c r="B532" s="560">
        <v>42461</v>
      </c>
      <c r="C532" s="511">
        <v>2000</v>
      </c>
      <c r="D532" s="512">
        <v>10.42</v>
      </c>
      <c r="E532" s="513">
        <v>0</v>
      </c>
      <c r="F532" s="513">
        <f t="shared" si="150"/>
        <v>20840</v>
      </c>
      <c r="G532" s="510">
        <v>42538</v>
      </c>
      <c r="H532" s="528">
        <v>500</v>
      </c>
      <c r="I532" s="512">
        <v>13.34</v>
      </c>
      <c r="J532" s="513">
        <v>0.15</v>
      </c>
      <c r="K532" s="513">
        <f t="shared" si="149"/>
        <v>6669.85</v>
      </c>
      <c r="L532" s="511"/>
      <c r="M532" s="513"/>
    </row>
    <row r="533" spans="1:13" ht="45" x14ac:dyDescent="0.25">
      <c r="A533" s="511"/>
      <c r="B533" s="560">
        <v>42465</v>
      </c>
      <c r="C533" s="511">
        <v>100</v>
      </c>
      <c r="D533" s="512">
        <v>10.4</v>
      </c>
      <c r="E533" s="513">
        <v>0</v>
      </c>
      <c r="F533" s="513">
        <f t="shared" si="150"/>
        <v>1040</v>
      </c>
      <c r="G533" s="629" t="s">
        <v>220</v>
      </c>
      <c r="H533" s="528">
        <v>500</v>
      </c>
      <c r="I533" s="512">
        <v>13.91</v>
      </c>
      <c r="J533" s="513">
        <v>0.15</v>
      </c>
      <c r="K533" s="513">
        <f t="shared" si="149"/>
        <v>6954.85</v>
      </c>
      <c r="L533" s="511"/>
      <c r="M533" s="513"/>
    </row>
    <row r="534" spans="1:13" x14ac:dyDescent="0.25">
      <c r="A534" s="511"/>
      <c r="B534" s="560">
        <v>42471</v>
      </c>
      <c r="C534" s="511">
        <v>500</v>
      </c>
      <c r="D534" s="512">
        <v>11.77</v>
      </c>
      <c r="E534" s="513">
        <v>0</v>
      </c>
      <c r="F534" s="513">
        <f t="shared" si="150"/>
        <v>5885</v>
      </c>
      <c r="G534" s="629"/>
      <c r="H534" s="528">
        <v>600</v>
      </c>
      <c r="I534" s="512">
        <v>14.36</v>
      </c>
      <c r="J534" s="513">
        <v>0.19</v>
      </c>
      <c r="K534" s="513">
        <f t="shared" si="149"/>
        <v>8615.81</v>
      </c>
      <c r="L534" s="511"/>
      <c r="M534" s="513"/>
    </row>
    <row r="535" spans="1:13" x14ac:dyDescent="0.25">
      <c r="A535" s="511"/>
      <c r="B535" s="560">
        <v>42471</v>
      </c>
      <c r="C535" s="511">
        <v>500</v>
      </c>
      <c r="D535" s="512">
        <v>11.55</v>
      </c>
      <c r="E535" s="513">
        <v>0</v>
      </c>
      <c r="F535" s="513">
        <f t="shared" si="150"/>
        <v>5775</v>
      </c>
      <c r="G535" s="629"/>
      <c r="H535" s="528">
        <v>500</v>
      </c>
      <c r="I535" s="512">
        <v>14.65</v>
      </c>
      <c r="J535" s="513">
        <v>0.16</v>
      </c>
      <c r="K535" s="513">
        <f t="shared" si="149"/>
        <v>7324.84</v>
      </c>
      <c r="L535" s="511"/>
      <c r="M535" s="513"/>
    </row>
    <row r="536" spans="1:13" x14ac:dyDescent="0.25">
      <c r="A536" s="511"/>
      <c r="B536" s="560">
        <v>42472</v>
      </c>
      <c r="C536" s="511">
        <v>610</v>
      </c>
      <c r="D536" s="512">
        <v>12.95</v>
      </c>
      <c r="E536" s="513">
        <v>0</v>
      </c>
      <c r="F536" s="513">
        <f t="shared" si="150"/>
        <v>7899.5</v>
      </c>
      <c r="G536" s="510">
        <v>42542</v>
      </c>
      <c r="H536" s="528">
        <v>500</v>
      </c>
      <c r="I536" s="512">
        <v>14.95</v>
      </c>
      <c r="J536" s="513">
        <v>0.16</v>
      </c>
      <c r="K536" s="513">
        <f t="shared" si="149"/>
        <v>7474.84</v>
      </c>
      <c r="L536" s="511"/>
      <c r="M536" s="513"/>
    </row>
    <row r="537" spans="1:13" x14ac:dyDescent="0.25">
      <c r="A537" s="511"/>
      <c r="B537" s="560">
        <v>42473</v>
      </c>
      <c r="C537" s="511">
        <v>970</v>
      </c>
      <c r="D537" s="512">
        <v>12.76</v>
      </c>
      <c r="E537" s="513">
        <v>4.0999999999999996</v>
      </c>
      <c r="F537" s="513">
        <f t="shared" si="150"/>
        <v>12381.3</v>
      </c>
      <c r="G537" s="510">
        <v>42542</v>
      </c>
      <c r="H537" s="528">
        <v>378</v>
      </c>
      <c r="I537" s="512">
        <v>15.2</v>
      </c>
      <c r="J537" s="513">
        <v>0.13</v>
      </c>
      <c r="K537" s="513">
        <f t="shared" si="149"/>
        <v>5745.4699999999993</v>
      </c>
      <c r="L537" s="511"/>
      <c r="M537" s="513"/>
    </row>
    <row r="538" spans="1:13" x14ac:dyDescent="0.25">
      <c r="A538" s="511"/>
      <c r="B538" s="560">
        <v>42474</v>
      </c>
      <c r="C538" s="511">
        <v>420</v>
      </c>
      <c r="D538" s="512">
        <v>12.755000000000001</v>
      </c>
      <c r="E538" s="513">
        <v>0.34</v>
      </c>
      <c r="F538" s="513">
        <f t="shared" si="150"/>
        <v>5357.4400000000005</v>
      </c>
      <c r="G538" s="511"/>
      <c r="H538" s="528"/>
      <c r="I538" s="512"/>
      <c r="J538" s="513"/>
      <c r="K538" s="513"/>
      <c r="L538" s="511"/>
      <c r="M538" s="513"/>
    </row>
    <row r="539" spans="1:13" x14ac:dyDescent="0.25">
      <c r="A539" s="511"/>
      <c r="B539" s="560">
        <v>42475</v>
      </c>
      <c r="C539" s="511">
        <v>500</v>
      </c>
      <c r="D539" s="512">
        <v>13.02</v>
      </c>
      <c r="E539" s="513">
        <v>-1.75</v>
      </c>
      <c r="F539" s="513">
        <f t="shared" si="150"/>
        <v>6508.25</v>
      </c>
      <c r="G539" s="511"/>
      <c r="H539" s="528"/>
      <c r="I539" s="512"/>
      <c r="J539" s="513"/>
      <c r="K539" s="513"/>
      <c r="L539" s="511"/>
      <c r="M539" s="513"/>
    </row>
    <row r="540" spans="1:13" x14ac:dyDescent="0.25">
      <c r="A540" s="511"/>
      <c r="B540" s="560">
        <v>42485</v>
      </c>
      <c r="C540" s="511">
        <v>500</v>
      </c>
      <c r="D540" s="512">
        <v>13.95</v>
      </c>
      <c r="E540" s="513">
        <v>0</v>
      </c>
      <c r="F540" s="513">
        <f t="shared" si="150"/>
        <v>6975</v>
      </c>
      <c r="G540" s="511"/>
      <c r="H540" s="528"/>
      <c r="I540" s="512"/>
      <c r="J540" s="513"/>
      <c r="K540" s="513"/>
      <c r="L540" s="511"/>
      <c r="M540" s="513"/>
    </row>
    <row r="541" spans="1:13" x14ac:dyDescent="0.25">
      <c r="A541" s="511"/>
      <c r="B541" s="560">
        <v>42487</v>
      </c>
      <c r="C541" s="511">
        <v>600</v>
      </c>
      <c r="D541" s="512">
        <v>14.63</v>
      </c>
      <c r="E541" s="513">
        <v>0</v>
      </c>
      <c r="F541" s="513">
        <f t="shared" si="150"/>
        <v>8778</v>
      </c>
      <c r="G541" s="511"/>
      <c r="H541" s="528"/>
      <c r="I541" s="512"/>
      <c r="J541" s="513"/>
      <c r="K541" s="513"/>
      <c r="L541" s="511"/>
      <c r="M541" s="513"/>
    </row>
    <row r="542" spans="1:13" x14ac:dyDescent="0.25">
      <c r="A542" s="511"/>
      <c r="B542" s="560">
        <v>42488</v>
      </c>
      <c r="C542" s="511">
        <v>500</v>
      </c>
      <c r="D542" s="512">
        <v>14.52</v>
      </c>
      <c r="E542" s="513">
        <v>0</v>
      </c>
      <c r="F542" s="513">
        <f t="shared" si="150"/>
        <v>7260</v>
      </c>
      <c r="G542" s="511"/>
      <c r="H542" s="528"/>
      <c r="I542" s="512"/>
      <c r="J542" s="513"/>
      <c r="K542" s="513"/>
      <c r="L542" s="511"/>
      <c r="M542" s="513"/>
    </row>
    <row r="543" spans="1:13" ht="30" x14ac:dyDescent="0.25">
      <c r="A543" s="630" t="s">
        <v>198</v>
      </c>
      <c r="B543" s="560">
        <v>42489</v>
      </c>
      <c r="C543" s="511">
        <v>500</v>
      </c>
      <c r="D543" s="512">
        <v>14.35</v>
      </c>
      <c r="E543" s="513">
        <v>0</v>
      </c>
      <c r="F543" s="513">
        <f t="shared" si="150"/>
        <v>7175</v>
      </c>
      <c r="G543" s="511"/>
      <c r="H543" s="528"/>
      <c r="I543" s="512"/>
      <c r="J543" s="513"/>
      <c r="K543" s="513"/>
      <c r="L543" s="511"/>
      <c r="M543" s="513"/>
    </row>
    <row r="544" spans="1:13" x14ac:dyDescent="0.25">
      <c r="A544" s="630"/>
      <c r="B544" s="560">
        <v>42489</v>
      </c>
      <c r="C544" s="511">
        <v>500</v>
      </c>
      <c r="D544" s="512">
        <v>14.15</v>
      </c>
      <c r="E544" s="513">
        <v>0</v>
      </c>
      <c r="F544" s="513">
        <f t="shared" si="150"/>
        <v>7075</v>
      </c>
      <c r="G544" s="511"/>
      <c r="H544" s="528"/>
      <c r="I544" s="512"/>
      <c r="J544" s="513"/>
      <c r="K544" s="513"/>
      <c r="L544" s="511"/>
      <c r="M544" s="513"/>
    </row>
    <row r="545" spans="1:13" x14ac:dyDescent="0.25">
      <c r="A545" s="630"/>
      <c r="B545" s="560">
        <v>42489</v>
      </c>
      <c r="C545" s="511">
        <v>1000</v>
      </c>
      <c r="D545" s="512">
        <v>13.92</v>
      </c>
      <c r="E545" s="513">
        <v>0</v>
      </c>
      <c r="F545" s="513">
        <f t="shared" si="150"/>
        <v>13920</v>
      </c>
      <c r="G545" s="511"/>
      <c r="H545" s="528"/>
      <c r="I545" s="512"/>
      <c r="J545" s="513"/>
      <c r="K545" s="513"/>
      <c r="L545" s="511"/>
      <c r="M545" s="513"/>
    </row>
    <row r="546" spans="1:13" x14ac:dyDescent="0.25">
      <c r="A546" s="630"/>
      <c r="B546" s="560">
        <v>42489</v>
      </c>
      <c r="C546" s="511">
        <v>1000</v>
      </c>
      <c r="D546" s="512">
        <v>13.8</v>
      </c>
      <c r="E546" s="513">
        <v>0</v>
      </c>
      <c r="F546" s="513">
        <f t="shared" si="150"/>
        <v>13800</v>
      </c>
      <c r="G546" s="511"/>
      <c r="H546" s="528"/>
      <c r="I546" s="512"/>
      <c r="J546" s="513"/>
      <c r="K546" s="513"/>
      <c r="L546" s="511"/>
      <c r="M546" s="513"/>
    </row>
    <row r="547" spans="1:13" x14ac:dyDescent="0.25">
      <c r="A547" s="511"/>
      <c r="B547" s="560">
        <v>42492</v>
      </c>
      <c r="C547" s="511">
        <v>1500</v>
      </c>
      <c r="D547" s="512">
        <v>13.25</v>
      </c>
      <c r="E547" s="513">
        <v>0</v>
      </c>
      <c r="F547" s="513">
        <f t="shared" si="150"/>
        <v>19875</v>
      </c>
      <c r="G547" s="511"/>
      <c r="H547" s="528"/>
      <c r="I547" s="512"/>
      <c r="J547" s="513"/>
      <c r="K547" s="513"/>
      <c r="L547" s="511"/>
      <c r="M547" s="513"/>
    </row>
    <row r="548" spans="1:13" x14ac:dyDescent="0.25">
      <c r="A548" s="511"/>
      <c r="B548" s="560">
        <v>42492</v>
      </c>
      <c r="C548" s="511">
        <v>500</v>
      </c>
      <c r="D548" s="512">
        <v>13.6</v>
      </c>
      <c r="E548" s="513">
        <v>0</v>
      </c>
      <c r="F548" s="513">
        <f t="shared" si="150"/>
        <v>6800</v>
      </c>
      <c r="G548" s="511"/>
      <c r="H548" s="528"/>
      <c r="I548" s="512"/>
      <c r="J548" s="513"/>
      <c r="K548" s="513"/>
      <c r="L548" s="511"/>
      <c r="M548" s="513"/>
    </row>
    <row r="549" spans="1:13" x14ac:dyDescent="0.25">
      <c r="A549" s="511"/>
      <c r="B549" s="560">
        <v>42493</v>
      </c>
      <c r="C549" s="511">
        <v>322</v>
      </c>
      <c r="D549" s="512">
        <v>12.85</v>
      </c>
      <c r="E549" s="513">
        <v>0</v>
      </c>
      <c r="F549" s="513">
        <f t="shared" si="150"/>
        <v>4137.7</v>
      </c>
      <c r="G549" s="511"/>
      <c r="H549" s="528"/>
      <c r="I549" s="512"/>
      <c r="J549" s="513"/>
      <c r="K549" s="513"/>
      <c r="L549" s="511"/>
      <c r="M549" s="513"/>
    </row>
    <row r="550" spans="1:13" ht="30" x14ac:dyDescent="0.25">
      <c r="A550" s="614" t="s">
        <v>202</v>
      </c>
      <c r="B550" s="560">
        <v>42494</v>
      </c>
      <c r="C550" s="511">
        <v>1000</v>
      </c>
      <c r="D550" s="512">
        <v>12.25</v>
      </c>
      <c r="E550" s="513">
        <v>0</v>
      </c>
      <c r="F550" s="513">
        <f t="shared" si="150"/>
        <v>12250</v>
      </c>
      <c r="G550" s="511"/>
      <c r="H550" s="528"/>
      <c r="I550" s="512"/>
      <c r="J550" s="513"/>
      <c r="K550" s="513"/>
      <c r="L550" s="511"/>
      <c r="M550" s="513"/>
    </row>
    <row r="551" spans="1:13" x14ac:dyDescent="0.25">
      <c r="A551" s="614"/>
      <c r="B551" s="560">
        <v>42494</v>
      </c>
      <c r="C551" s="511">
        <v>500</v>
      </c>
      <c r="D551" s="512">
        <v>12.53</v>
      </c>
      <c r="E551" s="513">
        <v>0</v>
      </c>
      <c r="F551" s="513">
        <f t="shared" si="150"/>
        <v>6265</v>
      </c>
      <c r="G551" s="511"/>
      <c r="H551" s="528"/>
      <c r="I551" s="512"/>
      <c r="J551" s="513"/>
      <c r="K551" s="513"/>
      <c r="L551" s="511"/>
      <c r="M551" s="513"/>
    </row>
    <row r="552" spans="1:13" x14ac:dyDescent="0.25">
      <c r="A552" s="614"/>
      <c r="B552" s="560">
        <v>42494</v>
      </c>
      <c r="C552" s="511">
        <v>500</v>
      </c>
      <c r="D552" s="512">
        <v>12.65</v>
      </c>
      <c r="E552" s="513">
        <v>0</v>
      </c>
      <c r="F552" s="513">
        <f t="shared" si="150"/>
        <v>6325</v>
      </c>
      <c r="G552" s="511"/>
      <c r="H552" s="528"/>
      <c r="I552" s="512"/>
      <c r="J552" s="513"/>
      <c r="K552" s="513"/>
      <c r="L552" s="511"/>
      <c r="M552" s="513"/>
    </row>
    <row r="553" spans="1:13" x14ac:dyDescent="0.25">
      <c r="A553" s="511"/>
      <c r="B553" s="560">
        <v>42495</v>
      </c>
      <c r="C553" s="511">
        <v>1000</v>
      </c>
      <c r="D553" s="512">
        <v>11.95</v>
      </c>
      <c r="E553" s="513">
        <v>0</v>
      </c>
      <c r="F553" s="513">
        <f t="shared" si="150"/>
        <v>11950</v>
      </c>
      <c r="G553" s="511"/>
      <c r="H553" s="528"/>
      <c r="I553" s="512"/>
      <c r="J553" s="513"/>
      <c r="K553" s="513"/>
      <c r="L553" s="511"/>
      <c r="M553" s="513"/>
    </row>
    <row r="554" spans="1:13" x14ac:dyDescent="0.25">
      <c r="A554" s="511"/>
      <c r="B554" s="560">
        <v>42499</v>
      </c>
      <c r="C554" s="511">
        <v>500</v>
      </c>
      <c r="D554" s="512">
        <v>11.48</v>
      </c>
      <c r="E554" s="513">
        <v>0</v>
      </c>
      <c r="F554" s="513">
        <f t="shared" si="150"/>
        <v>5740</v>
      </c>
      <c r="G554" s="511"/>
      <c r="H554" s="528"/>
      <c r="I554" s="512"/>
      <c r="J554" s="513"/>
      <c r="K554" s="513"/>
      <c r="L554" s="511"/>
      <c r="M554" s="513"/>
    </row>
    <row r="555" spans="1:13" x14ac:dyDescent="0.25">
      <c r="A555" s="511"/>
      <c r="B555" s="560">
        <v>42499</v>
      </c>
      <c r="C555" s="511">
        <v>500</v>
      </c>
      <c r="D555" s="512">
        <v>11.32</v>
      </c>
      <c r="E555" s="513">
        <v>0</v>
      </c>
      <c r="F555" s="513">
        <f t="shared" si="150"/>
        <v>5660</v>
      </c>
      <c r="G555" s="511"/>
      <c r="H555" s="528"/>
      <c r="I555" s="512"/>
      <c r="J555" s="513"/>
      <c r="K555" s="513"/>
      <c r="L555" s="511"/>
      <c r="M555" s="513"/>
    </row>
    <row r="556" spans="1:13" ht="30" x14ac:dyDescent="0.25">
      <c r="A556" s="630" t="s">
        <v>205</v>
      </c>
      <c r="B556" s="560">
        <v>42502</v>
      </c>
      <c r="C556" s="511">
        <v>500</v>
      </c>
      <c r="D556" s="512">
        <v>12.38</v>
      </c>
      <c r="E556" s="513">
        <v>0</v>
      </c>
      <c r="F556" s="513">
        <f t="shared" si="150"/>
        <v>6190</v>
      </c>
      <c r="G556" s="511"/>
      <c r="H556" s="528"/>
      <c r="I556" s="512"/>
      <c r="J556" s="513"/>
      <c r="K556" s="513"/>
      <c r="L556" s="511"/>
      <c r="M556" s="513"/>
    </row>
    <row r="557" spans="1:13" x14ac:dyDescent="0.25">
      <c r="A557" s="630"/>
      <c r="B557" s="560">
        <v>42502</v>
      </c>
      <c r="C557" s="511">
        <v>500</v>
      </c>
      <c r="D557" s="512">
        <v>12.3</v>
      </c>
      <c r="E557" s="513">
        <v>0</v>
      </c>
      <c r="F557" s="513">
        <f t="shared" si="150"/>
        <v>6150</v>
      </c>
      <c r="G557" s="511"/>
      <c r="H557" s="528"/>
      <c r="I557" s="512"/>
      <c r="J557" s="513"/>
      <c r="K557" s="513"/>
      <c r="L557" s="511"/>
      <c r="M557" s="513"/>
    </row>
    <row r="558" spans="1:13" x14ac:dyDescent="0.25">
      <c r="A558" s="630"/>
      <c r="B558" s="560">
        <v>42502</v>
      </c>
      <c r="C558" s="511">
        <v>500</v>
      </c>
      <c r="D558" s="512">
        <v>12.23</v>
      </c>
      <c r="E558" s="513">
        <v>0</v>
      </c>
      <c r="F558" s="513">
        <f t="shared" si="150"/>
        <v>6115</v>
      </c>
      <c r="G558" s="511"/>
      <c r="H558" s="528"/>
      <c r="I558" s="512"/>
      <c r="J558" s="513"/>
      <c r="K558" s="513"/>
      <c r="L558" s="511"/>
      <c r="M558" s="513"/>
    </row>
    <row r="559" spans="1:13" x14ac:dyDescent="0.25">
      <c r="A559" s="511"/>
      <c r="B559" s="560">
        <v>42503</v>
      </c>
      <c r="C559" s="511">
        <v>500</v>
      </c>
      <c r="D559" s="512">
        <v>12.41</v>
      </c>
      <c r="E559" s="513">
        <v>0</v>
      </c>
      <c r="F559" s="513">
        <f t="shared" si="150"/>
        <v>6205</v>
      </c>
      <c r="G559" s="511"/>
      <c r="H559" s="528"/>
      <c r="I559" s="512"/>
      <c r="J559" s="513"/>
      <c r="K559" s="513"/>
      <c r="L559" s="511"/>
      <c r="M559" s="513"/>
    </row>
    <row r="560" spans="1:13" x14ac:dyDescent="0.25">
      <c r="A560" s="511"/>
      <c r="B560" s="560">
        <v>42506</v>
      </c>
      <c r="C560" s="511">
        <v>300</v>
      </c>
      <c r="D560" s="512">
        <v>12.8</v>
      </c>
      <c r="E560" s="513">
        <v>0</v>
      </c>
      <c r="F560" s="513">
        <f t="shared" si="150"/>
        <v>3840</v>
      </c>
      <c r="G560" s="511"/>
      <c r="H560" s="528"/>
      <c r="I560" s="512"/>
      <c r="J560" s="513"/>
      <c r="K560" s="513"/>
      <c r="L560" s="511"/>
      <c r="M560" s="513"/>
    </row>
    <row r="561" spans="1:13" x14ac:dyDescent="0.25">
      <c r="A561" s="511"/>
      <c r="B561" s="560">
        <v>42514</v>
      </c>
      <c r="C561" s="511">
        <v>500</v>
      </c>
      <c r="D561" s="512">
        <v>13.02</v>
      </c>
      <c r="E561" s="513">
        <v>-1.65</v>
      </c>
      <c r="F561" s="513">
        <f t="shared" ref="F561:F624" si="151">C561*D561+E561</f>
        <v>6508.35</v>
      </c>
      <c r="G561" s="511"/>
      <c r="H561" s="528"/>
      <c r="I561" s="512"/>
      <c r="J561" s="513"/>
      <c r="K561" s="513"/>
      <c r="L561" s="511"/>
      <c r="M561" s="513"/>
    </row>
    <row r="562" spans="1:13" x14ac:dyDescent="0.25">
      <c r="A562" s="511"/>
      <c r="B562" s="560">
        <v>42515</v>
      </c>
      <c r="C562" s="511">
        <v>500</v>
      </c>
      <c r="D562" s="512">
        <v>13.45</v>
      </c>
      <c r="E562" s="513">
        <v>1</v>
      </c>
      <c r="F562" s="513">
        <f t="shared" si="151"/>
        <v>6726</v>
      </c>
      <c r="G562" s="511"/>
      <c r="H562" s="528"/>
      <c r="I562" s="512"/>
      <c r="J562" s="513"/>
      <c r="K562" s="513"/>
      <c r="L562" s="511"/>
      <c r="M562" s="513"/>
    </row>
    <row r="563" spans="1:13" x14ac:dyDescent="0.25">
      <c r="A563" s="511"/>
      <c r="B563" s="560">
        <v>42516</v>
      </c>
      <c r="C563" s="511">
        <v>500</v>
      </c>
      <c r="D563" s="512">
        <v>13.28</v>
      </c>
      <c r="E563" s="513">
        <v>-1.04</v>
      </c>
      <c r="F563" s="513">
        <f t="shared" si="151"/>
        <v>6638.96</v>
      </c>
      <c r="G563" s="511"/>
      <c r="H563" s="528"/>
      <c r="I563" s="512"/>
      <c r="J563" s="513"/>
      <c r="K563" s="513"/>
      <c r="L563" s="511"/>
      <c r="M563" s="513"/>
    </row>
    <row r="564" spans="1:13" x14ac:dyDescent="0.25">
      <c r="A564" s="511"/>
      <c r="B564" s="560">
        <v>42517</v>
      </c>
      <c r="C564" s="511">
        <v>500</v>
      </c>
      <c r="D564" s="512">
        <v>12.79</v>
      </c>
      <c r="E564" s="513">
        <v>0</v>
      </c>
      <c r="F564" s="513">
        <f t="shared" si="151"/>
        <v>6395</v>
      </c>
      <c r="G564" s="511"/>
      <c r="H564" s="528"/>
      <c r="I564" s="512"/>
      <c r="J564" s="513"/>
      <c r="K564" s="513"/>
      <c r="L564" s="511"/>
      <c r="M564" s="513"/>
    </row>
    <row r="565" spans="1:13" x14ac:dyDescent="0.25">
      <c r="A565" s="511"/>
      <c r="B565" s="560">
        <v>42524</v>
      </c>
      <c r="C565" s="511">
        <v>400</v>
      </c>
      <c r="D565" s="512">
        <v>13.28</v>
      </c>
      <c r="E565" s="513">
        <v>0</v>
      </c>
      <c r="F565" s="513">
        <f t="shared" si="151"/>
        <v>5312</v>
      </c>
      <c r="G565" s="511"/>
      <c r="H565" s="528"/>
      <c r="I565" s="512"/>
      <c r="J565" s="513"/>
      <c r="K565" s="513"/>
      <c r="L565" s="511"/>
      <c r="M565" s="513"/>
    </row>
    <row r="566" spans="1:13" x14ac:dyDescent="0.25">
      <c r="A566" s="511"/>
      <c r="B566" s="560">
        <v>42529</v>
      </c>
      <c r="C566" s="511">
        <v>500</v>
      </c>
      <c r="D566" s="512">
        <v>14.59</v>
      </c>
      <c r="E566" s="513">
        <v>0</v>
      </c>
      <c r="F566" s="513">
        <f t="shared" si="151"/>
        <v>7295</v>
      </c>
      <c r="G566" s="511"/>
      <c r="H566" s="528"/>
      <c r="I566" s="512"/>
      <c r="J566" s="513"/>
      <c r="K566" s="513"/>
      <c r="L566" s="511"/>
      <c r="M566" s="513"/>
    </row>
    <row r="567" spans="1:13" x14ac:dyDescent="0.25">
      <c r="A567" s="511"/>
      <c r="B567" s="560">
        <v>42531</v>
      </c>
      <c r="C567" s="511">
        <v>800</v>
      </c>
      <c r="D567" s="512">
        <v>13.79</v>
      </c>
      <c r="E567" s="513">
        <v>0</v>
      </c>
      <c r="F567" s="513">
        <f t="shared" si="151"/>
        <v>11032</v>
      </c>
      <c r="G567" s="511"/>
      <c r="H567" s="528"/>
      <c r="I567" s="512"/>
      <c r="J567" s="513"/>
      <c r="K567" s="513"/>
      <c r="L567" s="511"/>
      <c r="M567" s="513"/>
    </row>
    <row r="568" spans="1:13" x14ac:dyDescent="0.25">
      <c r="A568" s="511"/>
      <c r="B568" s="560">
        <v>42531</v>
      </c>
      <c r="C568" s="511">
        <v>300</v>
      </c>
      <c r="D568" s="512">
        <v>13.4</v>
      </c>
      <c r="E568" s="513">
        <v>0</v>
      </c>
      <c r="F568" s="513">
        <f t="shared" si="151"/>
        <v>4020</v>
      </c>
      <c r="G568" s="511"/>
      <c r="H568" s="528"/>
      <c r="I568" s="512"/>
      <c r="J568" s="513"/>
      <c r="K568" s="513"/>
      <c r="L568" s="511"/>
      <c r="M568" s="513"/>
    </row>
    <row r="569" spans="1:13" x14ac:dyDescent="0.25">
      <c r="A569" s="511"/>
      <c r="B569" s="560">
        <v>42535</v>
      </c>
      <c r="C569" s="511">
        <v>400</v>
      </c>
      <c r="D569" s="512">
        <v>12.85</v>
      </c>
      <c r="E569" s="513">
        <v>0</v>
      </c>
      <c r="F569" s="513">
        <f t="shared" si="151"/>
        <v>5140</v>
      </c>
      <c r="G569" s="511"/>
      <c r="H569" s="528"/>
      <c r="I569" s="512"/>
      <c r="J569" s="513"/>
      <c r="K569" s="513"/>
      <c r="L569" s="511"/>
      <c r="M569" s="513"/>
    </row>
    <row r="570" spans="1:13" x14ac:dyDescent="0.25">
      <c r="A570" s="511"/>
      <c r="B570" s="560">
        <v>42537</v>
      </c>
      <c r="C570" s="511">
        <v>400</v>
      </c>
      <c r="D570" s="512">
        <v>12.43</v>
      </c>
      <c r="E570" s="513">
        <v>-0.04</v>
      </c>
      <c r="F570" s="513">
        <f t="shared" si="151"/>
        <v>4971.96</v>
      </c>
      <c r="G570" s="511"/>
      <c r="H570" s="528"/>
      <c r="I570" s="512"/>
      <c r="J570" s="513"/>
      <c r="K570" s="513"/>
      <c r="L570" s="511"/>
      <c r="M570" s="513"/>
    </row>
    <row r="571" spans="1:13" x14ac:dyDescent="0.25">
      <c r="A571" s="511"/>
      <c r="B571" s="560">
        <v>42538</v>
      </c>
      <c r="C571" s="511">
        <v>500</v>
      </c>
      <c r="D571" s="512">
        <v>13.14</v>
      </c>
      <c r="E571" s="513">
        <v>0</v>
      </c>
      <c r="F571" s="513">
        <f t="shared" si="151"/>
        <v>6570</v>
      </c>
      <c r="G571" s="511"/>
      <c r="H571" s="528"/>
      <c r="I571" s="512"/>
      <c r="J571" s="513"/>
      <c r="K571" s="513"/>
      <c r="L571" s="511"/>
      <c r="M571" s="513"/>
    </row>
    <row r="572" spans="1:13" x14ac:dyDescent="0.25">
      <c r="A572" s="511"/>
      <c r="B572" s="560">
        <v>42543</v>
      </c>
      <c r="C572" s="511">
        <v>500</v>
      </c>
      <c r="D572" s="512">
        <v>14.75</v>
      </c>
      <c r="E572" s="513">
        <v>0</v>
      </c>
      <c r="F572" s="513">
        <f t="shared" si="151"/>
        <v>7375</v>
      </c>
      <c r="G572" s="510">
        <v>42544</v>
      </c>
      <c r="H572" s="528">
        <v>500</v>
      </c>
      <c r="I572" s="512">
        <v>15.24</v>
      </c>
      <c r="J572" s="513">
        <v>0.17</v>
      </c>
      <c r="K572" s="513">
        <f>H572*I572-J572</f>
        <v>7619.83</v>
      </c>
      <c r="L572" s="511"/>
      <c r="M572" s="513"/>
    </row>
    <row r="573" spans="1:13" x14ac:dyDescent="0.25">
      <c r="A573" s="511"/>
      <c r="B573" s="560">
        <v>42545</v>
      </c>
      <c r="C573" s="511">
        <v>878</v>
      </c>
      <c r="D573" s="512">
        <v>14.41</v>
      </c>
      <c r="E573" s="513">
        <v>0</v>
      </c>
      <c r="F573" s="513">
        <f t="shared" si="151"/>
        <v>12651.98</v>
      </c>
      <c r="G573" s="511"/>
      <c r="H573" s="528"/>
      <c r="I573" s="512"/>
      <c r="J573" s="513"/>
      <c r="K573" s="513"/>
      <c r="L573" s="511"/>
      <c r="M573" s="513"/>
    </row>
    <row r="574" spans="1:13" x14ac:dyDescent="0.25">
      <c r="A574" s="511"/>
      <c r="B574" s="560">
        <v>42545</v>
      </c>
      <c r="C574" s="511">
        <v>335</v>
      </c>
      <c r="D574" s="512">
        <v>14.08</v>
      </c>
      <c r="E574" s="513">
        <v>0</v>
      </c>
      <c r="F574" s="513">
        <f t="shared" si="151"/>
        <v>4716.8</v>
      </c>
      <c r="G574" s="511"/>
      <c r="H574" s="528"/>
      <c r="I574" s="512"/>
      <c r="J574" s="513"/>
      <c r="K574" s="513"/>
      <c r="L574" s="511"/>
      <c r="M574" s="513"/>
    </row>
    <row r="575" spans="1:13" x14ac:dyDescent="0.25">
      <c r="A575" s="511"/>
      <c r="B575" s="560">
        <v>42548</v>
      </c>
      <c r="C575" s="511">
        <v>965</v>
      </c>
      <c r="D575" s="512">
        <v>13.81</v>
      </c>
      <c r="E575" s="513">
        <v>0</v>
      </c>
      <c r="F575" s="513">
        <f t="shared" si="151"/>
        <v>13326.65</v>
      </c>
      <c r="G575" s="511"/>
      <c r="H575" s="528"/>
      <c r="I575" s="512"/>
      <c r="J575" s="513"/>
      <c r="K575" s="513"/>
      <c r="L575" s="511"/>
      <c r="M575" s="513"/>
    </row>
    <row r="576" spans="1:13" x14ac:dyDescent="0.25">
      <c r="A576" s="511"/>
      <c r="B576" s="560">
        <v>42548</v>
      </c>
      <c r="C576" s="511">
        <v>300</v>
      </c>
      <c r="D576" s="512">
        <v>13.58</v>
      </c>
      <c r="E576" s="513">
        <v>0</v>
      </c>
      <c r="F576" s="513">
        <f t="shared" si="151"/>
        <v>4074</v>
      </c>
      <c r="G576" s="510">
        <v>42549</v>
      </c>
      <c r="H576" s="528">
        <v>1100</v>
      </c>
      <c r="I576" s="512">
        <v>14.68</v>
      </c>
      <c r="J576" s="513">
        <v>0.35</v>
      </c>
      <c r="K576" s="513">
        <f t="shared" ref="K576:K661" si="152">H576*I576-J576</f>
        <v>16147.65</v>
      </c>
      <c r="L576" s="511"/>
      <c r="M576" s="513"/>
    </row>
    <row r="577" spans="1:13" ht="45" x14ac:dyDescent="0.25">
      <c r="A577" s="511"/>
      <c r="B577" s="560">
        <v>42556</v>
      </c>
      <c r="C577" s="511">
        <v>2178</v>
      </c>
      <c r="D577" s="512">
        <v>15.08</v>
      </c>
      <c r="E577" s="513">
        <v>0</v>
      </c>
      <c r="F577" s="513">
        <f t="shared" si="151"/>
        <v>32844.239999999998</v>
      </c>
      <c r="G577" s="626" t="s">
        <v>229</v>
      </c>
      <c r="H577" s="528">
        <v>500</v>
      </c>
      <c r="I577" s="512">
        <v>15.48</v>
      </c>
      <c r="J577" s="513">
        <v>0.17</v>
      </c>
      <c r="K577" s="513">
        <f t="shared" si="152"/>
        <v>7739.83</v>
      </c>
      <c r="L577" s="511"/>
      <c r="M577" s="513"/>
    </row>
    <row r="578" spans="1:13" x14ac:dyDescent="0.25">
      <c r="A578" s="511"/>
      <c r="B578" s="560">
        <v>42556</v>
      </c>
      <c r="C578" s="511">
        <v>500</v>
      </c>
      <c r="D578" s="512">
        <v>14.62</v>
      </c>
      <c r="E578" s="513">
        <v>0</v>
      </c>
      <c r="F578" s="513">
        <f t="shared" si="151"/>
        <v>7310</v>
      </c>
      <c r="G578" s="626"/>
      <c r="H578" s="528">
        <v>378</v>
      </c>
      <c r="I578" s="512">
        <v>15.65</v>
      </c>
      <c r="J578" s="513">
        <v>0.13</v>
      </c>
      <c r="K578" s="513">
        <f t="shared" si="152"/>
        <v>5915.57</v>
      </c>
      <c r="L578" s="511"/>
      <c r="M578" s="513"/>
    </row>
    <row r="579" spans="1:13" x14ac:dyDescent="0.25">
      <c r="A579" s="511"/>
      <c r="B579" s="560">
        <v>42557</v>
      </c>
      <c r="C579" s="511">
        <v>500</v>
      </c>
      <c r="D579" s="512">
        <v>14.78</v>
      </c>
      <c r="E579" s="513">
        <v>0</v>
      </c>
      <c r="F579" s="513">
        <f t="shared" si="151"/>
        <v>7390</v>
      </c>
      <c r="G579" s="626"/>
      <c r="H579" s="528">
        <v>500</v>
      </c>
      <c r="I579" s="512">
        <v>15.51</v>
      </c>
      <c r="J579" s="513">
        <v>0.17</v>
      </c>
      <c r="K579" s="513">
        <f t="shared" si="152"/>
        <v>7754.83</v>
      </c>
      <c r="L579" s="511"/>
      <c r="M579" s="513"/>
    </row>
    <row r="580" spans="1:13" x14ac:dyDescent="0.25">
      <c r="A580" s="511"/>
      <c r="B580" s="612">
        <v>42564</v>
      </c>
      <c r="C580" s="511">
        <v>320</v>
      </c>
      <c r="D580" s="512">
        <v>15.48</v>
      </c>
      <c r="E580" s="513">
        <v>0</v>
      </c>
      <c r="F580" s="513">
        <f t="shared" si="151"/>
        <v>4953.6000000000004</v>
      </c>
      <c r="G580" s="626"/>
      <c r="H580" s="528">
        <v>800</v>
      </c>
      <c r="I580" s="512">
        <v>15.78</v>
      </c>
      <c r="J580" s="513">
        <v>0.28000000000000003</v>
      </c>
      <c r="K580" s="513">
        <f t="shared" si="152"/>
        <v>12623.72</v>
      </c>
      <c r="L580" s="511"/>
      <c r="M580" s="513"/>
    </row>
    <row r="581" spans="1:13" x14ac:dyDescent="0.25">
      <c r="A581" s="613"/>
      <c r="B581" s="612">
        <v>42564</v>
      </c>
      <c r="C581" s="511">
        <v>160</v>
      </c>
      <c r="D581" s="512">
        <v>15.48</v>
      </c>
      <c r="E581" s="513">
        <v>0</v>
      </c>
      <c r="F581" s="513">
        <f t="shared" si="151"/>
        <v>2476.8000000000002</v>
      </c>
      <c r="G581" s="510">
        <v>42557</v>
      </c>
      <c r="H581" s="528">
        <v>500</v>
      </c>
      <c r="I581" s="512">
        <v>14.92</v>
      </c>
      <c r="J581" s="513">
        <v>0.16</v>
      </c>
      <c r="K581" s="513">
        <f t="shared" si="152"/>
        <v>7459.84</v>
      </c>
      <c r="L581" s="511"/>
      <c r="M581" s="513"/>
    </row>
    <row r="582" spans="1:13" x14ac:dyDescent="0.25">
      <c r="A582" s="613"/>
      <c r="B582" s="560">
        <v>42570</v>
      </c>
      <c r="C582" s="511">
        <v>200</v>
      </c>
      <c r="D582" s="512">
        <v>15.18</v>
      </c>
      <c r="E582" s="513">
        <v>0</v>
      </c>
      <c r="F582" s="513">
        <f t="shared" si="151"/>
        <v>3036</v>
      </c>
      <c r="G582" s="510">
        <v>42564</v>
      </c>
      <c r="H582" s="528">
        <v>420</v>
      </c>
      <c r="I582" s="512">
        <v>15.68</v>
      </c>
      <c r="J582" s="513">
        <v>0.14000000000000001</v>
      </c>
      <c r="K582" s="513">
        <f t="shared" si="152"/>
        <v>6585.4599999999991</v>
      </c>
      <c r="L582" s="511"/>
      <c r="M582" s="513"/>
    </row>
    <row r="583" spans="1:13" x14ac:dyDescent="0.25">
      <c r="A583" s="613"/>
      <c r="B583" s="560">
        <v>42570</v>
      </c>
      <c r="C583" s="511">
        <v>200</v>
      </c>
      <c r="D583" s="512">
        <v>14.68</v>
      </c>
      <c r="E583" s="513">
        <v>0</v>
      </c>
      <c r="F583" s="513">
        <f t="shared" si="151"/>
        <v>2936</v>
      </c>
      <c r="G583" s="510">
        <v>42571</v>
      </c>
      <c r="H583" s="528">
        <v>200</v>
      </c>
      <c r="I583" s="512">
        <v>14.82</v>
      </c>
      <c r="J583" s="513">
        <v>0.06</v>
      </c>
      <c r="K583" s="513">
        <f t="shared" si="152"/>
        <v>2963.94</v>
      </c>
      <c r="L583" s="511"/>
      <c r="M583" s="513"/>
    </row>
    <row r="584" spans="1:13" x14ac:dyDescent="0.25">
      <c r="A584" s="511"/>
      <c r="B584" s="560">
        <v>42571</v>
      </c>
      <c r="C584" s="511">
        <v>200</v>
      </c>
      <c r="D584" s="512">
        <v>14.33</v>
      </c>
      <c r="E584" s="513">
        <v>-1</v>
      </c>
      <c r="F584" s="513">
        <f t="shared" si="151"/>
        <v>2865</v>
      </c>
      <c r="G584" s="510">
        <v>42572</v>
      </c>
      <c r="H584" s="528">
        <v>200</v>
      </c>
      <c r="I584" s="512">
        <v>14.8</v>
      </c>
      <c r="J584" s="513">
        <v>0.06</v>
      </c>
      <c r="K584" s="513">
        <f t="shared" si="152"/>
        <v>2959.94</v>
      </c>
      <c r="L584" s="511"/>
      <c r="M584" s="513"/>
    </row>
    <row r="585" spans="1:13" x14ac:dyDescent="0.25">
      <c r="A585" s="511"/>
      <c r="B585" s="560">
        <v>42572</v>
      </c>
      <c r="C585" s="511">
        <v>60</v>
      </c>
      <c r="D585" s="512">
        <v>14.58</v>
      </c>
      <c r="E585" s="513">
        <v>0</v>
      </c>
      <c r="F585" s="513">
        <f t="shared" si="151"/>
        <v>874.8</v>
      </c>
      <c r="G585" s="510">
        <v>42577</v>
      </c>
      <c r="H585" s="528">
        <v>200</v>
      </c>
      <c r="I585" s="512">
        <v>13.78</v>
      </c>
      <c r="J585" s="513">
        <v>0.06</v>
      </c>
      <c r="K585" s="513">
        <f t="shared" si="152"/>
        <v>2755.94</v>
      </c>
      <c r="L585" s="511"/>
      <c r="M585" s="513"/>
    </row>
    <row r="586" spans="1:13" x14ac:dyDescent="0.25">
      <c r="A586" s="511"/>
      <c r="B586" s="560">
        <v>42572</v>
      </c>
      <c r="C586" s="511">
        <v>140</v>
      </c>
      <c r="D586" s="512">
        <v>14.65</v>
      </c>
      <c r="E586" s="513">
        <v>0</v>
      </c>
      <c r="F586" s="513">
        <f t="shared" si="151"/>
        <v>2051</v>
      </c>
      <c r="G586" s="510">
        <v>42580</v>
      </c>
      <c r="H586" s="528">
        <v>200</v>
      </c>
      <c r="I586" s="512">
        <v>13.224</v>
      </c>
      <c r="J586" s="513">
        <v>0.08</v>
      </c>
      <c r="K586" s="513">
        <f t="shared" si="152"/>
        <v>2644.7200000000003</v>
      </c>
      <c r="L586" s="511"/>
      <c r="M586" s="513"/>
    </row>
    <row r="587" spans="1:13" x14ac:dyDescent="0.25">
      <c r="A587" s="511"/>
      <c r="B587" s="560">
        <v>42573</v>
      </c>
      <c r="C587" s="511">
        <v>140</v>
      </c>
      <c r="D587" s="512">
        <v>14.08</v>
      </c>
      <c r="E587" s="513">
        <v>0</v>
      </c>
      <c r="F587" s="513">
        <f t="shared" si="151"/>
        <v>1971.2</v>
      </c>
      <c r="G587" s="510">
        <v>42580</v>
      </c>
      <c r="H587" s="528">
        <v>200</v>
      </c>
      <c r="I587" s="512">
        <v>13.58</v>
      </c>
      <c r="J587" s="513">
        <v>0.06</v>
      </c>
      <c r="K587" s="513">
        <f t="shared" si="152"/>
        <v>2715.94</v>
      </c>
      <c r="L587" s="511"/>
      <c r="M587" s="513"/>
    </row>
    <row r="588" spans="1:13" x14ac:dyDescent="0.25">
      <c r="A588" s="511"/>
      <c r="B588" s="560">
        <v>42576</v>
      </c>
      <c r="C588" s="511">
        <v>200</v>
      </c>
      <c r="D588" s="512">
        <v>13.55</v>
      </c>
      <c r="E588" s="513">
        <v>0</v>
      </c>
      <c r="F588" s="513">
        <f t="shared" si="151"/>
        <v>2710</v>
      </c>
      <c r="G588" s="510">
        <v>42586</v>
      </c>
      <c r="H588" s="528">
        <v>400</v>
      </c>
      <c r="I588" s="512">
        <v>13.78</v>
      </c>
      <c r="J588" s="513">
        <v>0.12</v>
      </c>
      <c r="K588" s="513">
        <f t="shared" si="152"/>
        <v>5511.88</v>
      </c>
      <c r="L588" s="511"/>
      <c r="M588" s="513"/>
    </row>
    <row r="589" spans="1:13" x14ac:dyDescent="0.25">
      <c r="A589" s="511"/>
      <c r="B589" s="560">
        <v>42578</v>
      </c>
      <c r="C589" s="511">
        <v>200</v>
      </c>
      <c r="D589" s="512">
        <v>13.18</v>
      </c>
      <c r="E589" s="513">
        <v>0</v>
      </c>
      <c r="F589" s="513">
        <f t="shared" si="151"/>
        <v>2636</v>
      </c>
      <c r="G589" s="510">
        <v>42586</v>
      </c>
      <c r="H589" s="528">
        <v>400</v>
      </c>
      <c r="I589" s="512">
        <v>13.72</v>
      </c>
      <c r="J589" s="513">
        <v>0.12</v>
      </c>
      <c r="K589" s="513">
        <f t="shared" si="152"/>
        <v>5487.88</v>
      </c>
      <c r="L589" s="511"/>
      <c r="M589" s="513"/>
    </row>
    <row r="590" spans="1:13" x14ac:dyDescent="0.25">
      <c r="A590" s="511"/>
      <c r="B590" s="560">
        <v>42580</v>
      </c>
      <c r="C590" s="511">
        <v>200</v>
      </c>
      <c r="D590" s="512">
        <v>13.15</v>
      </c>
      <c r="E590" s="513">
        <v>0</v>
      </c>
      <c r="F590" s="513">
        <f t="shared" si="151"/>
        <v>2630</v>
      </c>
      <c r="G590" s="510">
        <v>42586</v>
      </c>
      <c r="H590" s="528">
        <v>140</v>
      </c>
      <c r="I590" s="512">
        <v>13.88</v>
      </c>
      <c r="J590" s="513">
        <v>0.04</v>
      </c>
      <c r="K590" s="513">
        <f t="shared" si="152"/>
        <v>1943.16</v>
      </c>
      <c r="L590" s="511"/>
      <c r="M590" s="513"/>
    </row>
    <row r="591" spans="1:13" x14ac:dyDescent="0.25">
      <c r="A591" s="511"/>
      <c r="B591" s="560">
        <v>42583</v>
      </c>
      <c r="C591" s="609">
        <v>20</v>
      </c>
      <c r="D591" s="512">
        <v>13.02</v>
      </c>
      <c r="E591" s="513">
        <v>0</v>
      </c>
      <c r="F591" s="513">
        <f t="shared" si="151"/>
        <v>260.39999999999998</v>
      </c>
      <c r="G591" s="510">
        <v>42593</v>
      </c>
      <c r="H591" s="528">
        <v>460</v>
      </c>
      <c r="I591" s="512">
        <v>14.59</v>
      </c>
      <c r="J591" s="513">
        <v>0.15</v>
      </c>
      <c r="K591" s="513">
        <f t="shared" si="152"/>
        <v>6711.25</v>
      </c>
      <c r="L591" s="511"/>
      <c r="M591" s="513"/>
    </row>
    <row r="592" spans="1:13" x14ac:dyDescent="0.25">
      <c r="A592" s="511"/>
      <c r="B592" s="560">
        <v>42583</v>
      </c>
      <c r="C592" s="511">
        <v>180</v>
      </c>
      <c r="D592" s="512">
        <v>13.02</v>
      </c>
      <c r="E592" s="513">
        <v>0</v>
      </c>
      <c r="F592" s="513">
        <f t="shared" si="151"/>
        <v>2343.6</v>
      </c>
      <c r="G592" s="510">
        <v>42594</v>
      </c>
      <c r="H592" s="528">
        <v>500</v>
      </c>
      <c r="I592" s="512">
        <v>14.88</v>
      </c>
      <c r="J592" s="513">
        <v>0.16</v>
      </c>
      <c r="K592" s="513">
        <f t="shared" si="152"/>
        <v>7439.84</v>
      </c>
      <c r="L592" s="511"/>
      <c r="M592" s="513"/>
    </row>
    <row r="593" spans="1:13" x14ac:dyDescent="0.25">
      <c r="A593" s="511"/>
      <c r="B593" s="560">
        <v>42584</v>
      </c>
      <c r="C593" s="511">
        <v>120</v>
      </c>
      <c r="D593" s="512">
        <v>12.68</v>
      </c>
      <c r="E593" s="513">
        <v>0</v>
      </c>
      <c r="F593" s="513">
        <f t="shared" si="151"/>
        <v>1521.6</v>
      </c>
      <c r="G593" s="510">
        <v>42598</v>
      </c>
      <c r="H593" s="528">
        <v>500</v>
      </c>
      <c r="I593" s="512">
        <v>15.18</v>
      </c>
      <c r="J593" s="513">
        <v>0.17</v>
      </c>
      <c r="K593" s="513">
        <f t="shared" si="152"/>
        <v>7589.83</v>
      </c>
      <c r="L593" s="511"/>
      <c r="M593" s="513"/>
    </row>
    <row r="594" spans="1:13" x14ac:dyDescent="0.25">
      <c r="A594" s="511"/>
      <c r="B594" s="560">
        <v>42584</v>
      </c>
      <c r="C594" s="511">
        <v>80</v>
      </c>
      <c r="D594" s="512">
        <v>12.68</v>
      </c>
      <c r="E594" s="513">
        <v>0</v>
      </c>
      <c r="F594" s="513">
        <f t="shared" si="151"/>
        <v>1014.4</v>
      </c>
      <c r="G594" s="510">
        <v>42599</v>
      </c>
      <c r="H594" s="528">
        <v>500</v>
      </c>
      <c r="I594" s="512">
        <v>15.18</v>
      </c>
      <c r="J594" s="513">
        <v>0.17</v>
      </c>
      <c r="K594" s="513">
        <f t="shared" si="152"/>
        <v>7589.83</v>
      </c>
      <c r="L594" s="511"/>
      <c r="M594" s="513"/>
    </row>
    <row r="595" spans="1:13" x14ac:dyDescent="0.25">
      <c r="A595" s="511"/>
      <c r="B595" s="560">
        <v>42585</v>
      </c>
      <c r="C595" s="511">
        <v>242</v>
      </c>
      <c r="D595" s="512">
        <v>13.38</v>
      </c>
      <c r="E595" s="513">
        <v>0</v>
      </c>
      <c r="F595" s="513">
        <f t="shared" si="151"/>
        <v>3237.96</v>
      </c>
      <c r="G595" s="510">
        <v>42599</v>
      </c>
      <c r="H595" s="528">
        <v>500</v>
      </c>
      <c r="I595" s="512">
        <v>15.41</v>
      </c>
      <c r="J595" s="513">
        <v>0.17</v>
      </c>
      <c r="K595" s="513">
        <f t="shared" si="152"/>
        <v>7704.83</v>
      </c>
      <c r="L595" s="511"/>
      <c r="M595" s="513"/>
    </row>
    <row r="596" spans="1:13" x14ac:dyDescent="0.25">
      <c r="A596" s="511"/>
      <c r="B596" s="560">
        <v>42585</v>
      </c>
      <c r="C596" s="511">
        <v>158</v>
      </c>
      <c r="D596" s="512">
        <v>13.38</v>
      </c>
      <c r="E596" s="513">
        <v>0</v>
      </c>
      <c r="F596" s="513">
        <f t="shared" si="151"/>
        <v>2114.04</v>
      </c>
      <c r="G596" s="510">
        <v>42599</v>
      </c>
      <c r="H596" s="528">
        <v>500</v>
      </c>
      <c r="I596" s="512">
        <v>15.65</v>
      </c>
      <c r="J596" s="513">
        <v>0.17</v>
      </c>
      <c r="K596" s="513">
        <f t="shared" si="152"/>
        <v>7824.83</v>
      </c>
      <c r="L596" s="511"/>
      <c r="M596" s="513"/>
    </row>
    <row r="597" spans="1:13" ht="45" x14ac:dyDescent="0.25">
      <c r="A597" s="511"/>
      <c r="B597" s="560">
        <v>42594</v>
      </c>
      <c r="C597" s="511">
        <v>500</v>
      </c>
      <c r="D597" s="512">
        <v>14.65</v>
      </c>
      <c r="E597" s="513">
        <v>0</v>
      </c>
      <c r="F597" s="513">
        <f t="shared" si="151"/>
        <v>7325</v>
      </c>
      <c r="G597" s="631" t="s">
        <v>259</v>
      </c>
      <c r="H597" s="528">
        <v>500</v>
      </c>
      <c r="I597" s="512">
        <v>16.18</v>
      </c>
      <c r="J597" s="513">
        <v>0.18</v>
      </c>
      <c r="K597" s="513">
        <f t="shared" si="152"/>
        <v>8089.82</v>
      </c>
      <c r="L597" s="511"/>
      <c r="M597" s="513"/>
    </row>
    <row r="598" spans="1:13" x14ac:dyDescent="0.25">
      <c r="A598" s="511"/>
      <c r="B598" s="560">
        <v>42599</v>
      </c>
      <c r="C598" s="511">
        <v>242</v>
      </c>
      <c r="D598" s="512">
        <v>14.95</v>
      </c>
      <c r="E598" s="513">
        <v>0</v>
      </c>
      <c r="F598" s="513">
        <f t="shared" si="151"/>
        <v>3617.8999999999996</v>
      </c>
      <c r="G598" s="631"/>
      <c r="H598" s="528">
        <v>500</v>
      </c>
      <c r="I598" s="512">
        <v>16.38</v>
      </c>
      <c r="J598" s="513">
        <v>0.18</v>
      </c>
      <c r="K598" s="513">
        <f t="shared" si="152"/>
        <v>8189.8199999999988</v>
      </c>
      <c r="L598" s="511"/>
      <c r="M598" s="513"/>
    </row>
    <row r="599" spans="1:13" x14ac:dyDescent="0.25">
      <c r="A599" s="511"/>
      <c r="B599" s="560">
        <v>42599</v>
      </c>
      <c r="C599" s="511">
        <v>200</v>
      </c>
      <c r="D599" s="512">
        <v>14.95</v>
      </c>
      <c r="E599" s="513">
        <v>0</v>
      </c>
      <c r="F599" s="513">
        <f t="shared" si="151"/>
        <v>2990</v>
      </c>
      <c r="G599" s="631"/>
      <c r="H599" s="528">
        <v>178</v>
      </c>
      <c r="I599" s="512">
        <v>16.5</v>
      </c>
      <c r="J599" s="513">
        <v>0.06</v>
      </c>
      <c r="K599" s="513">
        <f t="shared" si="152"/>
        <v>2936.94</v>
      </c>
      <c r="L599" s="511"/>
      <c r="M599" s="513"/>
    </row>
    <row r="600" spans="1:13" x14ac:dyDescent="0.25">
      <c r="A600" s="511"/>
      <c r="B600" s="560">
        <v>42599</v>
      </c>
      <c r="C600" s="511">
        <v>36</v>
      </c>
      <c r="D600" s="512">
        <v>14.95</v>
      </c>
      <c r="E600" s="513">
        <v>0</v>
      </c>
      <c r="F600" s="513">
        <f t="shared" si="151"/>
        <v>538.19999999999993</v>
      </c>
      <c r="G600" s="631"/>
      <c r="H600" s="528">
        <v>500</v>
      </c>
      <c r="I600" s="512">
        <v>16.72</v>
      </c>
      <c r="J600" s="513">
        <v>0.18</v>
      </c>
      <c r="K600" s="513">
        <f t="shared" si="152"/>
        <v>8359.82</v>
      </c>
      <c r="L600" s="511"/>
      <c r="M600" s="513"/>
    </row>
    <row r="601" spans="1:13" x14ac:dyDescent="0.25">
      <c r="A601" s="511"/>
      <c r="B601" s="560">
        <v>42599</v>
      </c>
      <c r="C601" s="511">
        <v>22</v>
      </c>
      <c r="D601" s="512">
        <v>14.95</v>
      </c>
      <c r="E601" s="513">
        <v>0</v>
      </c>
      <c r="F601" s="513">
        <f t="shared" si="151"/>
        <v>328.9</v>
      </c>
      <c r="G601" s="510">
        <v>42601</v>
      </c>
      <c r="H601" s="528">
        <v>500</v>
      </c>
      <c r="I601" s="512">
        <v>16.82</v>
      </c>
      <c r="J601" s="513">
        <v>0.18</v>
      </c>
      <c r="K601" s="513">
        <f t="shared" si="152"/>
        <v>8409.82</v>
      </c>
      <c r="L601" s="511"/>
      <c r="M601" s="513"/>
    </row>
    <row r="602" spans="1:13" x14ac:dyDescent="0.25">
      <c r="A602" s="511"/>
      <c r="B602" s="560">
        <v>42604</v>
      </c>
      <c r="C602" s="511">
        <v>1000</v>
      </c>
      <c r="D602" s="512">
        <v>15.68</v>
      </c>
      <c r="E602" s="513">
        <v>0</v>
      </c>
      <c r="F602" s="513">
        <f t="shared" si="151"/>
        <v>15680</v>
      </c>
      <c r="G602" s="510">
        <v>42605</v>
      </c>
      <c r="H602" s="528">
        <v>500</v>
      </c>
      <c r="I602" s="512">
        <v>15.98</v>
      </c>
      <c r="J602" s="513">
        <v>0.17</v>
      </c>
      <c r="K602" s="513">
        <f t="shared" si="152"/>
        <v>7989.83</v>
      </c>
      <c r="L602" s="511"/>
      <c r="M602" s="513"/>
    </row>
    <row r="603" spans="1:13" x14ac:dyDescent="0.25">
      <c r="A603" s="511"/>
      <c r="B603" s="560">
        <v>42604</v>
      </c>
      <c r="C603" s="511">
        <v>500</v>
      </c>
      <c r="D603" s="512">
        <v>15.48</v>
      </c>
      <c r="E603" s="513">
        <v>0</v>
      </c>
      <c r="F603" s="513">
        <f t="shared" si="151"/>
        <v>7740</v>
      </c>
      <c r="G603" s="510">
        <v>42605</v>
      </c>
      <c r="H603" s="528">
        <v>500</v>
      </c>
      <c r="I603" s="512">
        <v>16.25</v>
      </c>
      <c r="J603" s="513">
        <v>0.18</v>
      </c>
      <c r="K603" s="513">
        <f t="shared" si="152"/>
        <v>8124.82</v>
      </c>
      <c r="L603" s="511"/>
      <c r="M603" s="513"/>
    </row>
    <row r="604" spans="1:13" x14ac:dyDescent="0.25">
      <c r="A604" s="511"/>
      <c r="B604" s="560">
        <v>42606</v>
      </c>
      <c r="C604" s="511">
        <v>178</v>
      </c>
      <c r="D604" s="512">
        <v>16.059999999999999</v>
      </c>
      <c r="E604" s="513">
        <v>0</v>
      </c>
      <c r="F604" s="513">
        <f t="shared" si="151"/>
        <v>2858.68</v>
      </c>
      <c r="G604" s="510">
        <v>42605</v>
      </c>
      <c r="H604" s="528">
        <v>500</v>
      </c>
      <c r="I604" s="512">
        <v>16.48</v>
      </c>
      <c r="J604" s="513">
        <v>0.18</v>
      </c>
      <c r="K604" s="513">
        <f t="shared" si="152"/>
        <v>8239.82</v>
      </c>
      <c r="L604" s="511"/>
      <c r="M604" s="513"/>
    </row>
    <row r="605" spans="1:13" x14ac:dyDescent="0.25">
      <c r="A605" s="511"/>
      <c r="B605" s="560">
        <v>42608</v>
      </c>
      <c r="C605" s="511">
        <v>500</v>
      </c>
      <c r="D605" s="512">
        <v>15.98</v>
      </c>
      <c r="E605" s="513">
        <v>0</v>
      </c>
      <c r="F605" s="513">
        <f t="shared" si="151"/>
        <v>7990</v>
      </c>
      <c r="G605" s="510">
        <v>42615</v>
      </c>
      <c r="H605" s="528">
        <v>500</v>
      </c>
      <c r="I605" s="512">
        <v>15.65</v>
      </c>
      <c r="J605" s="513">
        <v>0.17</v>
      </c>
      <c r="K605" s="513">
        <f t="shared" si="152"/>
        <v>7824.83</v>
      </c>
      <c r="L605" s="511"/>
      <c r="M605" s="513"/>
    </row>
    <row r="606" spans="1:13" ht="30" x14ac:dyDescent="0.25">
      <c r="A606" s="511"/>
      <c r="B606" s="560">
        <v>42608</v>
      </c>
      <c r="C606" s="511">
        <v>500</v>
      </c>
      <c r="D606" s="512">
        <v>15.85</v>
      </c>
      <c r="E606" s="513">
        <v>0</v>
      </c>
      <c r="F606" s="513">
        <f t="shared" si="151"/>
        <v>7925</v>
      </c>
      <c r="G606" s="510">
        <v>42621</v>
      </c>
      <c r="H606" s="528">
        <v>500</v>
      </c>
      <c r="I606" s="512">
        <v>16.72</v>
      </c>
      <c r="J606" s="513">
        <v>0.18</v>
      </c>
      <c r="K606" s="513">
        <f t="shared" si="152"/>
        <v>8359.82</v>
      </c>
      <c r="L606" s="632" t="s">
        <v>272</v>
      </c>
      <c r="M606" s="513"/>
    </row>
    <row r="607" spans="1:13" x14ac:dyDescent="0.25">
      <c r="A607" s="511"/>
      <c r="B607" s="560">
        <v>42612</v>
      </c>
      <c r="C607" s="511">
        <v>500</v>
      </c>
      <c r="D607" s="512">
        <v>15.68</v>
      </c>
      <c r="E607" s="513">
        <v>0</v>
      </c>
      <c r="F607" s="513">
        <f t="shared" si="151"/>
        <v>7840</v>
      </c>
      <c r="G607" s="510">
        <v>42621</v>
      </c>
      <c r="H607" s="528">
        <v>500</v>
      </c>
      <c r="I607" s="512">
        <v>16.28</v>
      </c>
      <c r="J607" s="513">
        <v>0.18</v>
      </c>
      <c r="K607" s="513">
        <f t="shared" si="152"/>
        <v>8139.8200000000006</v>
      </c>
      <c r="L607" s="632"/>
      <c r="M607" s="513"/>
    </row>
    <row r="608" spans="1:13" x14ac:dyDescent="0.25">
      <c r="A608" s="511"/>
      <c r="B608" s="560">
        <v>42612</v>
      </c>
      <c r="C608" s="511">
        <v>500</v>
      </c>
      <c r="D608" s="512">
        <v>15.55</v>
      </c>
      <c r="E608" s="513">
        <v>0</v>
      </c>
      <c r="F608" s="513">
        <f t="shared" si="151"/>
        <v>7775</v>
      </c>
      <c r="G608" s="510">
        <v>42621</v>
      </c>
      <c r="H608" s="528">
        <v>220</v>
      </c>
      <c r="I608" s="512">
        <v>16.77</v>
      </c>
      <c r="J608" s="513">
        <v>0.08</v>
      </c>
      <c r="K608" s="513">
        <f t="shared" si="152"/>
        <v>3689.32</v>
      </c>
      <c r="L608" s="632"/>
      <c r="M608" s="513"/>
    </row>
    <row r="609" spans="1:13" x14ac:dyDescent="0.25">
      <c r="A609" s="511"/>
      <c r="B609" s="560">
        <v>42613</v>
      </c>
      <c r="C609" s="511">
        <v>500</v>
      </c>
      <c r="D609" s="512">
        <v>15.244999999999999</v>
      </c>
      <c r="E609" s="513">
        <v>0</v>
      </c>
      <c r="F609" s="513">
        <f t="shared" si="151"/>
        <v>7622.5</v>
      </c>
      <c r="G609" s="510">
        <v>42625</v>
      </c>
      <c r="H609" s="528">
        <v>500</v>
      </c>
      <c r="I609" s="512">
        <v>15.5</v>
      </c>
      <c r="J609" s="513">
        <v>0.17</v>
      </c>
      <c r="K609" s="513">
        <f t="shared" si="152"/>
        <v>7749.83</v>
      </c>
      <c r="L609" s="511"/>
      <c r="M609" s="513"/>
    </row>
    <row r="610" spans="1:13" x14ac:dyDescent="0.25">
      <c r="A610" s="511"/>
      <c r="B610" s="560">
        <v>42613</v>
      </c>
      <c r="C610" s="511">
        <v>500</v>
      </c>
      <c r="D610" s="512">
        <v>15.08</v>
      </c>
      <c r="E610" s="513">
        <v>0</v>
      </c>
      <c r="F610" s="513">
        <f t="shared" si="151"/>
        <v>7540</v>
      </c>
      <c r="G610" s="510">
        <v>42628</v>
      </c>
      <c r="H610" s="528">
        <v>300</v>
      </c>
      <c r="I610" s="512">
        <v>14.46</v>
      </c>
      <c r="J610" s="513">
        <v>0.09</v>
      </c>
      <c r="K610" s="513">
        <f t="shared" si="152"/>
        <v>4337.91</v>
      </c>
      <c r="L610" s="511"/>
      <c r="M610" s="513"/>
    </row>
    <row r="611" spans="1:13" x14ac:dyDescent="0.25">
      <c r="A611" s="511"/>
      <c r="B611" s="560">
        <v>42622</v>
      </c>
      <c r="C611" s="511">
        <v>220</v>
      </c>
      <c r="D611" s="512">
        <v>16.25</v>
      </c>
      <c r="E611" s="513">
        <v>0</v>
      </c>
      <c r="F611" s="513">
        <f t="shared" si="151"/>
        <v>3575</v>
      </c>
      <c r="G611" s="510">
        <v>42634</v>
      </c>
      <c r="H611" s="528">
        <v>322</v>
      </c>
      <c r="I611" s="512">
        <v>14.28</v>
      </c>
      <c r="J611" s="513">
        <v>0.1</v>
      </c>
      <c r="K611" s="513">
        <f t="shared" si="152"/>
        <v>4598.0599999999995</v>
      </c>
      <c r="L611" s="511"/>
      <c r="M611" s="513"/>
    </row>
    <row r="612" spans="1:13" x14ac:dyDescent="0.25">
      <c r="A612" s="511"/>
      <c r="B612" s="560">
        <v>42622</v>
      </c>
      <c r="C612" s="511">
        <v>500</v>
      </c>
      <c r="D612" s="512">
        <v>15.98</v>
      </c>
      <c r="E612" s="513">
        <v>0</v>
      </c>
      <c r="F612" s="513">
        <f t="shared" si="151"/>
        <v>7990</v>
      </c>
      <c r="G612" s="510">
        <v>42634</v>
      </c>
      <c r="H612" s="528">
        <v>400</v>
      </c>
      <c r="I612" s="512">
        <v>14.64</v>
      </c>
      <c r="J612" s="513">
        <v>0.13</v>
      </c>
      <c r="K612" s="513">
        <f t="shared" si="152"/>
        <v>5855.87</v>
      </c>
      <c r="L612" s="511"/>
      <c r="M612" s="513"/>
    </row>
    <row r="613" spans="1:13" x14ac:dyDescent="0.25">
      <c r="A613" s="511"/>
      <c r="B613" s="560">
        <v>42622</v>
      </c>
      <c r="C613" s="511">
        <v>500</v>
      </c>
      <c r="D613" s="512">
        <v>15.75</v>
      </c>
      <c r="E613" s="513">
        <v>0</v>
      </c>
      <c r="F613" s="513">
        <f t="shared" si="151"/>
        <v>7875</v>
      </c>
      <c r="G613" s="510">
        <v>42639</v>
      </c>
      <c r="H613" s="528">
        <v>200</v>
      </c>
      <c r="I613" s="512">
        <v>14.72</v>
      </c>
      <c r="J613" s="513">
        <v>0.06</v>
      </c>
      <c r="K613" s="513">
        <f t="shared" si="152"/>
        <v>2943.94</v>
      </c>
      <c r="L613" s="511"/>
      <c r="M613" s="513"/>
    </row>
    <row r="614" spans="1:13" x14ac:dyDescent="0.25">
      <c r="A614" s="511"/>
      <c r="B614" s="560">
        <v>42625</v>
      </c>
      <c r="C614" s="511">
        <v>500</v>
      </c>
      <c r="D614" s="512">
        <v>15.22</v>
      </c>
      <c r="E614" s="513">
        <v>0</v>
      </c>
      <c r="F614" s="513">
        <f t="shared" si="151"/>
        <v>7610</v>
      </c>
      <c r="G614" s="510">
        <v>42641</v>
      </c>
      <c r="H614" s="528">
        <v>300</v>
      </c>
      <c r="I614" s="512">
        <v>15.28</v>
      </c>
      <c r="J614" s="513">
        <v>0.1</v>
      </c>
      <c r="K614" s="513">
        <f t="shared" si="152"/>
        <v>4583.8999999999996</v>
      </c>
      <c r="L614" s="511"/>
      <c r="M614" s="513"/>
    </row>
    <row r="615" spans="1:13" ht="30" x14ac:dyDescent="0.25">
      <c r="A615" s="614" t="s">
        <v>282</v>
      </c>
      <c r="B615" s="560">
        <v>42626</v>
      </c>
      <c r="C615" s="511">
        <v>600</v>
      </c>
      <c r="D615" s="512">
        <v>14.91</v>
      </c>
      <c r="E615" s="513">
        <v>-3</v>
      </c>
      <c r="F615" s="513">
        <f t="shared" si="151"/>
        <v>8943</v>
      </c>
      <c r="G615" s="510">
        <v>42641</v>
      </c>
      <c r="H615" s="528">
        <v>400</v>
      </c>
      <c r="I615" s="512">
        <v>15.06</v>
      </c>
      <c r="J615" s="513">
        <v>0.13</v>
      </c>
      <c r="K615" s="513">
        <f t="shared" si="152"/>
        <v>6023.87</v>
      </c>
      <c r="L615" s="511"/>
      <c r="M615" s="513"/>
    </row>
    <row r="616" spans="1:13" x14ac:dyDescent="0.25">
      <c r="A616" s="614"/>
      <c r="B616" s="560">
        <v>42626</v>
      </c>
      <c r="C616" s="511">
        <v>400</v>
      </c>
      <c r="D616" s="512">
        <v>14.75</v>
      </c>
      <c r="E616" s="513">
        <v>0</v>
      </c>
      <c r="F616" s="513">
        <f t="shared" si="151"/>
        <v>5900</v>
      </c>
      <c r="G616" s="510">
        <v>42641</v>
      </c>
      <c r="H616" s="528">
        <v>322</v>
      </c>
      <c r="I616" s="512">
        <v>14.39</v>
      </c>
      <c r="J616" s="513">
        <v>0.1</v>
      </c>
      <c r="K616" s="513">
        <f t="shared" si="152"/>
        <v>4633.4799999999996</v>
      </c>
      <c r="L616" s="511"/>
      <c r="M616" s="513"/>
    </row>
    <row r="617" spans="1:13" x14ac:dyDescent="0.25">
      <c r="A617" s="614"/>
      <c r="B617" s="560">
        <v>42626</v>
      </c>
      <c r="C617" s="511">
        <v>300</v>
      </c>
      <c r="D617" s="512">
        <v>14.48</v>
      </c>
      <c r="E617" s="513">
        <v>0</v>
      </c>
      <c r="F617" s="513">
        <f t="shared" si="151"/>
        <v>4344</v>
      </c>
      <c r="G617" s="510">
        <v>42641</v>
      </c>
      <c r="H617" s="528">
        <v>500</v>
      </c>
      <c r="I617" s="512">
        <v>14.26</v>
      </c>
      <c r="J617" s="513">
        <v>0.16</v>
      </c>
      <c r="K617" s="513">
        <f t="shared" si="152"/>
        <v>7129.84</v>
      </c>
      <c r="L617" s="511"/>
      <c r="M617" s="513"/>
    </row>
    <row r="618" spans="1:13" x14ac:dyDescent="0.25">
      <c r="A618" s="614"/>
      <c r="B618" s="560">
        <v>42626</v>
      </c>
      <c r="C618" s="511">
        <v>300</v>
      </c>
      <c r="D618" s="512">
        <v>14.25</v>
      </c>
      <c r="E618" s="513">
        <v>0</v>
      </c>
      <c r="F618" s="513">
        <f t="shared" si="151"/>
        <v>4275</v>
      </c>
      <c r="G618" s="510">
        <v>42642</v>
      </c>
      <c r="H618" s="528">
        <v>300</v>
      </c>
      <c r="I618" s="512">
        <v>15.28</v>
      </c>
      <c r="J618" s="513">
        <v>0.1</v>
      </c>
      <c r="K618" s="513">
        <f t="shared" si="152"/>
        <v>4583.8999999999996</v>
      </c>
      <c r="L618" s="511"/>
      <c r="M618" s="513"/>
    </row>
    <row r="619" spans="1:13" x14ac:dyDescent="0.25">
      <c r="A619" s="614"/>
      <c r="B619" s="560">
        <v>42627</v>
      </c>
      <c r="C619" s="511">
        <v>200</v>
      </c>
      <c r="D619" s="512">
        <v>14.02</v>
      </c>
      <c r="E619" s="513">
        <v>-1</v>
      </c>
      <c r="F619" s="513">
        <f t="shared" si="151"/>
        <v>2803</v>
      </c>
      <c r="G619" s="510">
        <v>42642</v>
      </c>
      <c r="H619" s="528">
        <v>700</v>
      </c>
      <c r="I619" s="512">
        <v>15.78</v>
      </c>
      <c r="J619" s="513">
        <v>0.24</v>
      </c>
      <c r="K619" s="513">
        <f t="shared" si="152"/>
        <v>11045.76</v>
      </c>
      <c r="L619" s="511"/>
      <c r="M619" s="513"/>
    </row>
    <row r="620" spans="1:13" x14ac:dyDescent="0.25">
      <c r="A620" s="511"/>
      <c r="B620" s="560">
        <v>42628</v>
      </c>
      <c r="C620" s="511">
        <v>300</v>
      </c>
      <c r="D620" s="512">
        <v>14.3</v>
      </c>
      <c r="E620" s="513">
        <v>0</v>
      </c>
      <c r="F620" s="513">
        <f t="shared" si="151"/>
        <v>4290</v>
      </c>
      <c r="G620" s="510">
        <v>42642</v>
      </c>
      <c r="H620" s="528">
        <v>214</v>
      </c>
      <c r="I620" s="512">
        <v>15.98</v>
      </c>
      <c r="J620" s="513">
        <v>7.0000000000000007E-2</v>
      </c>
      <c r="K620" s="513">
        <f t="shared" si="152"/>
        <v>3419.65</v>
      </c>
      <c r="L620" s="511"/>
      <c r="M620" s="513"/>
    </row>
    <row r="621" spans="1:13" x14ac:dyDescent="0.25">
      <c r="A621" s="511"/>
      <c r="B621" s="560">
        <v>42632</v>
      </c>
      <c r="C621" s="511">
        <v>200</v>
      </c>
      <c r="D621" s="512">
        <v>14.06</v>
      </c>
      <c r="E621" s="513">
        <v>0</v>
      </c>
      <c r="F621" s="513">
        <f t="shared" si="151"/>
        <v>2812</v>
      </c>
      <c r="G621" s="510">
        <v>42648</v>
      </c>
      <c r="H621" s="528">
        <v>1000</v>
      </c>
      <c r="I621" s="512">
        <v>16.079999999999998</v>
      </c>
      <c r="J621" s="513">
        <v>0.35</v>
      </c>
      <c r="K621" s="513">
        <f t="shared" si="152"/>
        <v>16079.649999999998</v>
      </c>
      <c r="L621" s="511"/>
      <c r="M621" s="513"/>
    </row>
    <row r="622" spans="1:13" x14ac:dyDescent="0.25">
      <c r="A622" s="511"/>
      <c r="B622" s="560">
        <v>42633</v>
      </c>
      <c r="C622" s="511">
        <v>200</v>
      </c>
      <c r="D622" s="512">
        <v>14.11</v>
      </c>
      <c r="E622" s="513">
        <v>0</v>
      </c>
      <c r="F622" s="513">
        <f t="shared" si="151"/>
        <v>2822</v>
      </c>
      <c r="G622" s="510">
        <v>42648</v>
      </c>
      <c r="H622" s="528">
        <v>500</v>
      </c>
      <c r="I622" s="512">
        <v>16.38</v>
      </c>
      <c r="J622" s="513">
        <v>0.18</v>
      </c>
      <c r="K622" s="513">
        <f t="shared" si="152"/>
        <v>8189.8199999999988</v>
      </c>
      <c r="L622" s="511"/>
      <c r="M622" s="513"/>
    </row>
    <row r="623" spans="1:13" x14ac:dyDescent="0.25">
      <c r="A623" s="511"/>
      <c r="B623" s="560">
        <v>42633</v>
      </c>
      <c r="C623" s="511">
        <v>122</v>
      </c>
      <c r="D623" s="512">
        <v>14.1</v>
      </c>
      <c r="E623" s="513">
        <v>0</v>
      </c>
      <c r="F623" s="513">
        <f t="shared" si="151"/>
        <v>1720.2</v>
      </c>
      <c r="G623" s="510">
        <v>42649</v>
      </c>
      <c r="H623" s="528">
        <v>500</v>
      </c>
      <c r="I623" s="512">
        <v>16.16</v>
      </c>
      <c r="J623" s="513">
        <v>0.18</v>
      </c>
      <c r="K623" s="513">
        <f t="shared" si="152"/>
        <v>8079.82</v>
      </c>
      <c r="L623" s="511"/>
      <c r="M623" s="513"/>
    </row>
    <row r="624" spans="1:13" x14ac:dyDescent="0.25">
      <c r="A624" s="511"/>
      <c r="B624" s="560">
        <v>42636</v>
      </c>
      <c r="C624" s="511">
        <v>200</v>
      </c>
      <c r="D624" s="512">
        <v>14.38</v>
      </c>
      <c r="E624" s="513">
        <v>0</v>
      </c>
      <c r="F624" s="513">
        <f t="shared" si="151"/>
        <v>2876</v>
      </c>
      <c r="G624" s="510">
        <v>42671</v>
      </c>
      <c r="H624" s="528">
        <v>1000</v>
      </c>
      <c r="I624" s="512">
        <v>14.22</v>
      </c>
      <c r="J624" s="513">
        <v>0.31</v>
      </c>
      <c r="K624" s="513">
        <f t="shared" si="152"/>
        <v>14219.69</v>
      </c>
      <c r="L624" s="511"/>
      <c r="M624" s="513"/>
    </row>
    <row r="625" spans="1:13" x14ac:dyDescent="0.25">
      <c r="A625" s="511"/>
      <c r="B625" s="560">
        <v>42639</v>
      </c>
      <c r="C625" s="511">
        <v>200</v>
      </c>
      <c r="D625" s="512">
        <v>14.5</v>
      </c>
      <c r="E625" s="513">
        <v>0</v>
      </c>
      <c r="F625" s="513">
        <f t="shared" ref="F625:F639" si="153">C625*D625+E625</f>
        <v>2900</v>
      </c>
      <c r="G625" s="510">
        <v>42674</v>
      </c>
      <c r="H625" s="528">
        <v>300</v>
      </c>
      <c r="I625" s="512">
        <v>13.42</v>
      </c>
      <c r="J625" s="513">
        <v>0.09</v>
      </c>
      <c r="K625" s="513">
        <f t="shared" si="152"/>
        <v>4025.91</v>
      </c>
      <c r="L625" s="511"/>
      <c r="M625" s="513"/>
    </row>
    <row r="626" spans="1:13" x14ac:dyDescent="0.25">
      <c r="A626" s="511"/>
      <c r="B626" s="560">
        <v>42639</v>
      </c>
      <c r="C626" s="511">
        <v>200</v>
      </c>
      <c r="D626" s="512">
        <v>14.38</v>
      </c>
      <c r="E626" s="513">
        <v>0</v>
      </c>
      <c r="F626" s="513">
        <f t="shared" si="153"/>
        <v>2876</v>
      </c>
      <c r="G626" s="510">
        <v>42674</v>
      </c>
      <c r="H626" s="528">
        <v>200</v>
      </c>
      <c r="I626" s="512">
        <v>13.25</v>
      </c>
      <c r="J626" s="513">
        <v>-0.74</v>
      </c>
      <c r="K626" s="513">
        <f t="shared" si="152"/>
        <v>2650.74</v>
      </c>
      <c r="L626" s="511"/>
      <c r="M626" s="513"/>
    </row>
    <row r="627" spans="1:13" x14ac:dyDescent="0.25">
      <c r="A627" s="511"/>
      <c r="B627" s="560">
        <v>42640</v>
      </c>
      <c r="C627" s="511">
        <v>322</v>
      </c>
      <c r="D627" s="512">
        <v>13.97</v>
      </c>
      <c r="E627" s="513">
        <v>0</v>
      </c>
      <c r="F627" s="513">
        <f t="shared" si="153"/>
        <v>4498.34</v>
      </c>
      <c r="G627" s="510">
        <v>42676</v>
      </c>
      <c r="H627" s="528">
        <v>200</v>
      </c>
      <c r="I627" s="512">
        <v>13.05</v>
      </c>
      <c r="J627" s="513">
        <v>0.06</v>
      </c>
      <c r="K627" s="513">
        <f t="shared" si="152"/>
        <v>2609.94</v>
      </c>
      <c r="L627" s="511"/>
      <c r="M627" s="513"/>
    </row>
    <row r="628" spans="1:13" x14ac:dyDescent="0.25">
      <c r="A628" s="511"/>
      <c r="B628" s="560">
        <v>42641</v>
      </c>
      <c r="C628" s="511">
        <v>300</v>
      </c>
      <c r="D628" s="512">
        <v>14.02</v>
      </c>
      <c r="E628" s="513">
        <v>-1.26</v>
      </c>
      <c r="F628" s="513">
        <f t="shared" si="153"/>
        <v>4204.74</v>
      </c>
      <c r="G628" s="510">
        <v>42677</v>
      </c>
      <c r="H628" s="528">
        <v>500</v>
      </c>
      <c r="I628" s="512">
        <v>13.96</v>
      </c>
      <c r="J628" s="513">
        <v>0.15</v>
      </c>
      <c r="K628" s="513">
        <f t="shared" si="152"/>
        <v>6979.85</v>
      </c>
      <c r="L628" s="511"/>
      <c r="M628" s="513"/>
    </row>
    <row r="629" spans="1:13" x14ac:dyDescent="0.25">
      <c r="A629" s="511"/>
      <c r="B629" s="560">
        <v>42641</v>
      </c>
      <c r="C629" s="511">
        <v>200</v>
      </c>
      <c r="D629" s="512">
        <v>14.17</v>
      </c>
      <c r="E629" s="513">
        <v>0</v>
      </c>
      <c r="F629" s="513">
        <f t="shared" si="153"/>
        <v>2834</v>
      </c>
      <c r="G629" s="510">
        <v>42677</v>
      </c>
      <c r="H629" s="528">
        <v>2000</v>
      </c>
      <c r="I629" s="512">
        <v>14.5</v>
      </c>
      <c r="J629" s="513">
        <v>0.63</v>
      </c>
      <c r="K629" s="513">
        <f t="shared" si="152"/>
        <v>28999.37</v>
      </c>
      <c r="L629" s="511"/>
      <c r="M629" s="513"/>
    </row>
    <row r="630" spans="1:13" x14ac:dyDescent="0.25">
      <c r="A630" s="511"/>
      <c r="B630" s="560">
        <v>42642</v>
      </c>
      <c r="C630" s="511">
        <v>414</v>
      </c>
      <c r="D630" s="512">
        <v>15.66</v>
      </c>
      <c r="E630" s="513">
        <v>0</v>
      </c>
      <c r="F630" s="513">
        <f t="shared" si="153"/>
        <v>6483.24</v>
      </c>
      <c r="G630" s="510">
        <v>42682</v>
      </c>
      <c r="H630" s="528">
        <v>1000</v>
      </c>
      <c r="I630" s="512">
        <v>14.28</v>
      </c>
      <c r="J630" s="513">
        <v>0.31</v>
      </c>
      <c r="K630" s="513">
        <f t="shared" si="152"/>
        <v>14279.69</v>
      </c>
      <c r="L630" s="511"/>
      <c r="M630" s="513"/>
    </row>
    <row r="631" spans="1:13" ht="30" x14ac:dyDescent="0.25">
      <c r="A631" s="614" t="s">
        <v>298</v>
      </c>
      <c r="B631" s="560">
        <v>42647</v>
      </c>
      <c r="C631" s="511">
        <v>500</v>
      </c>
      <c r="D631" s="512">
        <v>15.86</v>
      </c>
      <c r="E631" s="513">
        <v>0</v>
      </c>
      <c r="F631" s="513">
        <f t="shared" si="153"/>
        <v>7930</v>
      </c>
      <c r="G631" s="510">
        <v>42685</v>
      </c>
      <c r="H631" s="528">
        <v>500</v>
      </c>
      <c r="I631" s="512">
        <v>15.88</v>
      </c>
      <c r="J631" s="513">
        <v>0.17</v>
      </c>
      <c r="K631" s="513">
        <f t="shared" si="152"/>
        <v>7939.83</v>
      </c>
      <c r="L631" s="511"/>
      <c r="M631" s="513"/>
    </row>
    <row r="632" spans="1:13" x14ac:dyDescent="0.25">
      <c r="A632" s="614"/>
      <c r="B632" s="560">
        <v>42647</v>
      </c>
      <c r="C632" s="511">
        <v>500</v>
      </c>
      <c r="D632" s="512">
        <v>15.62</v>
      </c>
      <c r="E632" s="513">
        <v>0</v>
      </c>
      <c r="F632" s="513">
        <f t="shared" si="153"/>
        <v>7810</v>
      </c>
      <c r="G632" s="510">
        <v>42695</v>
      </c>
      <c r="H632" s="528">
        <v>2272</v>
      </c>
      <c r="I632" s="512">
        <v>16.28</v>
      </c>
      <c r="J632" s="513">
        <v>0.81</v>
      </c>
      <c r="K632" s="513">
        <f t="shared" si="152"/>
        <v>36987.350000000006</v>
      </c>
      <c r="L632" s="511"/>
      <c r="M632" s="513"/>
    </row>
    <row r="633" spans="1:13" x14ac:dyDescent="0.25">
      <c r="A633" s="614"/>
      <c r="B633" s="560">
        <v>42649</v>
      </c>
      <c r="C633" s="511">
        <v>500</v>
      </c>
      <c r="D633" s="512">
        <v>15.97</v>
      </c>
      <c r="E633" s="513">
        <v>0</v>
      </c>
      <c r="F633" s="513">
        <f t="shared" si="153"/>
        <v>7985</v>
      </c>
      <c r="G633" s="510">
        <v>42695</v>
      </c>
      <c r="H633" s="528">
        <v>500</v>
      </c>
      <c r="I633" s="512">
        <v>16.45</v>
      </c>
      <c r="J633" s="513">
        <v>0.18</v>
      </c>
      <c r="K633" s="513">
        <f t="shared" si="152"/>
        <v>8224.82</v>
      </c>
      <c r="L633" s="511"/>
      <c r="M633" s="513"/>
    </row>
    <row r="634" spans="1:13" x14ac:dyDescent="0.25">
      <c r="A634" s="614"/>
      <c r="B634" s="560">
        <v>42649</v>
      </c>
      <c r="C634" s="511">
        <v>500</v>
      </c>
      <c r="D634" s="512">
        <v>15.84</v>
      </c>
      <c r="E634" s="513">
        <v>0</v>
      </c>
      <c r="F634" s="513">
        <f t="shared" si="153"/>
        <v>7920</v>
      </c>
      <c r="G634" s="510">
        <v>42696</v>
      </c>
      <c r="H634" s="528">
        <v>500</v>
      </c>
      <c r="I634" s="512">
        <v>16.54</v>
      </c>
      <c r="J634" s="513">
        <v>0.18</v>
      </c>
      <c r="K634" s="513">
        <f t="shared" si="152"/>
        <v>8269.82</v>
      </c>
      <c r="L634" s="511"/>
      <c r="M634" s="513"/>
    </row>
    <row r="635" spans="1:13" x14ac:dyDescent="0.25">
      <c r="A635" s="511"/>
      <c r="B635" s="560">
        <v>42649</v>
      </c>
      <c r="C635" s="511">
        <v>500</v>
      </c>
      <c r="D635" s="512">
        <v>16.079999999999998</v>
      </c>
      <c r="E635" s="513">
        <v>0</v>
      </c>
      <c r="F635" s="513">
        <f t="shared" si="153"/>
        <v>8039.9999999999991</v>
      </c>
      <c r="G635" s="510">
        <v>42697</v>
      </c>
      <c r="H635" s="528">
        <v>200</v>
      </c>
      <c r="I635" s="512">
        <v>16.79</v>
      </c>
      <c r="J635" s="513">
        <v>7.0000000000000007E-2</v>
      </c>
      <c r="K635" s="513">
        <f t="shared" si="152"/>
        <v>3357.93</v>
      </c>
      <c r="L635" s="511"/>
      <c r="M635" s="513"/>
    </row>
    <row r="636" spans="1:13" x14ac:dyDescent="0.25">
      <c r="A636" s="511"/>
      <c r="B636" s="560">
        <v>42650</v>
      </c>
      <c r="C636" s="511">
        <v>300</v>
      </c>
      <c r="D636" s="512">
        <v>15.75</v>
      </c>
      <c r="E636" s="513">
        <v>0</v>
      </c>
      <c r="F636" s="513">
        <f t="shared" si="153"/>
        <v>4725</v>
      </c>
      <c r="G636" s="510">
        <v>42697</v>
      </c>
      <c r="H636" s="528">
        <v>500</v>
      </c>
      <c r="I636" s="512">
        <v>16.59</v>
      </c>
      <c r="J636" s="513">
        <v>0.18</v>
      </c>
      <c r="K636" s="513">
        <f t="shared" si="152"/>
        <v>8294.82</v>
      </c>
      <c r="L636" s="511"/>
      <c r="M636" s="513"/>
    </row>
    <row r="637" spans="1:13" x14ac:dyDescent="0.25">
      <c r="A637" s="511"/>
      <c r="B637" s="560">
        <v>42650</v>
      </c>
      <c r="C637" s="511">
        <v>300</v>
      </c>
      <c r="D637" s="512">
        <v>15.58</v>
      </c>
      <c r="E637" s="513">
        <v>0</v>
      </c>
      <c r="F637" s="513">
        <f t="shared" si="153"/>
        <v>4674</v>
      </c>
      <c r="G637" s="510">
        <v>42704</v>
      </c>
      <c r="H637" s="528">
        <v>1000</v>
      </c>
      <c r="I637" s="512">
        <v>16.420000000000002</v>
      </c>
      <c r="J637" s="513">
        <v>0.36</v>
      </c>
      <c r="K637" s="513">
        <f t="shared" si="152"/>
        <v>16419.64</v>
      </c>
      <c r="L637" s="511"/>
      <c r="M637" s="513"/>
    </row>
    <row r="638" spans="1:13" x14ac:dyDescent="0.25">
      <c r="A638" s="511"/>
      <c r="B638" s="560">
        <v>42653</v>
      </c>
      <c r="C638" s="511">
        <v>394</v>
      </c>
      <c r="D638" s="512">
        <v>15.72</v>
      </c>
      <c r="E638" s="513">
        <v>0</v>
      </c>
      <c r="F638" s="513">
        <f t="shared" si="153"/>
        <v>6193.68</v>
      </c>
      <c r="G638" s="510">
        <v>42704</v>
      </c>
      <c r="H638" s="528">
        <v>300</v>
      </c>
      <c r="I638" s="512">
        <v>16.78</v>
      </c>
      <c r="J638" s="513">
        <v>1.61</v>
      </c>
      <c r="K638" s="513">
        <f t="shared" si="152"/>
        <v>5032.3900000000003</v>
      </c>
      <c r="L638" s="511"/>
      <c r="M638" s="513"/>
    </row>
    <row r="639" spans="1:13" x14ac:dyDescent="0.25">
      <c r="A639" s="511"/>
      <c r="B639" s="560">
        <v>42653</v>
      </c>
      <c r="C639" s="511">
        <v>6</v>
      </c>
      <c r="D639" s="512">
        <v>15.72</v>
      </c>
      <c r="E639" s="513">
        <v>0</v>
      </c>
      <c r="F639" s="513">
        <f t="shared" si="153"/>
        <v>94.320000000000007</v>
      </c>
      <c r="G639" s="510">
        <v>42704</v>
      </c>
      <c r="H639" s="528">
        <v>1000</v>
      </c>
      <c r="I639" s="512">
        <v>17.079999999999998</v>
      </c>
      <c r="J639" s="513">
        <v>0.37</v>
      </c>
      <c r="K639" s="513">
        <f t="shared" si="152"/>
        <v>17079.63</v>
      </c>
      <c r="L639" s="511"/>
      <c r="M639" s="513"/>
    </row>
    <row r="640" spans="1:13" x14ac:dyDescent="0.25">
      <c r="A640" s="511"/>
      <c r="B640" s="560">
        <v>42655</v>
      </c>
      <c r="C640" s="511">
        <v>22</v>
      </c>
      <c r="D640" s="512">
        <v>15.48</v>
      </c>
      <c r="E640" s="513">
        <v>0</v>
      </c>
      <c r="F640" s="513">
        <f>C640*D640+E640</f>
        <v>340.56</v>
      </c>
      <c r="G640" s="510">
        <v>42704</v>
      </c>
      <c r="H640" s="528">
        <v>1000</v>
      </c>
      <c r="I640" s="512">
        <v>17.32</v>
      </c>
      <c r="J640" s="513">
        <v>0.38</v>
      </c>
      <c r="K640" s="513">
        <f t="shared" si="152"/>
        <v>17319.62</v>
      </c>
      <c r="L640" s="511"/>
      <c r="M640" s="513"/>
    </row>
    <row r="641" spans="1:13" x14ac:dyDescent="0.25">
      <c r="A641" s="511"/>
      <c r="B641" s="560">
        <v>42655</v>
      </c>
      <c r="C641" s="511">
        <v>300</v>
      </c>
      <c r="D641" s="512">
        <v>15.48</v>
      </c>
      <c r="E641" s="513">
        <v>0</v>
      </c>
      <c r="F641" s="513">
        <f>C641*D641+E641</f>
        <v>4644</v>
      </c>
      <c r="G641" s="510">
        <v>42704</v>
      </c>
      <c r="H641" s="528">
        <v>500</v>
      </c>
      <c r="I641" s="512">
        <v>17.64</v>
      </c>
      <c r="J641" s="513">
        <v>0.19</v>
      </c>
      <c r="K641" s="513">
        <f t="shared" si="152"/>
        <v>8819.81</v>
      </c>
      <c r="L641" s="511"/>
      <c r="M641" s="513"/>
    </row>
    <row r="642" spans="1:13" x14ac:dyDescent="0.25">
      <c r="A642" s="615"/>
      <c r="B642" s="560">
        <v>42668</v>
      </c>
      <c r="C642" s="511">
        <v>500</v>
      </c>
      <c r="D642" s="512">
        <v>14.26</v>
      </c>
      <c r="E642" s="513">
        <v>-2.5</v>
      </c>
      <c r="F642" s="513">
        <f t="shared" ref="F642:F651" si="154">C642*D642+E642</f>
        <v>7127.5</v>
      </c>
      <c r="G642" s="510">
        <v>42705</v>
      </c>
      <c r="H642" s="528">
        <v>528</v>
      </c>
      <c r="I642" s="512">
        <v>18.7</v>
      </c>
      <c r="J642" s="513">
        <v>0.22</v>
      </c>
      <c r="K642" s="513">
        <f t="shared" si="152"/>
        <v>9873.380000000001</v>
      </c>
      <c r="L642" s="511"/>
      <c r="M642" s="513"/>
    </row>
    <row r="643" spans="1:13" x14ac:dyDescent="0.25">
      <c r="A643" s="615"/>
      <c r="B643" s="560">
        <v>42668</v>
      </c>
      <c r="C643" s="511">
        <v>500</v>
      </c>
      <c r="D643" s="512">
        <v>14.16</v>
      </c>
      <c r="E643" s="513">
        <v>0</v>
      </c>
      <c r="F643" s="513">
        <f t="shared" si="154"/>
        <v>7080</v>
      </c>
      <c r="G643" s="510">
        <v>42711</v>
      </c>
      <c r="H643" s="528">
        <v>500</v>
      </c>
      <c r="I643" s="512">
        <v>18.329999999999998</v>
      </c>
      <c r="J643" s="513">
        <v>0.2</v>
      </c>
      <c r="K643" s="513">
        <f t="shared" si="152"/>
        <v>9164.7999999999993</v>
      </c>
      <c r="L643" s="511"/>
      <c r="M643" s="513"/>
    </row>
    <row r="644" spans="1:13" x14ac:dyDescent="0.25">
      <c r="A644" s="615"/>
      <c r="B644" s="560">
        <v>42670</v>
      </c>
      <c r="C644" s="511">
        <v>500</v>
      </c>
      <c r="D644" s="512">
        <v>14.18</v>
      </c>
      <c r="E644" s="513">
        <v>0</v>
      </c>
      <c r="F644" s="513">
        <f t="shared" si="154"/>
        <v>7090</v>
      </c>
      <c r="G644" s="510">
        <v>42713</v>
      </c>
      <c r="H644" s="528">
        <v>500</v>
      </c>
      <c r="I644" s="512">
        <v>18.28</v>
      </c>
      <c r="J644" s="513">
        <v>0.2</v>
      </c>
      <c r="K644" s="513">
        <f t="shared" si="152"/>
        <v>9139.7999999999993</v>
      </c>
      <c r="L644" s="511"/>
      <c r="M644" s="513"/>
    </row>
    <row r="645" spans="1:13" x14ac:dyDescent="0.25">
      <c r="A645" s="615"/>
      <c r="B645" s="560">
        <v>42670</v>
      </c>
      <c r="C645" s="511">
        <v>500</v>
      </c>
      <c r="D645" s="512">
        <v>14.05</v>
      </c>
      <c r="E645" s="513">
        <v>0</v>
      </c>
      <c r="F645" s="513">
        <f t="shared" si="154"/>
        <v>7025</v>
      </c>
      <c r="G645" s="510">
        <v>42718</v>
      </c>
      <c r="H645" s="528">
        <v>200</v>
      </c>
      <c r="I645" s="512">
        <v>18.78</v>
      </c>
      <c r="J645" s="513">
        <v>0.08</v>
      </c>
      <c r="K645" s="513">
        <f t="shared" si="152"/>
        <v>3755.92</v>
      </c>
      <c r="L645" s="511"/>
      <c r="M645" s="513"/>
    </row>
    <row r="646" spans="1:13" x14ac:dyDescent="0.25">
      <c r="A646" s="615"/>
      <c r="B646" s="560">
        <v>42670</v>
      </c>
      <c r="C646" s="511">
        <v>500</v>
      </c>
      <c r="D646" s="512">
        <v>13.88</v>
      </c>
      <c r="E646" s="513">
        <v>0</v>
      </c>
      <c r="F646" s="513">
        <f t="shared" si="154"/>
        <v>6940</v>
      </c>
      <c r="G646" s="510">
        <v>42734</v>
      </c>
      <c r="H646" s="528">
        <v>1000</v>
      </c>
      <c r="I646" s="512">
        <v>17.72</v>
      </c>
      <c r="J646" s="513">
        <v>0.39</v>
      </c>
      <c r="K646" s="513">
        <f t="shared" si="152"/>
        <v>17719.61</v>
      </c>
      <c r="L646" s="511"/>
      <c r="M646" s="513"/>
    </row>
    <row r="647" spans="1:13" x14ac:dyDescent="0.25">
      <c r="A647" s="511"/>
      <c r="B647" s="560">
        <v>42671</v>
      </c>
      <c r="C647" s="511">
        <v>1000</v>
      </c>
      <c r="D647" s="512">
        <v>14.15</v>
      </c>
      <c r="E647" s="513">
        <v>0</v>
      </c>
      <c r="F647" s="513">
        <f t="shared" si="154"/>
        <v>14150</v>
      </c>
      <c r="G647" s="510">
        <v>42739</v>
      </c>
      <c r="H647" s="528">
        <v>500</v>
      </c>
      <c r="I647" s="512">
        <v>18.079999999999998</v>
      </c>
      <c r="J647" s="513">
        <v>0.2</v>
      </c>
      <c r="K647" s="513">
        <f t="shared" si="152"/>
        <v>9039.7999999999993</v>
      </c>
      <c r="L647" s="511"/>
      <c r="M647" s="513"/>
    </row>
    <row r="648" spans="1:13" x14ac:dyDescent="0.25">
      <c r="A648" s="511"/>
      <c r="B648" s="560">
        <v>42674</v>
      </c>
      <c r="C648" s="511">
        <v>300</v>
      </c>
      <c r="D648" s="512">
        <v>13.28</v>
      </c>
      <c r="E648" s="513">
        <v>-1.5</v>
      </c>
      <c r="F648" s="513">
        <f t="shared" si="154"/>
        <v>3982.5</v>
      </c>
      <c r="G648" s="510">
        <v>42748</v>
      </c>
      <c r="H648" s="528">
        <v>500</v>
      </c>
      <c r="I648" s="512">
        <v>17.48</v>
      </c>
      <c r="J648" s="513">
        <v>0.19</v>
      </c>
      <c r="K648" s="513">
        <f t="shared" si="152"/>
        <v>8739.81</v>
      </c>
      <c r="L648" s="511"/>
      <c r="M648" s="513"/>
    </row>
    <row r="649" spans="1:13" x14ac:dyDescent="0.25">
      <c r="A649" s="511"/>
      <c r="B649" s="560">
        <v>42674</v>
      </c>
      <c r="C649" s="511">
        <v>200</v>
      </c>
      <c r="D649" s="512">
        <v>13.15</v>
      </c>
      <c r="E649" s="513">
        <v>0.02</v>
      </c>
      <c r="F649" s="513">
        <f t="shared" si="154"/>
        <v>2630.02</v>
      </c>
      <c r="G649" s="510">
        <v>42761</v>
      </c>
      <c r="H649" s="528">
        <v>1000</v>
      </c>
      <c r="I649" s="512">
        <v>17.899999999999999</v>
      </c>
      <c r="J649" s="513">
        <v>0.39</v>
      </c>
      <c r="K649" s="513">
        <f t="shared" si="152"/>
        <v>17899.61</v>
      </c>
      <c r="L649" s="511"/>
      <c r="M649" s="513"/>
    </row>
    <row r="650" spans="1:13" x14ac:dyDescent="0.25">
      <c r="A650" s="511"/>
      <c r="B650" s="560">
        <v>42676</v>
      </c>
      <c r="C650" s="511">
        <v>200</v>
      </c>
      <c r="D650" s="512">
        <v>12.89</v>
      </c>
      <c r="E650" s="513">
        <v>0</v>
      </c>
      <c r="F650" s="513">
        <f t="shared" si="154"/>
        <v>2578</v>
      </c>
      <c r="G650" s="510">
        <v>42766</v>
      </c>
      <c r="H650" s="528">
        <v>300</v>
      </c>
      <c r="I650" s="512">
        <v>16.649999999999999</v>
      </c>
      <c r="J650" s="513">
        <v>0.11</v>
      </c>
      <c r="K650" s="513">
        <f t="shared" si="152"/>
        <v>4994.8900000000003</v>
      </c>
      <c r="L650" s="511"/>
      <c r="M650" s="513"/>
    </row>
    <row r="651" spans="1:13" x14ac:dyDescent="0.25">
      <c r="A651" s="511"/>
      <c r="B651" s="560">
        <v>42678</v>
      </c>
      <c r="C651" s="511">
        <v>500</v>
      </c>
      <c r="D651" s="512">
        <v>13.69</v>
      </c>
      <c r="E651" s="513">
        <v>0</v>
      </c>
      <c r="F651" s="513">
        <f t="shared" si="154"/>
        <v>6845</v>
      </c>
      <c r="G651" s="510">
        <v>42767</v>
      </c>
      <c r="H651" s="528">
        <v>612</v>
      </c>
      <c r="I651" s="512">
        <v>17.03</v>
      </c>
      <c r="J651" s="513">
        <v>0.23</v>
      </c>
      <c r="K651" s="513">
        <f t="shared" si="152"/>
        <v>10422.130000000001</v>
      </c>
      <c r="L651" s="511"/>
      <c r="M651" s="513"/>
    </row>
    <row r="652" spans="1:13" x14ac:dyDescent="0.25">
      <c r="A652" s="511"/>
      <c r="B652" s="560">
        <v>42678</v>
      </c>
      <c r="C652" s="511">
        <v>500</v>
      </c>
      <c r="D652" s="512">
        <v>13.69</v>
      </c>
      <c r="E652" s="513">
        <v>0</v>
      </c>
      <c r="F652" s="513">
        <f>C652*D652+E652</f>
        <v>6845</v>
      </c>
      <c r="G652" s="510">
        <v>42767</v>
      </c>
      <c r="H652" s="528">
        <v>288</v>
      </c>
      <c r="I652" s="512">
        <v>17.12</v>
      </c>
      <c r="J652" s="513">
        <v>0.11</v>
      </c>
      <c r="K652" s="513">
        <f t="shared" si="152"/>
        <v>4930.4500000000007</v>
      </c>
      <c r="L652" s="511"/>
      <c r="M652" s="513"/>
    </row>
    <row r="653" spans="1:13" x14ac:dyDescent="0.25">
      <c r="A653" s="511"/>
      <c r="B653" s="560">
        <v>42691</v>
      </c>
      <c r="C653" s="511">
        <v>150</v>
      </c>
      <c r="D653" s="512">
        <v>15.48</v>
      </c>
      <c r="E653" s="513">
        <v>0</v>
      </c>
      <c r="F653" s="513">
        <f t="shared" ref="F653:F669" si="155">C653*D653+E653</f>
        <v>2322</v>
      </c>
      <c r="G653" s="510">
        <v>42767</v>
      </c>
      <c r="H653" s="528">
        <v>700</v>
      </c>
      <c r="I653" s="512">
        <v>16.57</v>
      </c>
      <c r="J653" s="513">
        <v>0.25</v>
      </c>
      <c r="K653" s="513">
        <f t="shared" si="152"/>
        <v>11598.75</v>
      </c>
      <c r="L653" s="511"/>
      <c r="M653" s="513"/>
    </row>
    <row r="654" spans="1:13" x14ac:dyDescent="0.25">
      <c r="A654" s="511"/>
      <c r="B654" s="560">
        <v>42691</v>
      </c>
      <c r="C654" s="511">
        <v>300</v>
      </c>
      <c r="D654" s="512">
        <v>15.48</v>
      </c>
      <c r="E654" s="513">
        <v>0</v>
      </c>
      <c r="F654" s="513">
        <f t="shared" si="155"/>
        <v>4644</v>
      </c>
      <c r="G654" s="510">
        <v>42768</v>
      </c>
      <c r="H654" s="528">
        <v>200</v>
      </c>
      <c r="I654" s="512">
        <v>16.7</v>
      </c>
      <c r="J654" s="513">
        <v>7.0000000000000007E-2</v>
      </c>
      <c r="K654" s="513">
        <f t="shared" si="152"/>
        <v>3339.93</v>
      </c>
      <c r="L654" s="511"/>
      <c r="M654" s="513"/>
    </row>
    <row r="655" spans="1:13" x14ac:dyDescent="0.25">
      <c r="A655" s="511"/>
      <c r="B655" s="560">
        <v>42696</v>
      </c>
      <c r="C655" s="511">
        <v>1000</v>
      </c>
      <c r="D655" s="512">
        <v>16.12</v>
      </c>
      <c r="E655" s="513">
        <v>0</v>
      </c>
      <c r="F655" s="513">
        <f t="shared" si="155"/>
        <v>16120.000000000002</v>
      </c>
      <c r="G655" s="510">
        <v>42768</v>
      </c>
      <c r="H655" s="528">
        <v>500</v>
      </c>
      <c r="I655" s="512">
        <v>16.600000000000001</v>
      </c>
      <c r="J655" s="513">
        <v>-1.82</v>
      </c>
      <c r="K655" s="513">
        <f t="shared" si="152"/>
        <v>8301.82</v>
      </c>
      <c r="L655" s="511"/>
      <c r="M655" s="513"/>
    </row>
    <row r="656" spans="1:13" x14ac:dyDescent="0.25">
      <c r="A656" s="511"/>
      <c r="B656" s="560">
        <v>42699</v>
      </c>
      <c r="C656" s="511">
        <v>200</v>
      </c>
      <c r="D656" s="512">
        <v>16.28</v>
      </c>
      <c r="E656" s="513">
        <v>0</v>
      </c>
      <c r="F656" s="513">
        <f t="shared" si="155"/>
        <v>3256</v>
      </c>
      <c r="G656" s="510">
        <v>42768</v>
      </c>
      <c r="H656" s="528">
        <v>500</v>
      </c>
      <c r="I656" s="512">
        <v>16.75</v>
      </c>
      <c r="J656" s="513">
        <v>0.18</v>
      </c>
      <c r="K656" s="513">
        <f t="shared" si="152"/>
        <v>8374.82</v>
      </c>
      <c r="L656" s="511"/>
      <c r="M656" s="513"/>
    </row>
    <row r="657" spans="1:13" x14ac:dyDescent="0.25">
      <c r="A657" s="615"/>
      <c r="B657" s="560">
        <v>42699</v>
      </c>
      <c r="C657" s="511">
        <v>500</v>
      </c>
      <c r="D657" s="512">
        <v>16.16</v>
      </c>
      <c r="E657" s="513">
        <v>0</v>
      </c>
      <c r="F657" s="513">
        <f t="shared" si="155"/>
        <v>8080</v>
      </c>
      <c r="G657" s="510">
        <v>42769</v>
      </c>
      <c r="H657" s="616">
        <v>400</v>
      </c>
      <c r="I657" s="617">
        <v>16.95</v>
      </c>
      <c r="J657" s="618">
        <v>0.15</v>
      </c>
      <c r="K657" s="618">
        <f t="shared" si="152"/>
        <v>6779.85</v>
      </c>
      <c r="L657" s="511"/>
      <c r="M657" s="513"/>
    </row>
    <row r="658" spans="1:13" x14ac:dyDescent="0.25">
      <c r="A658" s="615"/>
      <c r="B658" s="560">
        <v>42702</v>
      </c>
      <c r="C658" s="511">
        <v>500</v>
      </c>
      <c r="D658" s="512">
        <v>16.059999999999999</v>
      </c>
      <c r="E658" s="513">
        <v>0</v>
      </c>
      <c r="F658" s="513">
        <f t="shared" si="155"/>
        <v>8029.9999999999991</v>
      </c>
      <c r="G658" s="510">
        <v>42769</v>
      </c>
      <c r="H658" s="616">
        <v>300</v>
      </c>
      <c r="I658" s="617">
        <v>17.32</v>
      </c>
      <c r="J658" s="618">
        <v>0.11</v>
      </c>
      <c r="K658" s="618">
        <f t="shared" si="152"/>
        <v>5195.8900000000003</v>
      </c>
      <c r="L658" s="511"/>
      <c r="M658" s="513"/>
    </row>
    <row r="659" spans="1:13" x14ac:dyDescent="0.25">
      <c r="A659" s="615"/>
      <c r="B659" s="560">
        <v>42702</v>
      </c>
      <c r="C659" s="511">
        <v>200</v>
      </c>
      <c r="D659" s="512">
        <v>15.8</v>
      </c>
      <c r="E659" s="513">
        <v>0</v>
      </c>
      <c r="F659" s="513">
        <f t="shared" si="155"/>
        <v>3160</v>
      </c>
      <c r="G659" s="510">
        <v>42781</v>
      </c>
      <c r="H659" s="528">
        <v>600</v>
      </c>
      <c r="I659" s="512">
        <v>16.52</v>
      </c>
      <c r="J659" s="513">
        <v>0.22</v>
      </c>
      <c r="K659" s="513">
        <f t="shared" si="152"/>
        <v>9911.7800000000007</v>
      </c>
      <c r="L659" s="511"/>
      <c r="M659" s="513"/>
    </row>
    <row r="660" spans="1:13" x14ac:dyDescent="0.25">
      <c r="A660" s="615"/>
      <c r="B660" s="560">
        <v>42702</v>
      </c>
      <c r="C660" s="511">
        <v>300</v>
      </c>
      <c r="D660" s="512">
        <v>15.65</v>
      </c>
      <c r="E660" s="513">
        <v>0</v>
      </c>
      <c r="F660" s="513">
        <f t="shared" si="155"/>
        <v>4695</v>
      </c>
      <c r="G660" s="510">
        <v>42781</v>
      </c>
      <c r="H660" s="528">
        <v>300</v>
      </c>
      <c r="I660" s="512">
        <v>16.440000000000001</v>
      </c>
      <c r="J660" s="513">
        <v>0.11</v>
      </c>
      <c r="K660" s="513">
        <f t="shared" si="152"/>
        <v>4931.8900000000003</v>
      </c>
      <c r="L660" s="511"/>
      <c r="M660" s="513"/>
    </row>
    <row r="661" spans="1:13" x14ac:dyDescent="0.25">
      <c r="A661" s="511"/>
      <c r="B661" s="560">
        <v>42703</v>
      </c>
      <c r="C661" s="511">
        <v>300</v>
      </c>
      <c r="D661" s="512">
        <v>14.78</v>
      </c>
      <c r="E661" s="513">
        <v>0</v>
      </c>
      <c r="F661" s="513">
        <f t="shared" si="155"/>
        <v>4434</v>
      </c>
      <c r="G661" s="510">
        <v>42782</v>
      </c>
      <c r="H661" s="528">
        <v>300</v>
      </c>
      <c r="I661" s="512">
        <v>17</v>
      </c>
      <c r="J661" s="513">
        <v>0.11</v>
      </c>
      <c r="K661" s="513">
        <f t="shared" si="152"/>
        <v>5099.8900000000003</v>
      </c>
      <c r="L661" s="511"/>
      <c r="M661" s="513"/>
    </row>
    <row r="662" spans="1:13" x14ac:dyDescent="0.25">
      <c r="A662" s="511"/>
      <c r="B662" s="560">
        <v>42705</v>
      </c>
      <c r="C662" s="511">
        <v>350</v>
      </c>
      <c r="D662" s="512">
        <v>17.600000000000001</v>
      </c>
      <c r="E662" s="513">
        <v>0</v>
      </c>
      <c r="F662" s="513">
        <f t="shared" si="155"/>
        <v>6160.0000000000009</v>
      </c>
      <c r="G662" s="511"/>
      <c r="H662" s="528"/>
      <c r="I662" s="512"/>
      <c r="J662" s="513"/>
      <c r="K662" s="513"/>
      <c r="L662" s="511"/>
      <c r="M662" s="513"/>
    </row>
    <row r="663" spans="1:13" x14ac:dyDescent="0.25">
      <c r="A663" s="511"/>
      <c r="B663" s="560">
        <v>42711</v>
      </c>
      <c r="C663" s="511">
        <v>500</v>
      </c>
      <c r="D663" s="512">
        <v>18.12</v>
      </c>
      <c r="E663" s="513">
        <v>0</v>
      </c>
      <c r="F663" s="513">
        <f t="shared" si="155"/>
        <v>9060</v>
      </c>
      <c r="G663" s="511"/>
      <c r="H663" s="528"/>
      <c r="I663" s="512"/>
      <c r="J663" s="513"/>
      <c r="K663" s="513"/>
      <c r="L663" s="511"/>
      <c r="M663" s="513"/>
    </row>
    <row r="664" spans="1:13" x14ac:dyDescent="0.25">
      <c r="A664" s="511"/>
      <c r="B664" s="560">
        <v>42713</v>
      </c>
      <c r="C664" s="511">
        <v>500</v>
      </c>
      <c r="D664" s="512">
        <v>18.12</v>
      </c>
      <c r="E664" s="513">
        <v>0</v>
      </c>
      <c r="F664" s="513">
        <f t="shared" si="155"/>
        <v>9060</v>
      </c>
      <c r="G664" s="511"/>
      <c r="H664" s="528"/>
      <c r="I664" s="512"/>
      <c r="J664" s="513"/>
      <c r="K664" s="513"/>
      <c r="L664" s="511"/>
      <c r="M664" s="513"/>
    </row>
    <row r="665" spans="1:13" x14ac:dyDescent="0.25">
      <c r="A665" s="511"/>
      <c r="B665" s="560">
        <v>42718</v>
      </c>
      <c r="C665" s="511">
        <v>200</v>
      </c>
      <c r="D665" s="512">
        <v>18.73</v>
      </c>
      <c r="E665" s="513">
        <v>-1</v>
      </c>
      <c r="F665" s="513">
        <f t="shared" si="155"/>
        <v>3745</v>
      </c>
      <c r="G665" s="511"/>
      <c r="H665" s="528"/>
      <c r="I665" s="512"/>
      <c r="J665" s="513"/>
      <c r="K665" s="513"/>
      <c r="L665" s="511"/>
      <c r="M665" s="513"/>
    </row>
    <row r="666" spans="1:13" x14ac:dyDescent="0.25">
      <c r="A666" s="511"/>
      <c r="B666" s="560">
        <v>42733</v>
      </c>
      <c r="C666" s="511">
        <v>1000</v>
      </c>
      <c r="D666" s="512">
        <v>17.64</v>
      </c>
      <c r="E666" s="513">
        <v>-1.5</v>
      </c>
      <c r="F666" s="513">
        <f t="shared" si="155"/>
        <v>17638.5</v>
      </c>
      <c r="G666" s="511"/>
      <c r="H666" s="528"/>
      <c r="I666" s="512"/>
      <c r="J666" s="513"/>
      <c r="K666" s="513"/>
      <c r="L666" s="511"/>
      <c r="M666" s="513"/>
    </row>
    <row r="667" spans="1:13" x14ac:dyDescent="0.25">
      <c r="A667" s="511"/>
      <c r="B667" s="560">
        <v>42734</v>
      </c>
      <c r="C667" s="511">
        <v>1000</v>
      </c>
      <c r="D667" s="512">
        <v>17.329999999999998</v>
      </c>
      <c r="E667" s="513">
        <v>0</v>
      </c>
      <c r="F667" s="513">
        <f t="shared" si="155"/>
        <v>17330</v>
      </c>
      <c r="G667" s="511"/>
      <c r="H667" s="528"/>
      <c r="I667" s="512"/>
      <c r="J667" s="513"/>
      <c r="K667" s="513"/>
      <c r="L667" s="511"/>
      <c r="M667" s="513"/>
    </row>
    <row r="668" spans="1:13" x14ac:dyDescent="0.25">
      <c r="A668" s="511"/>
      <c r="B668" s="560">
        <v>42741</v>
      </c>
      <c r="C668" s="511">
        <v>500</v>
      </c>
      <c r="D668" s="512">
        <v>17.88</v>
      </c>
      <c r="E668" s="513">
        <v>0</v>
      </c>
      <c r="F668" s="513">
        <f t="shared" si="155"/>
        <v>8940</v>
      </c>
      <c r="G668" s="511"/>
      <c r="H668" s="528"/>
      <c r="I668" s="512"/>
      <c r="J668" s="513"/>
      <c r="K668" s="513"/>
      <c r="L668" s="511"/>
      <c r="M668" s="513"/>
    </row>
    <row r="669" spans="1:13" x14ac:dyDescent="0.25">
      <c r="A669" s="511"/>
      <c r="B669" s="560">
        <v>42748</v>
      </c>
      <c r="C669" s="511">
        <v>500</v>
      </c>
      <c r="D669" s="512">
        <v>17.260000000000002</v>
      </c>
      <c r="E669" s="513">
        <v>0</v>
      </c>
      <c r="F669" s="513">
        <f t="shared" si="155"/>
        <v>8630</v>
      </c>
      <c r="G669" s="511"/>
      <c r="H669" s="528"/>
      <c r="I669" s="512"/>
      <c r="J669" s="513"/>
      <c r="K669" s="513"/>
      <c r="L669" s="511"/>
      <c r="M669" s="513"/>
    </row>
    <row r="670" spans="1:13" x14ac:dyDescent="0.25">
      <c r="A670" s="511"/>
      <c r="B670" s="560"/>
      <c r="C670" s="511"/>
      <c r="D670" s="512"/>
      <c r="E670" s="513"/>
      <c r="F670" s="513"/>
      <c r="G670" s="511"/>
      <c r="H670" s="528"/>
      <c r="I670" s="512"/>
      <c r="J670" s="513"/>
      <c r="K670" s="513"/>
      <c r="L670" s="511"/>
      <c r="M670" s="513"/>
    </row>
    <row r="671" spans="1:13" x14ac:dyDescent="0.25">
      <c r="A671" s="511"/>
      <c r="B671" s="560"/>
      <c r="C671" s="511"/>
      <c r="D671" s="512"/>
      <c r="E671" s="513"/>
      <c r="F671" s="513"/>
      <c r="G671" s="511"/>
      <c r="H671" s="528"/>
      <c r="I671" s="512"/>
      <c r="J671" s="513"/>
      <c r="K671" s="513"/>
      <c r="L671" s="511"/>
      <c r="M671" s="513"/>
    </row>
    <row r="672" spans="1:13" x14ac:dyDescent="0.25">
      <c r="A672" s="614"/>
      <c r="B672" s="560"/>
      <c r="C672" s="511"/>
      <c r="D672" s="512"/>
      <c r="E672" s="513"/>
      <c r="F672" s="513"/>
      <c r="G672" s="511"/>
      <c r="H672" s="528"/>
      <c r="I672" s="512"/>
      <c r="J672" s="513"/>
      <c r="K672" s="513"/>
      <c r="L672" s="511"/>
      <c r="M672" s="513"/>
    </row>
    <row r="673" spans="1:13" x14ac:dyDescent="0.25">
      <c r="A673" s="614"/>
      <c r="B673" s="560"/>
      <c r="C673" s="511"/>
      <c r="D673" s="512"/>
      <c r="E673" s="513"/>
      <c r="F673" s="513"/>
      <c r="G673" s="511"/>
      <c r="H673" s="528"/>
      <c r="I673" s="512"/>
      <c r="J673" s="513"/>
      <c r="K673" s="513"/>
      <c r="L673" s="511"/>
      <c r="M673" s="513"/>
    </row>
    <row r="674" spans="1:13" x14ac:dyDescent="0.25">
      <c r="A674" s="614"/>
      <c r="B674" s="560"/>
      <c r="C674" s="511"/>
      <c r="D674" s="512"/>
      <c r="E674" s="513"/>
      <c r="F674" s="513"/>
      <c r="G674" s="511"/>
      <c r="H674" s="528"/>
      <c r="I674" s="512"/>
      <c r="J674" s="513"/>
      <c r="K674" s="513"/>
      <c r="L674" s="511"/>
      <c r="M674" s="513"/>
    </row>
    <row r="675" spans="1:13" x14ac:dyDescent="0.25">
      <c r="A675" s="614"/>
      <c r="B675" s="560"/>
      <c r="C675" s="511"/>
      <c r="D675" s="512"/>
      <c r="E675" s="513"/>
      <c r="F675" s="513"/>
      <c r="G675" s="511"/>
      <c r="H675" s="528"/>
      <c r="I675" s="512"/>
      <c r="J675" s="513"/>
      <c r="K675" s="513"/>
      <c r="L675" s="511"/>
      <c r="M675" s="513"/>
    </row>
    <row r="676" spans="1:13" x14ac:dyDescent="0.25">
      <c r="A676" s="511"/>
      <c r="B676" s="560"/>
      <c r="C676" s="511"/>
      <c r="D676" s="512"/>
      <c r="E676" s="513"/>
      <c r="F676" s="513"/>
      <c r="G676" s="511"/>
      <c r="H676" s="528"/>
      <c r="I676" s="512"/>
      <c r="J676" s="513"/>
      <c r="K676" s="513"/>
      <c r="L676" s="511"/>
      <c r="M676" s="513"/>
    </row>
    <row r="677" spans="1:13" x14ac:dyDescent="0.25">
      <c r="A677" s="511"/>
      <c r="B677" s="560"/>
      <c r="C677" s="511"/>
      <c r="D677" s="512"/>
      <c r="E677" s="513"/>
      <c r="F677" s="513"/>
      <c r="G677" s="511"/>
      <c r="H677" s="528"/>
      <c r="I677" s="512"/>
      <c r="J677" s="513"/>
      <c r="K677" s="513"/>
      <c r="L677" s="511"/>
      <c r="M677" s="513"/>
    </row>
    <row r="678" spans="1:13" x14ac:dyDescent="0.25">
      <c r="A678" s="511"/>
      <c r="B678" s="560"/>
      <c r="C678" s="511"/>
      <c r="D678" s="512"/>
      <c r="E678" s="513"/>
      <c r="F678" s="513"/>
      <c r="G678" s="511"/>
      <c r="H678" s="528"/>
      <c r="I678" s="512"/>
      <c r="J678" s="513"/>
      <c r="K678" s="513"/>
      <c r="L678" s="511"/>
      <c r="M678" s="513"/>
    </row>
    <row r="679" spans="1:13" x14ac:dyDescent="0.25">
      <c r="A679" s="511"/>
      <c r="B679" s="560"/>
      <c r="C679" s="511"/>
      <c r="D679" s="512"/>
      <c r="E679" s="513"/>
      <c r="F679" s="513"/>
      <c r="G679" s="511"/>
      <c r="H679" s="528"/>
      <c r="I679" s="512"/>
      <c r="J679" s="513"/>
      <c r="K679" s="513"/>
      <c r="L679" s="511"/>
      <c r="M679" s="513"/>
    </row>
    <row r="680" spans="1:13" x14ac:dyDescent="0.25">
      <c r="A680" s="511"/>
      <c r="B680" s="560"/>
      <c r="C680" s="511"/>
      <c r="D680" s="512"/>
      <c r="E680" s="513"/>
      <c r="F680" s="513"/>
      <c r="G680" s="511"/>
      <c r="H680" s="528"/>
      <c r="I680" s="512"/>
      <c r="J680" s="513"/>
      <c r="K680" s="513"/>
      <c r="L680" s="511"/>
      <c r="M680" s="513"/>
    </row>
    <row r="681" spans="1:13" x14ac:dyDescent="0.25">
      <c r="A681" s="511"/>
      <c r="B681" s="560"/>
      <c r="C681" s="511"/>
      <c r="D681" s="512"/>
      <c r="E681" s="513"/>
      <c r="F681" s="513"/>
      <c r="G681" s="511"/>
      <c r="H681" s="528"/>
      <c r="I681" s="512"/>
      <c r="J681" s="513"/>
      <c r="K681" s="513"/>
      <c r="L681" s="511"/>
      <c r="M681" s="513"/>
    </row>
    <row r="682" spans="1:13" x14ac:dyDescent="0.25">
      <c r="A682" s="511"/>
      <c r="B682" s="560"/>
      <c r="C682" s="511"/>
      <c r="D682" s="512"/>
      <c r="E682" s="513"/>
      <c r="F682" s="513"/>
      <c r="G682" s="511"/>
      <c r="H682" s="528"/>
      <c r="I682" s="512"/>
      <c r="J682" s="513"/>
      <c r="K682" s="513"/>
      <c r="L682" s="511"/>
      <c r="M682" s="513"/>
    </row>
    <row r="683" spans="1:13" x14ac:dyDescent="0.25">
      <c r="A683" s="511"/>
      <c r="B683" s="560"/>
      <c r="C683" s="511"/>
      <c r="D683" s="512"/>
      <c r="E683" s="513"/>
      <c r="F683" s="513"/>
      <c r="G683" s="511"/>
      <c r="H683" s="528"/>
      <c r="I683" s="512"/>
      <c r="J683" s="513"/>
      <c r="K683" s="513"/>
      <c r="L683" s="511"/>
      <c r="M683" s="513"/>
    </row>
    <row r="684" spans="1:13" x14ac:dyDescent="0.25">
      <c r="A684" s="511"/>
      <c r="B684" s="560"/>
      <c r="C684" s="511"/>
      <c r="D684" s="512"/>
      <c r="E684" s="513"/>
      <c r="F684" s="513"/>
      <c r="G684" s="511"/>
      <c r="H684" s="528"/>
      <c r="I684" s="512"/>
      <c r="J684" s="513"/>
      <c r="K684" s="513"/>
      <c r="L684" s="511"/>
      <c r="M684" s="513"/>
    </row>
    <row r="685" spans="1:13" x14ac:dyDescent="0.25">
      <c r="A685" s="511"/>
      <c r="B685" s="560"/>
      <c r="C685" s="511"/>
      <c r="D685" s="512"/>
      <c r="E685" s="513"/>
      <c r="F685" s="513"/>
      <c r="G685" s="511"/>
      <c r="H685" s="528"/>
      <c r="I685" s="512"/>
      <c r="J685" s="513"/>
      <c r="K685" s="513"/>
      <c r="L685" s="511"/>
      <c r="M685" s="513"/>
    </row>
    <row r="686" spans="1:13" x14ac:dyDescent="0.25">
      <c r="A686" s="511"/>
      <c r="B686" s="560"/>
      <c r="C686" s="511"/>
      <c r="D686" s="512"/>
      <c r="E686" s="513"/>
      <c r="F686" s="513"/>
      <c r="G686" s="511"/>
      <c r="H686" s="528"/>
      <c r="I686" s="512"/>
      <c r="J686" s="513"/>
      <c r="K686" s="513"/>
      <c r="L686" s="511"/>
      <c r="M686" s="513"/>
    </row>
    <row r="687" spans="1:13" x14ac:dyDescent="0.25">
      <c r="A687" s="511"/>
      <c r="B687" s="560"/>
      <c r="C687" s="511"/>
      <c r="D687" s="512"/>
      <c r="E687" s="513"/>
      <c r="F687" s="513"/>
      <c r="G687" s="511"/>
      <c r="H687" s="528"/>
      <c r="I687" s="512"/>
      <c r="J687" s="513"/>
      <c r="K687" s="513"/>
      <c r="L687" s="511"/>
      <c r="M687" s="513"/>
    </row>
    <row r="688" spans="1:13" x14ac:dyDescent="0.25">
      <c r="A688" s="511"/>
      <c r="B688" s="560"/>
      <c r="C688" s="511"/>
      <c r="D688" s="512"/>
      <c r="E688" s="513"/>
      <c r="F688" s="513"/>
      <c r="G688" s="511"/>
      <c r="H688" s="528"/>
      <c r="I688" s="512"/>
      <c r="J688" s="513"/>
      <c r="K688" s="513"/>
      <c r="L688" s="511"/>
      <c r="M688" s="513"/>
    </row>
    <row r="689" spans="1:13" x14ac:dyDescent="0.25">
      <c r="A689" s="511"/>
      <c r="B689" s="560"/>
      <c r="C689" s="511"/>
      <c r="D689" s="512"/>
      <c r="E689" s="513"/>
      <c r="F689" s="513"/>
      <c r="G689" s="511"/>
      <c r="H689" s="528"/>
      <c r="I689" s="512"/>
      <c r="J689" s="513"/>
      <c r="K689" s="513"/>
      <c r="L689" s="511"/>
      <c r="M689" s="513"/>
    </row>
    <row r="690" spans="1:13" x14ac:dyDescent="0.25">
      <c r="A690" s="511"/>
      <c r="B690" s="560"/>
      <c r="C690" s="511"/>
      <c r="D690" s="512"/>
      <c r="E690" s="513"/>
      <c r="F690" s="513"/>
      <c r="G690" s="511"/>
      <c r="H690" s="528"/>
      <c r="I690" s="512"/>
      <c r="J690" s="513"/>
      <c r="K690" s="513"/>
      <c r="L690" s="511"/>
      <c r="M690" s="513"/>
    </row>
    <row r="691" spans="1:13" x14ac:dyDescent="0.25">
      <c r="A691" s="511"/>
      <c r="B691" s="560"/>
      <c r="C691" s="511"/>
      <c r="D691" s="512"/>
      <c r="E691" s="513"/>
      <c r="F691" s="513"/>
      <c r="G691" s="511"/>
      <c r="H691" s="528"/>
      <c r="I691" s="512"/>
      <c r="J691" s="513"/>
      <c r="K691" s="513"/>
      <c r="L691" s="511"/>
      <c r="M691" s="513"/>
    </row>
    <row r="692" spans="1:13" x14ac:dyDescent="0.25">
      <c r="A692" s="511"/>
      <c r="B692" s="560"/>
      <c r="C692" s="511"/>
      <c r="D692" s="512"/>
      <c r="E692" s="513"/>
      <c r="F692" s="513"/>
      <c r="G692" s="511"/>
      <c r="H692" s="528"/>
      <c r="I692" s="512"/>
      <c r="J692" s="513"/>
      <c r="K692" s="513"/>
      <c r="L692" s="511"/>
      <c r="M692" s="513"/>
    </row>
    <row r="693" spans="1:13" x14ac:dyDescent="0.25">
      <c r="A693" s="530" t="s">
        <v>81</v>
      </c>
      <c r="B693" s="619"/>
      <c r="C693" s="553">
        <f>SUM(C432:C692)</f>
        <v>133812</v>
      </c>
      <c r="D693" s="532"/>
      <c r="E693" s="532"/>
      <c r="F693" s="532">
        <f>SUM(F432:F692)</f>
        <v>1899450.8389999999</v>
      </c>
      <c r="G693" s="531"/>
      <c r="H693" s="553">
        <f>SUM(H432:H692)</f>
        <v>133812</v>
      </c>
      <c r="I693" s="620"/>
      <c r="J693" s="532"/>
      <c r="K693" s="532">
        <f>SUM(K432:K692)</f>
        <v>1911314.2100000016</v>
      </c>
      <c r="L693" s="531"/>
      <c r="M693" s="532">
        <f>SUM(M432:M442)</f>
        <v>2752.2000000000003</v>
      </c>
    </row>
    <row r="694" spans="1:13" ht="15.75" thickBot="1" x14ac:dyDescent="0.3">
      <c r="A694" s="533" t="s">
        <v>194</v>
      </c>
      <c r="B694" s="621"/>
      <c r="C694" s="535">
        <f>SumByColor($A$70, C432:C692)</f>
        <v>0</v>
      </c>
      <c r="D694" s="535"/>
      <c r="E694" s="535"/>
      <c r="F694" s="536">
        <f>SumByColor($A$70, F432:F692)</f>
        <v>0</v>
      </c>
      <c r="G694" s="535"/>
      <c r="H694" s="535">
        <f>SumByColor($A$70, H432:H692)</f>
        <v>0</v>
      </c>
      <c r="I694" s="535"/>
      <c r="J694" s="536"/>
      <c r="K694" s="536">
        <f>SumByColor($A$70, K432:K692)</f>
        <v>0</v>
      </c>
      <c r="L694" s="535"/>
      <c r="M694" s="536">
        <f>SumByColor($A$70, M432:M692)</f>
        <v>0</v>
      </c>
    </row>
    <row r="695" spans="1:13" x14ac:dyDescent="0.25">
      <c r="A695" s="511"/>
      <c r="B695" s="560"/>
      <c r="C695" s="511"/>
      <c r="D695" s="512"/>
      <c r="E695" s="513"/>
      <c r="F695" s="513"/>
      <c r="G695" s="511"/>
      <c r="H695" s="528"/>
      <c r="I695" s="512"/>
      <c r="J695" s="513"/>
      <c r="K695" s="513"/>
      <c r="L695" s="511"/>
      <c r="M695" s="513"/>
    </row>
  </sheetData>
  <mergeCells count="3">
    <mergeCell ref="O41:P41"/>
    <mergeCell ref="Z2:AB2"/>
    <mergeCell ref="Z3:AB3"/>
  </mergeCells>
  <conditionalFormatting sqref="F178:F196 H178:H196 H331 F331 H402:H426 F402:F426">
    <cfRule type="expression" dxfId="1609" priority="109">
      <formula>F178&gt;0</formula>
    </cfRule>
    <cfRule type="expression" dxfId="1608" priority="110">
      <formula>F178&lt;0</formula>
    </cfRule>
  </conditionalFormatting>
  <conditionalFormatting sqref="O42:O79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70:AD1048576">
    <cfRule type="dataBar" priority="10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70:AE1048576">
    <cfRule type="iconSet" priority="104">
      <iconSet iconSet="3Arrows">
        <cfvo type="percent" val="0"/>
        <cfvo type="num" val="0"/>
        <cfvo type="num" val="0"/>
      </iconSet>
    </cfRule>
  </conditionalFormatting>
  <conditionalFormatting sqref="F171:F177">
    <cfRule type="expression" dxfId="1607" priority="102">
      <formula>F171&gt;0</formula>
    </cfRule>
    <cfRule type="expression" dxfId="1606" priority="103">
      <formula>F171&lt;0</formula>
    </cfRule>
  </conditionalFormatting>
  <conditionalFormatting sqref="H171:H177">
    <cfRule type="expression" dxfId="1605" priority="98">
      <formula>H171&gt;0</formula>
    </cfRule>
    <cfRule type="expression" dxfId="1604" priority="99">
      <formula>H171&lt;0</formula>
    </cfRule>
  </conditionalFormatting>
  <conditionalFormatting sqref="Q8">
    <cfRule type="expression" dxfId="1603" priority="84">
      <formula>Q8&gt;0</formula>
    </cfRule>
    <cfRule type="expression" dxfId="1602" priority="85">
      <formula>Q8&lt;0</formula>
    </cfRule>
  </conditionalFormatting>
  <conditionalFormatting sqref="Q7">
    <cfRule type="expression" dxfId="1601" priority="86">
      <formula>Q7&gt;0</formula>
    </cfRule>
    <cfRule type="expression" dxfId="1600" priority="87">
      <formula>Q7&lt;0</formula>
    </cfRule>
  </conditionalFormatting>
  <conditionalFormatting sqref="F279:F285">
    <cfRule type="expression" dxfId="1599" priority="58">
      <formula>F279&gt;0</formula>
    </cfRule>
    <cfRule type="expression" dxfId="1598" priority="59">
      <formula>F279&lt;0</formula>
    </cfRule>
  </conditionalFormatting>
  <conditionalFormatting sqref="F204:F222 H204:H222">
    <cfRule type="expression" dxfId="1597" priority="80">
      <formula>F204&gt;0</formula>
    </cfRule>
    <cfRule type="expression" dxfId="1596" priority="81">
      <formula>F204&lt;0</formula>
    </cfRule>
  </conditionalFormatting>
  <conditionalFormatting sqref="F197:F203">
    <cfRule type="expression" dxfId="1595" priority="78">
      <formula>F197&gt;0</formula>
    </cfRule>
    <cfRule type="expression" dxfId="1594" priority="79">
      <formula>F197&lt;0</formula>
    </cfRule>
  </conditionalFormatting>
  <conditionalFormatting sqref="H197:H203">
    <cfRule type="expression" dxfId="1593" priority="76">
      <formula>H197&gt;0</formula>
    </cfRule>
    <cfRule type="expression" dxfId="1592" priority="77">
      <formula>H197&lt;0</formula>
    </cfRule>
  </conditionalFormatting>
  <conditionalFormatting sqref="F230:F248 H230:H248">
    <cfRule type="expression" dxfId="1591" priority="74">
      <formula>F230&gt;0</formula>
    </cfRule>
    <cfRule type="expression" dxfId="1590" priority="75">
      <formula>F230&lt;0</formula>
    </cfRule>
  </conditionalFormatting>
  <conditionalFormatting sqref="F223:F229">
    <cfRule type="expression" dxfId="1589" priority="72">
      <formula>F223&gt;0</formula>
    </cfRule>
    <cfRule type="expression" dxfId="1588" priority="73">
      <formula>F223&lt;0</formula>
    </cfRule>
  </conditionalFormatting>
  <conditionalFormatting sqref="H223:H229">
    <cfRule type="expression" dxfId="1587" priority="70">
      <formula>H223&gt;0</formula>
    </cfRule>
    <cfRule type="expression" dxfId="1586" priority="71">
      <formula>H223&lt;0</formula>
    </cfRule>
  </conditionalFormatting>
  <conditionalFormatting sqref="F256:F273 H256:H273">
    <cfRule type="expression" dxfId="1585" priority="68">
      <formula>F256&gt;0</formula>
    </cfRule>
    <cfRule type="expression" dxfId="1584" priority="69">
      <formula>F256&lt;0</formula>
    </cfRule>
  </conditionalFormatting>
  <conditionalFormatting sqref="F249:F255">
    <cfRule type="expression" dxfId="1583" priority="66">
      <formula>F249&gt;0</formula>
    </cfRule>
    <cfRule type="expression" dxfId="1582" priority="67">
      <formula>F249&lt;0</formula>
    </cfRule>
  </conditionalFormatting>
  <conditionalFormatting sqref="H249:H255">
    <cfRule type="expression" dxfId="1581" priority="64">
      <formula>H249&gt;0</formula>
    </cfRule>
    <cfRule type="expression" dxfId="1580" priority="65">
      <formula>H249&lt;0</formula>
    </cfRule>
  </conditionalFormatting>
  <conditionalFormatting sqref="F274:F278 H274:H278">
    <cfRule type="expression" dxfId="1579" priority="62">
      <formula>F274&gt;0</formula>
    </cfRule>
    <cfRule type="expression" dxfId="1578" priority="63">
      <formula>F274&lt;0</formula>
    </cfRule>
  </conditionalFormatting>
  <conditionalFormatting sqref="F286:F301 H286:H301">
    <cfRule type="expression" dxfId="1577" priority="60">
      <formula>F286&gt;0</formula>
    </cfRule>
    <cfRule type="expression" dxfId="1576" priority="61">
      <formula>F286&lt;0</formula>
    </cfRule>
  </conditionalFormatting>
  <conditionalFormatting sqref="H279:H285">
    <cfRule type="expression" dxfId="1575" priority="56">
      <formula>H279&gt;0</formula>
    </cfRule>
    <cfRule type="expression" dxfId="1574" priority="57">
      <formula>H279&lt;0</formula>
    </cfRule>
  </conditionalFormatting>
  <conditionalFormatting sqref="F302 H302">
    <cfRule type="expression" dxfId="1573" priority="54">
      <formula>F302&gt;0</formula>
    </cfRule>
    <cfRule type="expression" dxfId="1572" priority="55">
      <formula>F302&lt;0</formula>
    </cfRule>
  </conditionalFormatting>
  <conditionalFormatting sqref="F303:F307 H303:H307">
    <cfRule type="expression" dxfId="1571" priority="52">
      <formula>F303&gt;0</formula>
    </cfRule>
    <cfRule type="expression" dxfId="1570" priority="53">
      <formula>F303&lt;0</formula>
    </cfRule>
  </conditionalFormatting>
  <conditionalFormatting sqref="F315:F330 H315:H330">
    <cfRule type="expression" dxfId="1569" priority="50">
      <formula>F315&gt;0</formula>
    </cfRule>
    <cfRule type="expression" dxfId="1568" priority="51">
      <formula>F315&lt;0</formula>
    </cfRule>
  </conditionalFormatting>
  <conditionalFormatting sqref="F308:F314">
    <cfRule type="expression" dxfId="1567" priority="48">
      <formula>F308&gt;0</formula>
    </cfRule>
    <cfRule type="expression" dxfId="1566" priority="49">
      <formula>F308&lt;0</formula>
    </cfRule>
  </conditionalFormatting>
  <conditionalFormatting sqref="H308:H314">
    <cfRule type="expression" dxfId="1565" priority="46">
      <formula>H308&gt;0</formula>
    </cfRule>
    <cfRule type="expression" dxfId="1564" priority="47">
      <formula>H308&lt;0</formula>
    </cfRule>
  </conditionalFormatting>
  <conditionalFormatting sqref="F332:F337 H332:H337">
    <cfRule type="expression" dxfId="1563" priority="44">
      <formula>F332&gt;0</formula>
    </cfRule>
    <cfRule type="expression" dxfId="1562" priority="45">
      <formula>F332&lt;0</formula>
    </cfRule>
  </conditionalFormatting>
  <conditionalFormatting sqref="F338 H338">
    <cfRule type="expression" dxfId="1561" priority="42">
      <formula>F338&gt;0</formula>
    </cfRule>
    <cfRule type="expression" dxfId="1560" priority="43">
      <formula>F338&lt;0</formula>
    </cfRule>
  </conditionalFormatting>
  <conditionalFormatting sqref="F339:F343 H339:H343">
    <cfRule type="expression" dxfId="1559" priority="40">
      <formula>F339&gt;0</formula>
    </cfRule>
    <cfRule type="expression" dxfId="1558" priority="41">
      <formula>F339&lt;0</formula>
    </cfRule>
  </conditionalFormatting>
  <conditionalFormatting sqref="F351:F366 H351:H366">
    <cfRule type="expression" dxfId="1557" priority="38">
      <formula>F351&gt;0</formula>
    </cfRule>
    <cfRule type="expression" dxfId="1556" priority="39">
      <formula>F351&lt;0</formula>
    </cfRule>
  </conditionalFormatting>
  <conditionalFormatting sqref="F344:F350">
    <cfRule type="expression" dxfId="1555" priority="36">
      <formula>F344&gt;0</formula>
    </cfRule>
    <cfRule type="expression" dxfId="1554" priority="37">
      <formula>F344&lt;0</formula>
    </cfRule>
  </conditionalFormatting>
  <conditionalFormatting sqref="H344:H350">
    <cfRule type="expression" dxfId="1553" priority="34">
      <formula>H344&gt;0</formula>
    </cfRule>
    <cfRule type="expression" dxfId="1552" priority="35">
      <formula>H344&lt;0</formula>
    </cfRule>
  </conditionalFormatting>
  <conditionalFormatting sqref="F367:F372 H367:H372">
    <cfRule type="expression" dxfId="1551" priority="32">
      <formula>F367&gt;0</formula>
    </cfRule>
    <cfRule type="expression" dxfId="1550" priority="33">
      <formula>F367&lt;0</formula>
    </cfRule>
  </conditionalFormatting>
  <conditionalFormatting sqref="F373 H373">
    <cfRule type="expression" dxfId="1549" priority="30">
      <formula>F373&gt;0</formula>
    </cfRule>
    <cfRule type="expression" dxfId="1548" priority="31">
      <formula>F373&lt;0</formula>
    </cfRule>
  </conditionalFormatting>
  <conditionalFormatting sqref="F374:F378 H374:H378">
    <cfRule type="expression" dxfId="1547" priority="28">
      <formula>F374&gt;0</formula>
    </cfRule>
    <cfRule type="expression" dxfId="1546" priority="29">
      <formula>F374&lt;0</formula>
    </cfRule>
  </conditionalFormatting>
  <conditionalFormatting sqref="F386:F401 H386:H401">
    <cfRule type="expression" dxfId="1545" priority="26">
      <formula>F386&gt;0</formula>
    </cfRule>
    <cfRule type="expression" dxfId="1544" priority="27">
      <formula>F386&lt;0</formula>
    </cfRule>
  </conditionalFormatting>
  <conditionalFormatting sqref="F379:F385">
    <cfRule type="expression" dxfId="1543" priority="24">
      <formula>F379&gt;0</formula>
    </cfRule>
    <cfRule type="expression" dxfId="1542" priority="25">
      <formula>F379&lt;0</formula>
    </cfRule>
  </conditionalFormatting>
  <conditionalFormatting sqref="H379:H385">
    <cfRule type="expression" dxfId="1541" priority="22">
      <formula>H379&gt;0</formula>
    </cfRule>
    <cfRule type="expression" dxfId="1540" priority="23">
      <formula>H379&lt;0</formula>
    </cfRule>
  </conditionalFormatting>
  <conditionalFormatting sqref="M430">
    <cfRule type="expression" dxfId="1539" priority="20">
      <formula>M430&gt;0</formula>
    </cfRule>
    <cfRule type="expression" dxfId="1538" priority="21">
      <formula>M430&lt;0</formula>
    </cfRule>
  </conditionalFormatting>
  <conditionalFormatting sqref="F92:F168 H92:H168">
    <cfRule type="expression" dxfId="1537" priority="18">
      <formula>F92&gt;0</formula>
    </cfRule>
    <cfRule type="expression" dxfId="1536" priority="19">
      <formula>F92&lt;0</formula>
    </cfRule>
  </conditionalFormatting>
  <conditionalFormatting sqref="F80:F91">
    <cfRule type="expression" dxfId="1535" priority="16">
      <formula>F80&gt;0</formula>
    </cfRule>
    <cfRule type="expression" dxfId="1534" priority="17">
      <formula>F80&lt;0</formula>
    </cfRule>
  </conditionalFormatting>
  <conditionalFormatting sqref="H80:H91">
    <cfRule type="expression" dxfId="1533" priority="14">
      <formula>H80&gt;0</formula>
    </cfRule>
    <cfRule type="expression" dxfId="1532" priority="15">
      <formula>H80&lt;0</formula>
    </cfRule>
  </conditionalFormatting>
  <conditionalFormatting sqref="F74:F79 H74:H79">
    <cfRule type="expression" dxfId="1531" priority="12">
      <formula>F74&gt;0</formula>
    </cfRule>
    <cfRule type="expression" dxfId="1530" priority="13">
      <formula>F74&lt;0</formula>
    </cfRule>
  </conditionalFormatting>
  <conditionalFormatting sqref="J76:K76">
    <cfRule type="expression" dxfId="1529" priority="10">
      <formula>J76&gt;0</formula>
    </cfRule>
    <cfRule type="expression" dxfId="1528" priority="11">
      <formula>J76&lt;0</formula>
    </cfRule>
  </conditionalFormatting>
  <conditionalFormatting sqref="J77:K83 K82:K168">
    <cfRule type="expression" dxfId="1527" priority="8">
      <formula>J77&gt;0</formula>
    </cfRule>
    <cfRule type="expression" dxfId="1526" priority="9">
      <formula>J77&lt;0</formula>
    </cfRule>
  </conditionalFormatting>
  <conditionalFormatting sqref="L76:L158 L165 L167">
    <cfRule type="expression" dxfId="1525" priority="4">
      <formula>L76&gt;0</formula>
    </cfRule>
    <cfRule type="expression" dxfId="1524" priority="5">
      <formula>L76&lt;0</formula>
    </cfRule>
  </conditionalFormatting>
  <conditionalFormatting sqref="Q10">
    <cfRule type="expression" dxfId="1523" priority="2">
      <formula>Q10&gt;0</formula>
    </cfRule>
    <cfRule type="expression" dxfId="1522" priority="3">
      <formula>Q10&lt;0</formula>
    </cfRule>
  </conditionalFormatting>
  <conditionalFormatting sqref="W14:W25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433" location="ACTIVE!A1" display="Back"/>
  </hyperlinks>
  <pageMargins left="0.7" right="0.7" top="0.75" bottom="0.75" header="0.3" footer="0.3"/>
  <pageSetup orientation="portrait" horizontalDpi="1200" verticalDpi="1200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AD70:AD1048576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837</v>
      </c>
      <c r="B2" s="72">
        <v>43095</v>
      </c>
      <c r="C2" s="4">
        <v>200</v>
      </c>
      <c r="D2" s="3">
        <v>17.45</v>
      </c>
      <c r="E2" s="3">
        <v>0</v>
      </c>
      <c r="F2" s="3">
        <f>C2*D2+E2</f>
        <v>3490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>
        <v>43103</v>
      </c>
      <c r="U2" t="s">
        <v>901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17.45</v>
      </c>
      <c r="T3" s="1"/>
      <c r="U3" t="s">
        <v>902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14.94</v>
      </c>
      <c r="R4" s="509">
        <v>3.39E-2</v>
      </c>
      <c r="T4" s="159"/>
      <c r="U4" s="1" t="s">
        <v>951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2988</v>
      </c>
      <c r="T5" s="1">
        <v>43112</v>
      </c>
      <c r="U5" t="s">
        <v>949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3490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-502</v>
      </c>
      <c r="R7">
        <v>200</v>
      </c>
      <c r="T7" s="1">
        <v>43117</v>
      </c>
      <c r="U7" t="s">
        <v>956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-502</v>
      </c>
      <c r="U8" t="s">
        <v>957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-0.14383954154727793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3.2128514056224897E-2</v>
      </c>
      <c r="R11">
        <f>0.12</f>
        <v>0.12</v>
      </c>
      <c r="T11" s="159">
        <v>43124</v>
      </c>
      <c r="U11" t="s">
        <v>950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200</v>
      </c>
      <c r="D18" s="18"/>
      <c r="E18" s="18"/>
      <c r="F18" s="18">
        <f>SUM(F2:F6)</f>
        <v>3490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4"/>
    </row>
    <row r="25" spans="1:23" x14ac:dyDescent="0.25">
      <c r="B25" s="188">
        <v>43095</v>
      </c>
      <c r="C25" s="10">
        <v>200</v>
      </c>
      <c r="D25" s="39">
        <v>17.45</v>
      </c>
      <c r="E25" s="39">
        <v>17.43</v>
      </c>
      <c r="F25" s="39">
        <f t="shared" ref="F25" si="0">C25*(E25-D25)</f>
        <v>-3.9999999999999147</v>
      </c>
      <c r="G25" s="39">
        <f t="shared" ref="G25" si="1">D25*C25</f>
        <v>3490</v>
      </c>
      <c r="H25" s="226">
        <f t="shared" ref="H25" si="2">(E25-D25)/D25</f>
        <v>-1.1461318051575688E-3</v>
      </c>
      <c r="I25" s="39">
        <v>17</v>
      </c>
      <c r="J25" s="39"/>
      <c r="K25" s="39"/>
      <c r="L25" s="39"/>
      <c r="W25" s="134"/>
    </row>
    <row r="26" spans="1:23" x14ac:dyDescent="0.25">
      <c r="B26" s="188">
        <v>43103</v>
      </c>
      <c r="C26" s="10">
        <v>200</v>
      </c>
      <c r="D26" s="39">
        <v>17.45</v>
      </c>
      <c r="E26" s="39">
        <v>18.149999999999999</v>
      </c>
      <c r="F26" s="39">
        <f t="shared" ref="F26" si="3">C26*(E26-D26)</f>
        <v>139.99999999999986</v>
      </c>
      <c r="G26" s="39">
        <f t="shared" ref="G26" si="4">D26*C26</f>
        <v>3490</v>
      </c>
      <c r="H26" s="226">
        <f t="shared" ref="H26" si="5">(E26-D26)/D26</f>
        <v>4.0114613180515721E-2</v>
      </c>
      <c r="I26" s="39"/>
      <c r="J26" s="39"/>
      <c r="K26" s="39"/>
      <c r="L26" s="39"/>
      <c r="W26" s="134"/>
    </row>
    <row r="27" spans="1:23" x14ac:dyDescent="0.25">
      <c r="B27" s="188">
        <v>43105</v>
      </c>
      <c r="C27" s="10">
        <v>200</v>
      </c>
      <c r="D27" s="39">
        <v>17.45</v>
      </c>
      <c r="E27" s="39">
        <v>18.54</v>
      </c>
      <c r="F27" s="39">
        <f t="shared" ref="F27" si="6">C27*(E27-D27)</f>
        <v>217.99999999999997</v>
      </c>
      <c r="G27" s="39">
        <f t="shared" ref="G27" si="7">D27*C27</f>
        <v>3490</v>
      </c>
      <c r="H27" s="226">
        <f t="shared" ref="H27" si="8">(E27-D27)/D27</f>
        <v>6.246418338108882E-2</v>
      </c>
      <c r="I27" s="39"/>
      <c r="J27" s="39"/>
      <c r="K27" s="39"/>
      <c r="L27" s="158"/>
      <c r="W27" s="134"/>
    </row>
    <row r="28" spans="1:23" x14ac:dyDescent="0.25">
      <c r="B28" s="188">
        <v>43117</v>
      </c>
      <c r="C28" s="10">
        <v>200</v>
      </c>
      <c r="D28" s="39">
        <v>17.45</v>
      </c>
      <c r="E28" s="39">
        <v>17.350000000000001</v>
      </c>
      <c r="F28" s="39">
        <f t="shared" ref="F28:F29" si="9">C28*(E28-D28)</f>
        <v>-19.999999999999574</v>
      </c>
      <c r="G28" s="39">
        <f t="shared" ref="G28:G29" si="10">D28*C28</f>
        <v>3490</v>
      </c>
      <c r="H28" s="226">
        <f t="shared" ref="H28:H29" si="11">(E28-D28)/D28</f>
        <v>-5.730659025787844E-3</v>
      </c>
      <c r="I28" s="39"/>
      <c r="J28" s="39"/>
      <c r="K28" s="39"/>
      <c r="L28" s="158"/>
      <c r="W28" s="134"/>
    </row>
    <row r="29" spans="1:23" x14ac:dyDescent="0.25">
      <c r="B29" s="188">
        <v>43124</v>
      </c>
      <c r="C29" s="10">
        <v>200</v>
      </c>
      <c r="D29" s="39">
        <v>17.45</v>
      </c>
      <c r="E29" s="39">
        <v>16.440000000000001</v>
      </c>
      <c r="F29" s="39">
        <f t="shared" si="9"/>
        <v>-201.9999999999996</v>
      </c>
      <c r="G29" s="39">
        <f t="shared" si="10"/>
        <v>3490</v>
      </c>
      <c r="H29" s="226">
        <f t="shared" si="11"/>
        <v>-5.7879656160458343E-2</v>
      </c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16.434000000000001</v>
      </c>
      <c r="Q41" s="2"/>
      <c r="W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2">O42*$Q$4</f>
        <v>16.284600000000001</v>
      </c>
      <c r="Q42" s="2"/>
      <c r="W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2"/>
        <v>16.135200000000001</v>
      </c>
      <c r="Q43" s="2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2"/>
        <v>15.985800000000001</v>
      </c>
      <c r="Q44" s="2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2"/>
        <v>15.836400000000001</v>
      </c>
      <c r="Q45" s="2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2"/>
        <v>15.686999999999999</v>
      </c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2"/>
        <v>15.537599999999999</v>
      </c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2"/>
        <v>15.388199999999999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2"/>
        <v>15.238799999999999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2"/>
        <v>15.089399999999999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2"/>
        <v>14.94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2"/>
        <v>14.7906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2"/>
        <v>14.6412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2"/>
        <v>14.4918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2"/>
        <v>14.3424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2"/>
        <v>14.193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2"/>
        <v>14.043599999999998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2"/>
        <v>13.8942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2"/>
        <v>13.7448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2"/>
        <v>13.5954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2"/>
        <v>13.446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 t="s">
        <v>837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A88" s="371"/>
      <c r="B88" s="498" t="s">
        <v>113</v>
      </c>
      <c r="C88" s="498" t="s">
        <v>146</v>
      </c>
      <c r="D88" s="499" t="s">
        <v>145</v>
      </c>
      <c r="E88" s="500" t="s">
        <v>147</v>
      </c>
      <c r="F88" s="500" t="s">
        <v>65</v>
      </c>
      <c r="G88" s="502" t="s">
        <v>151</v>
      </c>
      <c r="H88" s="502" t="s">
        <v>88</v>
      </c>
      <c r="I88" s="502" t="s">
        <v>154</v>
      </c>
      <c r="J88" s="372"/>
      <c r="K88" s="372"/>
      <c r="L88" s="371"/>
      <c r="M88" s="371"/>
    </row>
    <row r="89" spans="1:13" x14ac:dyDescent="0.25">
      <c r="A89" s="371"/>
      <c r="B89" s="370"/>
      <c r="C89" s="371"/>
      <c r="D89" s="372"/>
      <c r="E89" s="372"/>
      <c r="F89" s="372"/>
      <c r="G89" s="372"/>
      <c r="H89" s="373"/>
      <c r="I89" s="372"/>
      <c r="J89" s="372"/>
      <c r="K89" s="372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2"/>
      <c r="H90" s="373"/>
      <c r="I90" s="372"/>
      <c r="J90" s="372"/>
      <c r="K90" s="372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2"/>
      <c r="H91" s="373"/>
      <c r="I91" s="372"/>
      <c r="J91" s="372"/>
      <c r="K91" s="372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2"/>
      <c r="H92" s="373"/>
      <c r="I92" s="372"/>
      <c r="J92" s="372"/>
      <c r="K92" s="372"/>
      <c r="L92" s="371"/>
      <c r="M92" s="371"/>
    </row>
    <row r="93" spans="1:13" x14ac:dyDescent="0.25">
      <c r="A93" s="371"/>
      <c r="B93" s="370"/>
      <c r="C93" s="371"/>
      <c r="D93" s="372"/>
      <c r="E93" s="372"/>
      <c r="F93" s="372"/>
      <c r="G93" s="372"/>
      <c r="H93" s="373"/>
      <c r="I93" s="372"/>
      <c r="J93" s="372"/>
      <c r="K93" s="372"/>
      <c r="L93" s="371"/>
      <c r="M93" s="371"/>
    </row>
    <row r="94" spans="1:13" x14ac:dyDescent="0.25">
      <c r="A94" s="371"/>
      <c r="B94" s="370"/>
      <c r="C94" s="371"/>
      <c r="D94" s="372"/>
      <c r="E94" s="372"/>
      <c r="F94" s="372"/>
      <c r="G94" s="372"/>
      <c r="H94" s="373"/>
      <c r="I94" s="372"/>
      <c r="J94" s="372"/>
      <c r="K94" s="372"/>
      <c r="L94" s="371"/>
      <c r="M94" s="371"/>
    </row>
    <row r="95" spans="1:13" x14ac:dyDescent="0.25">
      <c r="A95" s="371"/>
      <c r="B95" s="370"/>
      <c r="C95" s="371"/>
      <c r="D95" s="372"/>
      <c r="E95" s="372"/>
      <c r="F95" s="372"/>
      <c r="G95" s="372"/>
      <c r="H95" s="373"/>
      <c r="I95" s="372"/>
      <c r="J95" s="372"/>
      <c r="K95" s="372"/>
      <c r="L95" s="371"/>
      <c r="M95" s="371"/>
    </row>
    <row r="96" spans="1:13" x14ac:dyDescent="0.25">
      <c r="A96" s="371"/>
      <c r="B96" s="370"/>
      <c r="C96" s="371"/>
      <c r="D96" s="372"/>
      <c r="E96" s="372"/>
      <c r="F96" s="372"/>
      <c r="G96" s="372"/>
      <c r="H96" s="373"/>
      <c r="I96" s="372"/>
      <c r="J96" s="372"/>
      <c r="K96" s="372"/>
      <c r="L96" s="371"/>
      <c r="M96" s="371"/>
    </row>
    <row r="97" spans="1:13" x14ac:dyDescent="0.25">
      <c r="A97" s="371"/>
      <c r="B97" s="370"/>
      <c r="C97" s="371"/>
      <c r="D97" s="372"/>
      <c r="E97" s="372"/>
      <c r="F97" s="372"/>
      <c r="G97" s="372"/>
      <c r="H97" s="373"/>
      <c r="I97" s="372"/>
      <c r="J97" s="372"/>
      <c r="K97" s="372"/>
      <c r="L97" s="371"/>
      <c r="M97" s="371"/>
    </row>
    <row r="98" spans="1:13" x14ac:dyDescent="0.25">
      <c r="A98" s="371"/>
      <c r="B98" s="370"/>
      <c r="C98" s="371"/>
      <c r="D98" s="372"/>
      <c r="E98" s="372"/>
      <c r="F98" s="372"/>
      <c r="G98" s="372"/>
      <c r="H98" s="373"/>
      <c r="I98" s="372"/>
      <c r="J98" s="372"/>
      <c r="K98" s="372"/>
      <c r="L98" s="371"/>
      <c r="M98" s="371"/>
    </row>
    <row r="99" spans="1:13" x14ac:dyDescent="0.25">
      <c r="A99" s="371"/>
      <c r="B99" s="370"/>
      <c r="C99" s="371"/>
      <c r="D99" s="372"/>
      <c r="E99" s="372"/>
      <c r="F99" s="372"/>
      <c r="G99" s="372"/>
      <c r="H99" s="373"/>
      <c r="I99" s="372"/>
      <c r="J99" s="372"/>
      <c r="K99" s="372"/>
      <c r="L99" s="371"/>
      <c r="M99" s="371"/>
    </row>
    <row r="100" spans="1:13" x14ac:dyDescent="0.25">
      <c r="A100" s="371"/>
      <c r="B100" s="370"/>
      <c r="C100" s="371"/>
      <c r="D100" s="372"/>
      <c r="E100" s="372"/>
      <c r="F100" s="372"/>
      <c r="G100" s="372"/>
      <c r="H100" s="373"/>
      <c r="I100" s="372"/>
      <c r="J100" s="372"/>
      <c r="K100" s="372"/>
      <c r="L100" s="371"/>
      <c r="M100" s="371"/>
    </row>
    <row r="101" spans="1:13" x14ac:dyDescent="0.25">
      <c r="A101" s="371"/>
      <c r="B101" s="370"/>
      <c r="C101" s="371"/>
      <c r="D101" s="372"/>
      <c r="E101" s="372"/>
      <c r="F101" s="372"/>
      <c r="G101" s="372"/>
      <c r="H101" s="373"/>
      <c r="I101" s="372"/>
      <c r="J101" s="372"/>
      <c r="K101" s="372"/>
      <c r="L101" s="371"/>
      <c r="M101" s="371"/>
    </row>
    <row r="102" spans="1:13" x14ac:dyDescent="0.25">
      <c r="A102" s="371"/>
      <c r="B102" s="370"/>
      <c r="C102" s="371"/>
      <c r="D102" s="372"/>
      <c r="E102" s="372"/>
      <c r="F102" s="372"/>
      <c r="G102" s="372"/>
      <c r="H102" s="373"/>
      <c r="I102" s="372"/>
      <c r="J102" s="372"/>
      <c r="K102" s="372"/>
      <c r="L102" s="371"/>
      <c r="M102" s="371"/>
    </row>
    <row r="103" spans="1:13" x14ac:dyDescent="0.25">
      <c r="A103" s="371"/>
      <c r="B103" s="370"/>
      <c r="C103" s="371"/>
      <c r="D103" s="372"/>
      <c r="E103" s="372"/>
      <c r="F103" s="372"/>
      <c r="G103" s="372"/>
      <c r="H103" s="373"/>
      <c r="I103" s="372"/>
      <c r="J103" s="372"/>
      <c r="K103" s="372"/>
      <c r="L103" s="371"/>
      <c r="M103" s="371"/>
    </row>
    <row r="104" spans="1:13" x14ac:dyDescent="0.25">
      <c r="A104" s="371"/>
      <c r="B104" s="370"/>
      <c r="C104" s="371"/>
      <c r="D104" s="372"/>
      <c r="E104" s="372"/>
      <c r="F104" s="372"/>
      <c r="G104" s="372"/>
      <c r="H104" s="373"/>
      <c r="I104" s="372"/>
      <c r="J104" s="372"/>
      <c r="K104" s="372"/>
      <c r="L104" s="371"/>
      <c r="M104" s="371"/>
    </row>
    <row r="105" spans="1:13" x14ac:dyDescent="0.25">
      <c r="A105" s="371"/>
      <c r="B105" s="370"/>
      <c r="C105" s="371"/>
      <c r="D105" s="372"/>
      <c r="E105" s="372"/>
      <c r="F105" s="372"/>
      <c r="G105" s="372"/>
      <c r="H105" s="373"/>
      <c r="I105" s="372"/>
      <c r="J105" s="372"/>
      <c r="K105" s="372"/>
      <c r="L105" s="371"/>
      <c r="M105" s="371"/>
    </row>
    <row r="106" spans="1:13" x14ac:dyDescent="0.25">
      <c r="A106" s="371"/>
      <c r="B106" s="370"/>
      <c r="C106" s="371"/>
      <c r="D106" s="372"/>
      <c r="E106" s="372"/>
      <c r="F106" s="372"/>
      <c r="G106" s="372"/>
      <c r="H106" s="373"/>
      <c r="I106" s="372"/>
      <c r="J106" s="372"/>
      <c r="K106" s="372"/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2"/>
      <c r="H107" s="373"/>
      <c r="I107" s="372"/>
      <c r="J107" s="372"/>
      <c r="K107" s="372"/>
      <c r="L107" s="371"/>
      <c r="M107" s="371"/>
    </row>
    <row r="108" spans="1:13" x14ac:dyDescent="0.25">
      <c r="A108" s="371"/>
      <c r="B108" s="370"/>
      <c r="C108" s="371"/>
      <c r="D108" s="372"/>
      <c r="E108" s="372"/>
      <c r="F108" s="372"/>
      <c r="G108" s="372"/>
      <c r="H108" s="373"/>
      <c r="I108" s="372"/>
      <c r="J108" s="372"/>
      <c r="K108" s="372"/>
      <c r="L108" s="371"/>
      <c r="M108" s="371"/>
    </row>
    <row r="109" spans="1:13" x14ac:dyDescent="0.25">
      <c r="A109" s="371"/>
      <c r="B109" s="370"/>
      <c r="C109" s="371"/>
      <c r="D109" s="372"/>
      <c r="E109" s="372"/>
      <c r="F109" s="372"/>
      <c r="G109" s="372"/>
      <c r="H109" s="373"/>
      <c r="I109" s="372"/>
      <c r="J109" s="372"/>
      <c r="K109" s="372"/>
      <c r="L109" s="371"/>
      <c r="M109" s="371"/>
    </row>
    <row r="110" spans="1:13" x14ac:dyDescent="0.25">
      <c r="A110" s="371"/>
      <c r="B110" s="370"/>
      <c r="C110" s="371"/>
      <c r="D110" s="372"/>
      <c r="E110" s="372"/>
      <c r="F110" s="372"/>
      <c r="G110" s="372"/>
      <c r="H110" s="373"/>
      <c r="I110" s="372"/>
      <c r="J110" s="372"/>
      <c r="K110" s="372"/>
      <c r="L110" s="371"/>
      <c r="M110" s="371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1" priority="21">
      <formula>F47&gt;0</formula>
    </cfRule>
    <cfRule type="expression" dxfId="1520" priority="22">
      <formula>F47&lt;0</formula>
    </cfRule>
  </conditionalFormatting>
  <conditionalFormatting sqref="Q7">
    <cfRule type="expression" dxfId="1519" priority="19">
      <formula>Q7&gt;0</formula>
    </cfRule>
    <cfRule type="expression" dxfId="1518" priority="20">
      <formula>Q7&lt;0</formula>
    </cfRule>
  </conditionalFormatting>
  <conditionalFormatting sqref="Q8">
    <cfRule type="expression" dxfId="1517" priority="17">
      <formula>Q8&gt;0</formula>
    </cfRule>
    <cfRule type="expression" dxfId="1516" priority="18">
      <formula>Q8&lt;0</formula>
    </cfRule>
  </conditionalFormatting>
  <conditionalFormatting sqref="F25:F46">
    <cfRule type="expression" dxfId="1515" priority="15">
      <formula>F25&gt;0</formula>
    </cfRule>
    <cfRule type="expression" dxfId="1514" priority="16">
      <formula>F25&lt;0</formula>
    </cfRule>
  </conditionalFormatting>
  <conditionalFormatting sqref="H25:H46">
    <cfRule type="expression" dxfId="1513" priority="13">
      <formula>H25&gt;0</formula>
    </cfRule>
    <cfRule type="expression" dxfId="1512" priority="14">
      <formula>H25&lt;0</formula>
    </cfRule>
  </conditionalFormatting>
  <conditionalFormatting sqref="F89:F110">
    <cfRule type="expression" dxfId="1511" priority="11">
      <formula>F89&gt;0</formula>
    </cfRule>
    <cfRule type="expression" dxfId="1510" priority="12">
      <formula>F89&lt;0</formula>
    </cfRule>
  </conditionalFormatting>
  <conditionalFormatting sqref="H89:H110">
    <cfRule type="expression" dxfId="1509" priority="9">
      <formula>H89&gt;0</formula>
    </cfRule>
    <cfRule type="expression" dxfId="1508" priority="10">
      <formula>H89&lt;0</formula>
    </cfRule>
  </conditionalFormatting>
  <conditionalFormatting sqref="Q10">
    <cfRule type="expression" dxfId="1507" priority="7">
      <formula>Q10&gt;0</formula>
    </cfRule>
    <cfRule type="expression" dxfId="1506" priority="8">
      <formula>Q10&lt;0</formula>
    </cfRule>
  </conditionalFormatting>
  <conditionalFormatting sqref="J25:J38">
    <cfRule type="expression" dxfId="1505" priority="5">
      <formula>J25&gt;0</formula>
    </cfRule>
    <cfRule type="expression" dxfId="1504" priority="6">
      <formula>J25&lt;0</formula>
    </cfRule>
  </conditionalFormatting>
  <conditionalFormatting sqref="K25:K38">
    <cfRule type="expression" dxfId="1503" priority="3">
      <formula>K25&gt;0</formula>
    </cfRule>
    <cfRule type="expression" dxfId="1502" priority="4">
      <formula>K25&lt;0</formula>
    </cfRule>
  </conditionalFormatting>
  <conditionalFormatting sqref="L25:L38">
    <cfRule type="expression" dxfId="1501" priority="1">
      <formula>L25&gt;0</formula>
    </cfRule>
    <cfRule type="expression" dxfId="1500" priority="2">
      <formula>L25&lt;0</formula>
    </cfRule>
  </conditionalFormatting>
  <conditionalFormatting sqref="W1:W47">
    <cfRule type="iconSet" priority="619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B22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7" width="11" customWidth="1"/>
    <col min="18" max="18" width="14.5703125" customWidth="1"/>
    <col min="19" max="19" width="12.28515625" customWidth="1"/>
    <col min="20" max="20" width="18.85546875" customWidth="1"/>
    <col min="21" max="21" width="34.285156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81.28515625" customWidth="1"/>
    <col min="27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8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Y1" s="34" t="s">
        <v>840</v>
      </c>
    </row>
    <row r="2" spans="1:28" x14ac:dyDescent="0.25">
      <c r="A2" s="6" t="s">
        <v>196</v>
      </c>
      <c r="B2" s="488">
        <v>42718</v>
      </c>
      <c r="C2" s="4">
        <v>200</v>
      </c>
      <c r="D2" s="235">
        <v>34.78</v>
      </c>
      <c r="E2" s="3">
        <v>0</v>
      </c>
      <c r="F2" s="3">
        <f t="shared" ref="F2:F30" si="0">D2*C2+E2</f>
        <v>6956</v>
      </c>
      <c r="G2" s="488">
        <v>42782</v>
      </c>
      <c r="H2" s="7">
        <v>200</v>
      </c>
      <c r="I2" s="43">
        <v>34.200000000000003</v>
      </c>
      <c r="J2" s="43">
        <v>0.15</v>
      </c>
      <c r="K2" s="43">
        <f t="shared" ref="K2:K18" si="1">I2*H2-J2</f>
        <v>6839.8500000000013</v>
      </c>
      <c r="L2" s="72">
        <v>42795</v>
      </c>
      <c r="M2" s="43">
        <v>72</v>
      </c>
      <c r="N2" s="4"/>
      <c r="O2" s="11" t="s">
        <v>57</v>
      </c>
      <c r="Q2">
        <f>C41-H41</f>
        <v>1800</v>
      </c>
      <c r="T2" s="582" t="s">
        <v>359</v>
      </c>
      <c r="W2" s="134"/>
      <c r="AB2" s="134"/>
    </row>
    <row r="3" spans="1:28" x14ac:dyDescent="0.25">
      <c r="A3" s="22" t="s">
        <v>71</v>
      </c>
      <c r="B3" s="488">
        <v>42738</v>
      </c>
      <c r="C3" s="4">
        <v>100</v>
      </c>
      <c r="D3" s="235">
        <v>33.78</v>
      </c>
      <c r="E3" s="3">
        <v>0</v>
      </c>
      <c r="F3" s="3">
        <f t="shared" si="0"/>
        <v>3378</v>
      </c>
      <c r="G3" s="445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78">
        <f>IF(Q2=0, Q4, (F41-K41-M41)/Q2)</f>
        <v>29.961077777777767</v>
      </c>
      <c r="T3" s="1" t="s">
        <v>474</v>
      </c>
      <c r="W3" s="134"/>
      <c r="Y3" s="29">
        <v>43095</v>
      </c>
      <c r="Z3" t="s">
        <v>841</v>
      </c>
      <c r="AB3" s="134"/>
    </row>
    <row r="4" spans="1:28" x14ac:dyDescent="0.25">
      <c r="B4" s="488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45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80">
        <v>27.66</v>
      </c>
      <c r="R4" s="226">
        <v>2.8999999999999998E-3</v>
      </c>
      <c r="T4" s="159"/>
      <c r="W4" s="134"/>
      <c r="Z4" t="s">
        <v>847</v>
      </c>
      <c r="AB4" s="134"/>
    </row>
    <row r="5" spans="1:28" x14ac:dyDescent="0.25">
      <c r="B5" s="488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45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49788</v>
      </c>
      <c r="W5" s="134"/>
    </row>
    <row r="6" spans="1:28" x14ac:dyDescent="0.25">
      <c r="B6" s="488">
        <v>42773</v>
      </c>
      <c r="C6" s="4">
        <v>100</v>
      </c>
      <c r="D6" s="78">
        <v>33.08</v>
      </c>
      <c r="E6" s="2">
        <v>0</v>
      </c>
      <c r="F6" s="2">
        <f t="shared" si="0"/>
        <v>3308</v>
      </c>
      <c r="G6" s="445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53929.939999999981</v>
      </c>
      <c r="T6" t="s">
        <v>534</v>
      </c>
      <c r="W6" s="134"/>
      <c r="Y6" s="29">
        <v>43102</v>
      </c>
      <c r="Z6" t="s">
        <v>906</v>
      </c>
    </row>
    <row r="7" spans="1:28" x14ac:dyDescent="0.25">
      <c r="B7" s="488">
        <v>42788</v>
      </c>
      <c r="C7" s="4">
        <v>200</v>
      </c>
      <c r="D7" s="235">
        <v>33.08</v>
      </c>
      <c r="E7" s="3">
        <v>0</v>
      </c>
      <c r="F7" s="3">
        <f t="shared" si="0"/>
        <v>6616</v>
      </c>
      <c r="G7" s="445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O7" s="11" t="s">
        <v>178</v>
      </c>
      <c r="Q7" s="2">
        <f>Q10+Q8</f>
        <v>-2393.9699999999939</v>
      </c>
      <c r="R7">
        <v>400</v>
      </c>
      <c r="W7" s="134"/>
      <c r="Z7" t="s">
        <v>892</v>
      </c>
    </row>
    <row r="8" spans="1:28" x14ac:dyDescent="0.25">
      <c r="B8" s="488">
        <v>42793</v>
      </c>
      <c r="C8" s="4">
        <v>200</v>
      </c>
      <c r="D8" s="235">
        <v>32.18</v>
      </c>
      <c r="E8" s="3">
        <v>0</v>
      </c>
      <c r="F8" s="3">
        <f t="shared" si="0"/>
        <v>6436</v>
      </c>
      <c r="G8" s="445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O8" s="11" t="s">
        <v>180</v>
      </c>
      <c r="P8" s="33"/>
      <c r="Q8" s="2">
        <f>K41+M41-F41+Q2*Q4</f>
        <v>-4141.9399999999878</v>
      </c>
      <c r="W8" s="134"/>
    </row>
    <row r="9" spans="1:28" x14ac:dyDescent="0.25">
      <c r="B9" s="488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45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210</v>
      </c>
      <c r="Q9" s="226">
        <f>IF(Q2=0, 0, Q8/Q6)</f>
        <v>-7.6802236382981129E-2</v>
      </c>
      <c r="W9" s="134"/>
      <c r="Y9" s="29">
        <v>43104</v>
      </c>
      <c r="Z9" t="s">
        <v>904</v>
      </c>
    </row>
    <row r="10" spans="1:28" x14ac:dyDescent="0.25">
      <c r="B10" s="488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45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209</v>
      </c>
      <c r="P10" s="33"/>
      <c r="Q10" s="2">
        <f>M200</f>
        <v>1747.9699999999939</v>
      </c>
      <c r="W10" s="134"/>
      <c r="Z10" t="s">
        <v>905</v>
      </c>
    </row>
    <row r="11" spans="1:28" x14ac:dyDescent="0.25">
      <c r="B11" s="488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45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1.8076644974692697E-2</v>
      </c>
      <c r="R11">
        <f>0.125</f>
        <v>0.125</v>
      </c>
      <c r="W11" s="134"/>
      <c r="Y11" s="29">
        <v>43105</v>
      </c>
      <c r="Z11" t="s">
        <v>910</v>
      </c>
    </row>
    <row r="12" spans="1:28" x14ac:dyDescent="0.25">
      <c r="B12" s="488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45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W12" s="134"/>
    </row>
    <row r="13" spans="1:28" x14ac:dyDescent="0.25">
      <c r="B13" s="488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45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W13" s="134"/>
      <c r="Y13" s="29">
        <v>43112</v>
      </c>
      <c r="Z13" t="s">
        <v>918</v>
      </c>
    </row>
    <row r="14" spans="1:28" x14ac:dyDescent="0.25">
      <c r="B14" s="488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45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699"/>
      <c r="W14" s="134"/>
      <c r="Z14" t="s">
        <v>919</v>
      </c>
    </row>
    <row r="15" spans="1:28" x14ac:dyDescent="0.25">
      <c r="B15" s="488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45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700"/>
      <c r="W15" s="134"/>
    </row>
    <row r="16" spans="1:28" x14ac:dyDescent="0.25">
      <c r="B16" s="488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45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700"/>
      <c r="W16" s="134"/>
      <c r="Y16" s="29">
        <v>43126</v>
      </c>
      <c r="Z16" t="s">
        <v>973</v>
      </c>
    </row>
    <row r="17" spans="2:26" x14ac:dyDescent="0.25">
      <c r="B17" s="488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45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700"/>
      <c r="W17" s="134"/>
      <c r="Z17" t="s">
        <v>974</v>
      </c>
    </row>
    <row r="18" spans="2:26" x14ac:dyDescent="0.25">
      <c r="B18" s="488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45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700"/>
      <c r="W18" s="134"/>
    </row>
    <row r="19" spans="2:26" x14ac:dyDescent="0.25">
      <c r="B19" s="488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72"/>
      <c r="H19" s="180"/>
      <c r="I19" s="3"/>
      <c r="J19" s="3"/>
      <c r="K19" s="3"/>
      <c r="O19" s="700"/>
      <c r="W19" s="134"/>
      <c r="Y19" s="791">
        <v>43153</v>
      </c>
      <c r="Z19" t="s">
        <v>978</v>
      </c>
    </row>
    <row r="20" spans="2:26" x14ac:dyDescent="0.25">
      <c r="B20" s="488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"/>
      <c r="H20" s="4"/>
      <c r="I20" s="3"/>
      <c r="J20" s="3"/>
      <c r="K20" s="3"/>
      <c r="O20" s="700"/>
      <c r="W20" s="134"/>
      <c r="Y20" s="791">
        <v>43167</v>
      </c>
      <c r="Z20" t="s">
        <v>893</v>
      </c>
    </row>
    <row r="21" spans="2:26" x14ac:dyDescent="0.25">
      <c r="B21" s="488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"/>
      <c r="H21" s="4"/>
      <c r="I21" s="3"/>
      <c r="J21" s="3"/>
      <c r="K21" s="3"/>
      <c r="W21" s="134"/>
    </row>
    <row r="22" spans="2:26" ht="20.25" thickBot="1" x14ac:dyDescent="0.35">
      <c r="B22" s="488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89"/>
      <c r="H22" s="4"/>
      <c r="I22" s="3"/>
      <c r="J22" s="3"/>
      <c r="K22" s="3"/>
      <c r="O22" s="804" t="s">
        <v>78</v>
      </c>
      <c r="P22" s="804"/>
      <c r="W22" s="134"/>
    </row>
    <row r="23" spans="2:26" ht="15.75" thickTop="1" x14ac:dyDescent="0.25">
      <c r="B23" s="489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"/>
      <c r="H23" s="4"/>
      <c r="I23" s="3"/>
      <c r="J23" s="3"/>
      <c r="K23" s="3"/>
      <c r="O23" s="81">
        <v>1.1000000000000001</v>
      </c>
      <c r="P23" s="81">
        <f>O23*$Q$4</f>
        <v>30.426000000000002</v>
      </c>
      <c r="Q23" s="2"/>
      <c r="W23" s="134"/>
    </row>
    <row r="24" spans="2:26" ht="20.25" thickBot="1" x14ac:dyDescent="0.35">
      <c r="B24" s="489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"/>
      <c r="H24" s="4"/>
      <c r="I24" s="3"/>
      <c r="J24" s="3"/>
      <c r="K24" s="3"/>
      <c r="O24" s="81">
        <v>1.0900000000000001</v>
      </c>
      <c r="P24" s="81">
        <f t="shared" ref="P24:P43" si="2">O24*$Q$4</f>
        <v>30.149400000000004</v>
      </c>
      <c r="Q24" s="2"/>
      <c r="T24" s="89" t="s">
        <v>112</v>
      </c>
      <c r="W24" s="134"/>
    </row>
    <row r="25" spans="2:26" ht="15.75" thickTop="1" x14ac:dyDescent="0.25">
      <c r="B25" s="752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"/>
      <c r="H25" s="4"/>
      <c r="I25" s="3"/>
      <c r="J25" s="3"/>
      <c r="K25" s="3"/>
      <c r="O25" s="81">
        <v>1.08</v>
      </c>
      <c r="P25" s="81">
        <f t="shared" si="2"/>
        <v>29.872800000000002</v>
      </c>
      <c r="Q25" s="2"/>
      <c r="T25" s="125" t="s">
        <v>97</v>
      </c>
      <c r="U25" s="96">
        <v>29.69</v>
      </c>
      <c r="W25" s="134"/>
    </row>
    <row r="26" spans="2:26" x14ac:dyDescent="0.25">
      <c r="B26" s="752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O26" s="81">
        <v>1.07</v>
      </c>
      <c r="P26" s="81">
        <f t="shared" si="2"/>
        <v>29.596200000000003</v>
      </c>
      <c r="Q26" s="2"/>
      <c r="T26" s="91" t="s">
        <v>98</v>
      </c>
      <c r="U26" s="86">
        <v>29.69</v>
      </c>
      <c r="W26" s="134"/>
    </row>
    <row r="27" spans="2:26" x14ac:dyDescent="0.25">
      <c r="B27" s="48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O27" s="81">
        <v>1.06</v>
      </c>
      <c r="P27" s="81">
        <f t="shared" si="2"/>
        <v>29.319600000000001</v>
      </c>
      <c r="Q27" s="2"/>
      <c r="T27" s="91" t="s">
        <v>99</v>
      </c>
      <c r="U27" s="86" t="s">
        <v>128</v>
      </c>
      <c r="W27" s="134"/>
    </row>
    <row r="28" spans="2:26" x14ac:dyDescent="0.25">
      <c r="B28" s="486">
        <v>43133</v>
      </c>
      <c r="C28" s="4">
        <v>200</v>
      </c>
      <c r="D28" s="2">
        <v>29.3</v>
      </c>
      <c r="E28" s="2">
        <v>0</v>
      </c>
      <c r="F28" s="2">
        <f t="shared" si="0"/>
        <v>5860</v>
      </c>
      <c r="O28" s="81">
        <v>1.05</v>
      </c>
      <c r="P28" s="81">
        <f t="shared" si="2"/>
        <v>29.043000000000003</v>
      </c>
      <c r="Q28" s="2"/>
      <c r="T28" s="91" t="s">
        <v>100</v>
      </c>
      <c r="U28" s="86" t="s">
        <v>128</v>
      </c>
      <c r="W28" s="134"/>
    </row>
    <row r="29" spans="2:26" x14ac:dyDescent="0.25">
      <c r="B29" s="48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O29" s="81">
        <v>1.04</v>
      </c>
      <c r="P29" s="81">
        <f t="shared" si="2"/>
        <v>28.766400000000001</v>
      </c>
      <c r="Q29" s="2"/>
      <c r="T29" s="91" t="s">
        <v>101</v>
      </c>
      <c r="U29" s="86">
        <v>34.43</v>
      </c>
      <c r="W29" s="134"/>
    </row>
    <row r="30" spans="2:26" x14ac:dyDescent="0.25">
      <c r="C30" s="4"/>
      <c r="O30" s="81">
        <v>1.03</v>
      </c>
      <c r="P30" s="81">
        <f t="shared" si="2"/>
        <v>28.489800000000002</v>
      </c>
      <c r="Q30" s="2"/>
      <c r="T30" s="91" t="s">
        <v>102</v>
      </c>
      <c r="U30" s="86">
        <v>0.28600199999999998</v>
      </c>
      <c r="W30" s="134"/>
    </row>
    <row r="31" spans="2:26" x14ac:dyDescent="0.25">
      <c r="O31" s="81">
        <v>1.02</v>
      </c>
      <c r="P31" s="81">
        <f t="shared" si="2"/>
        <v>28.213200000000001</v>
      </c>
      <c r="Q31" s="2"/>
      <c r="T31" s="91" t="s">
        <v>103</v>
      </c>
      <c r="U31" s="86" t="s">
        <v>523</v>
      </c>
      <c r="W31" s="134"/>
    </row>
    <row r="32" spans="2:26" x14ac:dyDescent="0.25">
      <c r="O32" s="81">
        <v>1.01</v>
      </c>
      <c r="P32" s="81">
        <f t="shared" si="2"/>
        <v>27.936600000000002</v>
      </c>
      <c r="Q32" s="2"/>
      <c r="T32" s="91"/>
      <c r="U32" s="86"/>
      <c r="W32" s="134"/>
    </row>
    <row r="33" spans="1:23" x14ac:dyDescent="0.25">
      <c r="O33" s="81">
        <v>1</v>
      </c>
      <c r="P33" s="81">
        <f t="shared" si="2"/>
        <v>27.66</v>
      </c>
      <c r="Q33" s="2"/>
      <c r="T33" s="91" t="s">
        <v>104</v>
      </c>
      <c r="U33" s="86" t="s">
        <v>621</v>
      </c>
      <c r="W33" s="134"/>
    </row>
    <row r="34" spans="1:23" x14ac:dyDescent="0.25">
      <c r="O34" s="81">
        <v>0.99</v>
      </c>
      <c r="P34" s="81">
        <f t="shared" si="2"/>
        <v>27.383399999999998</v>
      </c>
      <c r="Q34" s="2"/>
      <c r="T34" s="91" t="s">
        <v>105</v>
      </c>
      <c r="U34" s="86" t="s">
        <v>622</v>
      </c>
      <c r="W34" s="134"/>
    </row>
    <row r="35" spans="1:23" x14ac:dyDescent="0.25">
      <c r="O35" s="81">
        <v>0.98</v>
      </c>
      <c r="P35" s="81">
        <f t="shared" si="2"/>
        <v>27.1068</v>
      </c>
      <c r="Q35" s="2"/>
      <c r="T35" s="91" t="s">
        <v>106</v>
      </c>
      <c r="U35" s="88">
        <v>7532240</v>
      </c>
      <c r="W35" s="134"/>
    </row>
    <row r="36" spans="1:23" x14ac:dyDescent="0.25">
      <c r="O36" s="81">
        <v>0.97</v>
      </c>
      <c r="P36" s="81">
        <f t="shared" si="2"/>
        <v>26.830199999999998</v>
      </c>
      <c r="T36" s="91" t="s">
        <v>109</v>
      </c>
      <c r="U36" s="88">
        <v>8478110</v>
      </c>
      <c r="W36" s="134"/>
    </row>
    <row r="37" spans="1:23" x14ac:dyDescent="0.25">
      <c r="O37" s="81">
        <v>0.96</v>
      </c>
      <c r="P37" s="81">
        <f t="shared" si="2"/>
        <v>26.553599999999999</v>
      </c>
      <c r="T37" s="91" t="s">
        <v>107</v>
      </c>
      <c r="U37" s="86" t="s">
        <v>623</v>
      </c>
      <c r="W37" s="134"/>
    </row>
    <row r="38" spans="1:23" x14ac:dyDescent="0.25">
      <c r="O38" s="81">
        <v>0.95</v>
      </c>
      <c r="P38" s="81">
        <f t="shared" si="2"/>
        <v>26.276999999999997</v>
      </c>
      <c r="T38" s="91" t="s">
        <v>110</v>
      </c>
      <c r="U38" s="86">
        <v>14.3</v>
      </c>
      <c r="W38" s="134"/>
    </row>
    <row r="39" spans="1:23" x14ac:dyDescent="0.25">
      <c r="O39" s="81">
        <v>0.94</v>
      </c>
      <c r="P39" s="81">
        <f t="shared" si="2"/>
        <v>26.000399999999999</v>
      </c>
      <c r="T39" s="91" t="s">
        <v>111</v>
      </c>
      <c r="U39" s="86">
        <v>2.0499999999999998</v>
      </c>
      <c r="W39" s="134"/>
    </row>
    <row r="40" spans="1:23" x14ac:dyDescent="0.25">
      <c r="B40" s="29"/>
      <c r="D40" s="78"/>
      <c r="O40" s="81">
        <v>0.93</v>
      </c>
      <c r="P40" s="81">
        <f t="shared" si="2"/>
        <v>25.723800000000001</v>
      </c>
      <c r="T40" s="91" t="s">
        <v>108</v>
      </c>
      <c r="U40" s="86" t="s">
        <v>560</v>
      </c>
      <c r="W40" s="134"/>
    </row>
    <row r="41" spans="1:23" x14ac:dyDescent="0.25">
      <c r="A41" s="31" t="s">
        <v>81</v>
      </c>
      <c r="B41" s="14"/>
      <c r="C41" s="14">
        <f>SUM(C2:C30)</f>
        <v>5600</v>
      </c>
      <c r="D41" s="18"/>
      <c r="E41" s="18"/>
      <c r="F41" s="18">
        <f>SUM(F2:F30)</f>
        <v>154001.24</v>
      </c>
      <c r="G41" s="14"/>
      <c r="H41" s="14">
        <f>SUM(H2:H40)</f>
        <v>3800</v>
      </c>
      <c r="I41" s="18"/>
      <c r="J41" s="18"/>
      <c r="K41" s="18">
        <f>SUM(K2:K40)</f>
        <v>99327.900000000009</v>
      </c>
      <c r="L41" s="14"/>
      <c r="M41" s="18">
        <f>SUM(M2:M40)</f>
        <v>743.4</v>
      </c>
      <c r="O41" s="81">
        <v>0.92</v>
      </c>
      <c r="P41" s="81">
        <f t="shared" si="2"/>
        <v>25.447200000000002</v>
      </c>
      <c r="W41" s="134"/>
    </row>
    <row r="42" spans="1:23" ht="15.75" thickBot="1" x14ac:dyDescent="0.3">
      <c r="A42" s="347" t="s">
        <v>194</v>
      </c>
      <c r="B42" s="348"/>
      <c r="C42" s="349">
        <f>SumByColor($A$42,C2:C40)</f>
        <v>3800</v>
      </c>
      <c r="D42" s="349"/>
      <c r="E42" s="349"/>
      <c r="F42" s="350">
        <f>SumByColor($A$42,F2:F40)</f>
        <v>98072</v>
      </c>
      <c r="G42" s="350"/>
      <c r="H42" s="764">
        <f>SumByColor($A$42,H2:H40)</f>
        <v>3800</v>
      </c>
      <c r="I42" s="349"/>
      <c r="J42" s="349"/>
      <c r="K42" s="350">
        <f>SumByColor($A$42,K2:K40)</f>
        <v>99330</v>
      </c>
      <c r="L42" s="349"/>
      <c r="M42" s="350">
        <f>SumByColor($A$42,M2:M40)</f>
        <v>744</v>
      </c>
      <c r="O42" s="81">
        <v>0.91</v>
      </c>
      <c r="P42" s="81">
        <f t="shared" si="2"/>
        <v>25.1706</v>
      </c>
      <c r="W42" s="134"/>
    </row>
    <row r="43" spans="1:23" x14ac:dyDescent="0.25">
      <c r="O43" s="81">
        <v>0.9</v>
      </c>
      <c r="P43" s="81">
        <f t="shared" si="2"/>
        <v>24.894000000000002</v>
      </c>
      <c r="W43" s="134"/>
    </row>
    <row r="44" spans="1:23" x14ac:dyDescent="0.25">
      <c r="W44" s="134"/>
    </row>
    <row r="45" spans="1:23" x14ac:dyDescent="0.25">
      <c r="W45" s="134"/>
    </row>
    <row r="46" spans="1:23" x14ac:dyDescent="0.25">
      <c r="W46" s="134"/>
    </row>
    <row r="47" spans="1:23" x14ac:dyDescent="0.25">
      <c r="B47" s="186" t="s">
        <v>113</v>
      </c>
      <c r="C47" s="186" t="s">
        <v>146</v>
      </c>
      <c r="D47" s="187" t="s">
        <v>145</v>
      </c>
      <c r="E47" s="189" t="s">
        <v>147</v>
      </c>
      <c r="F47" s="189" t="s">
        <v>65</v>
      </c>
      <c r="G47" s="224" t="s">
        <v>151</v>
      </c>
      <c r="H47" s="224" t="s">
        <v>88</v>
      </c>
      <c r="I47" s="224" t="s">
        <v>154</v>
      </c>
      <c r="J47" s="224" t="s">
        <v>514</v>
      </c>
      <c r="K47" s="224" t="s">
        <v>150</v>
      </c>
      <c r="L47" s="224" t="s">
        <v>778</v>
      </c>
      <c r="W47" s="134"/>
    </row>
    <row r="48" spans="1:23" x14ac:dyDescent="0.25">
      <c r="A48" t="s">
        <v>347</v>
      </c>
      <c r="B48" s="188">
        <v>42754</v>
      </c>
      <c r="C48" s="10">
        <v>400</v>
      </c>
      <c r="D48" s="39">
        <v>34.402500000000003</v>
      </c>
      <c r="E48" s="39">
        <v>34.26</v>
      </c>
      <c r="F48" s="39">
        <f t="shared" ref="F48:F54" si="3">C48*(E48-D48)</f>
        <v>-57.00000000000216</v>
      </c>
      <c r="G48" s="39">
        <f t="shared" ref="G48:G54" si="4">D48*C48</f>
        <v>13761.000000000002</v>
      </c>
      <c r="H48" s="226">
        <f t="shared" ref="H48:H54" si="5">(E48-D48)/D48</f>
        <v>-4.1421408327884717E-3</v>
      </c>
      <c r="I48" s="39">
        <v>34</v>
      </c>
      <c r="J48" s="39"/>
      <c r="K48" s="39"/>
      <c r="L48" s="39"/>
      <c r="O48" s="11" t="s">
        <v>716</v>
      </c>
      <c r="S48" s="22" t="s">
        <v>715</v>
      </c>
      <c r="W48" s="134"/>
    </row>
    <row r="49" spans="1:23" x14ac:dyDescent="0.25">
      <c r="A49" t="s">
        <v>347</v>
      </c>
      <c r="B49" s="188">
        <v>42760</v>
      </c>
      <c r="C49" s="10">
        <v>400</v>
      </c>
      <c r="D49" s="39">
        <v>34.402500000000003</v>
      </c>
      <c r="E49" s="39">
        <v>33.47</v>
      </c>
      <c r="F49" s="39">
        <f t="shared" si="3"/>
        <v>-373.00000000000182</v>
      </c>
      <c r="G49" s="39">
        <f t="shared" si="4"/>
        <v>13761.000000000002</v>
      </c>
      <c r="H49" s="226">
        <f t="shared" si="5"/>
        <v>-2.7105588256667524E-2</v>
      </c>
      <c r="I49" s="39"/>
      <c r="J49" s="39"/>
      <c r="K49" s="39"/>
      <c r="L49" s="39"/>
      <c r="W49" s="134"/>
    </row>
    <row r="50" spans="1:23" x14ac:dyDescent="0.25">
      <c r="A50" t="s">
        <v>378</v>
      </c>
      <c r="B50" s="188">
        <v>42762</v>
      </c>
      <c r="C50" s="10">
        <v>500</v>
      </c>
      <c r="D50" s="39">
        <v>34.142000000000003</v>
      </c>
      <c r="E50" s="39">
        <v>33.36</v>
      </c>
      <c r="F50" s="39">
        <f t="shared" si="3"/>
        <v>-391.00000000000182</v>
      </c>
      <c r="G50" s="39">
        <f t="shared" si="4"/>
        <v>17071</v>
      </c>
      <c r="H50" s="226">
        <f t="shared" si="5"/>
        <v>-2.2904340694745579E-2</v>
      </c>
      <c r="I50" s="39">
        <v>33.75</v>
      </c>
      <c r="J50" s="39"/>
      <c r="K50" s="39"/>
      <c r="L50" s="39"/>
      <c r="W50" s="134"/>
    </row>
    <row r="51" spans="1:23" x14ac:dyDescent="0.25">
      <c r="A51" t="s">
        <v>404</v>
      </c>
      <c r="B51" s="188">
        <v>42770</v>
      </c>
      <c r="C51" s="10">
        <v>500</v>
      </c>
      <c r="D51" s="39">
        <v>34.142000000000003</v>
      </c>
      <c r="E51" s="39">
        <v>34.020000000000003</v>
      </c>
      <c r="F51" s="39">
        <f t="shared" si="3"/>
        <v>-60.999999999999943</v>
      </c>
      <c r="G51" s="39">
        <f t="shared" si="4"/>
        <v>17071</v>
      </c>
      <c r="H51" s="226">
        <f t="shared" si="5"/>
        <v>-3.5733114638861192E-3</v>
      </c>
      <c r="I51" s="39"/>
      <c r="J51" s="39"/>
      <c r="K51" s="39"/>
      <c r="L51" s="39"/>
      <c r="W51" s="134"/>
    </row>
    <row r="52" spans="1:23" x14ac:dyDescent="0.25">
      <c r="A52" t="s">
        <v>420</v>
      </c>
      <c r="B52" s="188">
        <v>42773</v>
      </c>
      <c r="C52" s="10">
        <v>600</v>
      </c>
      <c r="D52" s="39">
        <v>33.965000000000003</v>
      </c>
      <c r="E52" s="39">
        <v>33.08</v>
      </c>
      <c r="F52" s="39">
        <f t="shared" si="3"/>
        <v>-531.00000000000307</v>
      </c>
      <c r="G52" s="39">
        <f t="shared" si="4"/>
        <v>20379.000000000004</v>
      </c>
      <c r="H52" s="226">
        <f t="shared" si="5"/>
        <v>-2.6056234358899016E-2</v>
      </c>
      <c r="I52" s="39"/>
      <c r="J52" s="39"/>
      <c r="K52" s="39"/>
      <c r="L52" s="39"/>
    </row>
    <row r="53" spans="1:23" x14ac:dyDescent="0.25">
      <c r="A53" t="s">
        <v>379</v>
      </c>
      <c r="B53" s="188">
        <v>42778</v>
      </c>
      <c r="C53" s="10">
        <v>600</v>
      </c>
      <c r="D53" s="39">
        <v>33.965000000000003</v>
      </c>
      <c r="E53" s="39">
        <v>33.479999999999997</v>
      </c>
      <c r="F53" s="39">
        <f t="shared" si="3"/>
        <v>-291.00000000000392</v>
      </c>
      <c r="G53" s="39">
        <f t="shared" si="4"/>
        <v>20379.000000000004</v>
      </c>
      <c r="H53" s="226">
        <f t="shared" si="5"/>
        <v>-1.4279405270131208E-2</v>
      </c>
      <c r="I53" s="39"/>
      <c r="J53" s="39"/>
      <c r="K53" s="39"/>
      <c r="L53" s="39"/>
    </row>
    <row r="54" spans="1:23" x14ac:dyDescent="0.25">
      <c r="A54" t="s">
        <v>444</v>
      </c>
      <c r="B54" s="188">
        <v>42782</v>
      </c>
      <c r="C54" s="10">
        <v>400</v>
      </c>
      <c r="D54" s="39">
        <v>33.847900000000003</v>
      </c>
      <c r="E54" s="39">
        <v>33.94</v>
      </c>
      <c r="F54" s="39">
        <f t="shared" si="3"/>
        <v>36.839999999997985</v>
      </c>
      <c r="G54" s="39">
        <f t="shared" si="4"/>
        <v>13539.160000000002</v>
      </c>
      <c r="H54" s="226">
        <f t="shared" si="5"/>
        <v>2.7209959849797166E-3</v>
      </c>
      <c r="I54" s="39" t="s">
        <v>452</v>
      </c>
      <c r="J54" s="39"/>
      <c r="K54" s="39"/>
      <c r="L54" s="39"/>
    </row>
    <row r="55" spans="1:23" x14ac:dyDescent="0.25">
      <c r="A55" t="s">
        <v>348</v>
      </c>
      <c r="B55" s="188">
        <v>42788</v>
      </c>
      <c r="C55" s="7">
        <v>600</v>
      </c>
      <c r="D55" s="43">
        <v>33.591920000000002</v>
      </c>
      <c r="E55" s="39">
        <v>33.229999999999997</v>
      </c>
      <c r="F55" s="39">
        <f t="shared" ref="F55" si="6">C55*(E55-D55)</f>
        <v>-217.15200000000294</v>
      </c>
      <c r="G55" s="39">
        <f t="shared" ref="G55" si="7">D55*C55</f>
        <v>20155.152000000002</v>
      </c>
      <c r="H55" s="226">
        <f t="shared" ref="H55" si="8">(E55-D55)/D55</f>
        <v>-1.0774019466586158E-2</v>
      </c>
      <c r="I55" s="39">
        <v>33</v>
      </c>
      <c r="J55" s="39"/>
      <c r="K55" s="39"/>
      <c r="L55" s="39"/>
    </row>
    <row r="56" spans="1:23" x14ac:dyDescent="0.25">
      <c r="A56" t="s">
        <v>477</v>
      </c>
      <c r="B56" s="188">
        <v>42793</v>
      </c>
      <c r="C56" s="10">
        <v>800</v>
      </c>
      <c r="D56" s="39">
        <v>33.238900000000001</v>
      </c>
      <c r="E56" s="39">
        <v>32.22</v>
      </c>
      <c r="F56" s="39">
        <f t="shared" ref="F56" si="9">C56*(E56-D56)</f>
        <v>-815.12000000000171</v>
      </c>
      <c r="G56" s="39">
        <f t="shared" ref="G56" si="10">D56*C56</f>
        <v>26591.120000000003</v>
      </c>
      <c r="H56" s="226">
        <f t="shared" ref="H56" si="11">(E56-D56)/D56</f>
        <v>-3.0653842335336072E-2</v>
      </c>
      <c r="I56" s="39"/>
      <c r="J56" s="39"/>
      <c r="K56" s="39"/>
      <c r="L56" s="39"/>
    </row>
    <row r="57" spans="1:23" x14ac:dyDescent="0.25">
      <c r="A57" t="s">
        <v>482</v>
      </c>
      <c r="B57" s="188">
        <v>42796</v>
      </c>
      <c r="C57" s="10">
        <v>1400</v>
      </c>
      <c r="D57" s="39">
        <v>32.090800000000002</v>
      </c>
      <c r="E57" s="39">
        <v>30.67</v>
      </c>
      <c r="F57" s="39">
        <f t="shared" ref="F57" si="12">C57*(E57-D57)</f>
        <v>-1989.12</v>
      </c>
      <c r="G57" s="39">
        <f t="shared" ref="G57" si="13">D57*C57</f>
        <v>44927.12</v>
      </c>
      <c r="H57" s="226">
        <f t="shared" ref="H57" si="14">(E57-D57)/D57</f>
        <v>-4.4274371470951167E-2</v>
      </c>
      <c r="I57" s="39"/>
      <c r="J57" s="39"/>
      <c r="K57" s="39"/>
      <c r="L57" s="39"/>
    </row>
    <row r="58" spans="1:23" x14ac:dyDescent="0.25">
      <c r="A58">
        <v>300</v>
      </c>
      <c r="B58" s="188">
        <v>42798</v>
      </c>
      <c r="C58" s="10">
        <v>1500</v>
      </c>
      <c r="D58" s="39">
        <v>31.954999999999998</v>
      </c>
      <c r="E58" s="39">
        <v>29.63</v>
      </c>
      <c r="F58" s="39">
        <f t="shared" ref="F58" si="15">C58*(E58-D58)</f>
        <v>-3487.4999999999991</v>
      </c>
      <c r="G58" s="39">
        <f t="shared" ref="G58" si="16">D58*C58</f>
        <v>47932.5</v>
      </c>
      <c r="H58" s="226">
        <f t="shared" ref="H58" si="17">(E58-D58)/D58</f>
        <v>-7.2758566734470329E-2</v>
      </c>
      <c r="I58" s="39"/>
      <c r="J58" s="39"/>
      <c r="K58" s="39">
        <v>-1739</v>
      </c>
      <c r="L58" s="39"/>
    </row>
    <row r="59" spans="1:23" x14ac:dyDescent="0.25">
      <c r="A59">
        <v>400</v>
      </c>
      <c r="B59" s="188">
        <v>42808</v>
      </c>
      <c r="C59" s="10">
        <v>1700</v>
      </c>
      <c r="D59" s="39">
        <v>31.527000000000001</v>
      </c>
      <c r="E59" s="39">
        <v>28.7</v>
      </c>
      <c r="F59" s="39">
        <f t="shared" ref="F59" si="18">C59*(E59-D59)</f>
        <v>-4805.9000000000033</v>
      </c>
      <c r="G59" s="39">
        <f t="shared" ref="G59" si="19">D59*C59</f>
        <v>53595.9</v>
      </c>
      <c r="H59" s="226">
        <f t="shared" ref="H59" si="20">(E59-D59)/D59</f>
        <v>-8.9669172455355772E-2</v>
      </c>
      <c r="I59" s="39"/>
      <c r="J59" s="39">
        <v>23.65</v>
      </c>
      <c r="K59" s="39">
        <v>-3059</v>
      </c>
      <c r="L59" s="39"/>
    </row>
    <row r="60" spans="1:23" x14ac:dyDescent="0.25">
      <c r="A60">
        <v>200</v>
      </c>
      <c r="B60" s="188">
        <v>42809</v>
      </c>
      <c r="C60" s="10">
        <v>1500</v>
      </c>
      <c r="D60" s="39">
        <v>31.861999999999998</v>
      </c>
      <c r="E60" s="39">
        <v>28.84</v>
      </c>
      <c r="F60" s="39">
        <f t="shared" ref="F60" si="21">C60*(E60-D60)</f>
        <v>-4532.9999999999973</v>
      </c>
      <c r="G60" s="39">
        <f t="shared" ref="G60" si="22">D60*C60</f>
        <v>47793</v>
      </c>
      <c r="H60" s="226">
        <f t="shared" ref="H60" si="23">(E60-D60)/D60</f>
        <v>-9.4846525641830354E-2</v>
      </c>
      <c r="I60" s="39"/>
      <c r="J60" s="39">
        <v>25.81</v>
      </c>
      <c r="K60" s="39">
        <v>-2785</v>
      </c>
      <c r="L60" s="39"/>
    </row>
    <row r="61" spans="1:23" x14ac:dyDescent="0.25">
      <c r="A61">
        <v>400</v>
      </c>
      <c r="B61" s="188">
        <v>42819</v>
      </c>
      <c r="C61" s="10">
        <v>1500</v>
      </c>
      <c r="D61" s="39">
        <v>31.861999999999998</v>
      </c>
      <c r="E61" s="39">
        <v>29.1</v>
      </c>
      <c r="F61" s="39">
        <f t="shared" ref="F61" si="24">C61*(E61-D61)</f>
        <v>-4142.9999999999955</v>
      </c>
      <c r="G61" s="39">
        <f t="shared" ref="G61" si="25">D61*C61</f>
        <v>47793</v>
      </c>
      <c r="H61" s="226">
        <f t="shared" ref="H61" si="26">(E61-D61)/D61</f>
        <v>-8.6686334818906446E-2</v>
      </c>
      <c r="I61" s="39"/>
      <c r="J61" s="39"/>
      <c r="K61" s="39">
        <v>-2395</v>
      </c>
      <c r="L61" s="39"/>
    </row>
    <row r="62" spans="1:23" x14ac:dyDescent="0.25">
      <c r="A62">
        <v>1500</v>
      </c>
      <c r="B62" s="188">
        <v>42862</v>
      </c>
      <c r="C62" s="10">
        <v>1500</v>
      </c>
      <c r="D62" s="39">
        <v>31.86</v>
      </c>
      <c r="E62" s="39">
        <v>29.35</v>
      </c>
      <c r="F62" s="39">
        <f t="shared" ref="F62" si="27">C62*(E62-D62)</f>
        <v>-3764.9999999999968</v>
      </c>
      <c r="G62" s="39">
        <f t="shared" ref="G62" si="28">D62*C62</f>
        <v>47790</v>
      </c>
      <c r="H62" s="226">
        <f t="shared" ref="H62" si="29">(E62-D62)/D62</f>
        <v>-7.878217200251092E-2</v>
      </c>
      <c r="I62" s="39"/>
      <c r="J62" s="39"/>
      <c r="K62" s="39">
        <v>-2016</v>
      </c>
      <c r="L62" s="39"/>
    </row>
    <row r="63" spans="1:23" x14ac:dyDescent="0.25">
      <c r="A63">
        <v>1500</v>
      </c>
      <c r="B63" s="188">
        <v>42877</v>
      </c>
      <c r="C63" s="10">
        <v>1500</v>
      </c>
      <c r="D63" s="39">
        <v>31.86</v>
      </c>
      <c r="E63" s="39">
        <v>29.23</v>
      </c>
      <c r="F63" s="39">
        <f t="shared" ref="F63" si="30">C63*(E63-D63)</f>
        <v>-3944.9999999999986</v>
      </c>
      <c r="G63" s="39">
        <f t="shared" ref="G63:G64" si="31">D63*C63</f>
        <v>47790</v>
      </c>
      <c r="H63" s="226">
        <f t="shared" ref="H63" si="32">(E63-D63)/D63</f>
        <v>-8.2548650345260488E-2</v>
      </c>
      <c r="I63" s="39">
        <v>31</v>
      </c>
      <c r="J63" s="39"/>
      <c r="K63" s="39">
        <v>-2196</v>
      </c>
      <c r="L63" s="39"/>
    </row>
    <row r="64" spans="1:23" x14ac:dyDescent="0.25">
      <c r="A64">
        <v>1500</v>
      </c>
      <c r="B64" s="188">
        <v>42901</v>
      </c>
      <c r="C64" s="10">
        <v>1800</v>
      </c>
      <c r="D64" s="39">
        <v>30.6572</v>
      </c>
      <c r="E64" s="39"/>
      <c r="F64" s="39"/>
      <c r="G64" s="10">
        <f t="shared" si="31"/>
        <v>55182.96</v>
      </c>
      <c r="H64" s="10"/>
      <c r="I64" s="39">
        <v>30</v>
      </c>
      <c r="J64" s="39"/>
      <c r="K64" s="39"/>
      <c r="L64" s="39"/>
    </row>
    <row r="65" spans="1:13" x14ac:dyDescent="0.25">
      <c r="A65">
        <v>1500</v>
      </c>
      <c r="B65" s="188">
        <v>42904</v>
      </c>
      <c r="C65" s="10">
        <v>2000</v>
      </c>
      <c r="D65" s="39">
        <v>29.751439999999999</v>
      </c>
      <c r="E65" s="39">
        <v>22.29</v>
      </c>
      <c r="F65" s="39">
        <f t="shared" ref="F65" si="33">C65*(E65-D65)</f>
        <v>-14922.88</v>
      </c>
      <c r="G65" s="39">
        <f t="shared" ref="G65" si="34">D65*C65</f>
        <v>59502.879999999997</v>
      </c>
      <c r="H65" s="226">
        <f t="shared" ref="H65" si="35">(E65-D65)/D65</f>
        <v>-0.25079256667912547</v>
      </c>
      <c r="I65" s="39"/>
      <c r="J65" s="39"/>
      <c r="K65" s="39">
        <v>-13175</v>
      </c>
      <c r="L65" s="39"/>
    </row>
    <row r="66" spans="1:13" x14ac:dyDescent="0.25">
      <c r="B66" s="188">
        <v>42939</v>
      </c>
      <c r="C66" s="10">
        <v>2000</v>
      </c>
      <c r="D66" s="39">
        <v>29.751439999999999</v>
      </c>
      <c r="E66" s="39">
        <v>23.26</v>
      </c>
      <c r="F66" s="39">
        <f t="shared" ref="F66" si="36">C66*(E66-D66)</f>
        <v>-12982.879999999994</v>
      </c>
      <c r="G66" s="39">
        <f t="shared" ref="G66" si="37">D66*C66</f>
        <v>59502.879999999997</v>
      </c>
      <c r="H66" s="226">
        <f t="shared" ref="H66" si="38">(E66-D66)/D66</f>
        <v>-0.21818910277956285</v>
      </c>
      <c r="I66" s="39"/>
      <c r="J66" s="39"/>
      <c r="K66" s="39">
        <v>-11235</v>
      </c>
      <c r="L66" s="39"/>
    </row>
    <row r="67" spans="1:13" x14ac:dyDescent="0.25">
      <c r="A67">
        <v>1900</v>
      </c>
      <c r="B67" s="188">
        <v>42944</v>
      </c>
      <c r="C67" s="10">
        <v>1900</v>
      </c>
      <c r="D67" s="39">
        <v>30.03997</v>
      </c>
      <c r="E67" s="39">
        <v>24.28</v>
      </c>
      <c r="F67" s="39">
        <f t="shared" ref="F67" si="39">C67*(E67-D67)</f>
        <v>-10943.942999999997</v>
      </c>
      <c r="G67" s="39">
        <f t="shared" ref="G67" si="40">D67*C67</f>
        <v>57075.942999999999</v>
      </c>
      <c r="H67" s="226">
        <f t="shared" ref="H67" si="41">(E67-D67)/D67</f>
        <v>-0.1917435336986022</v>
      </c>
      <c r="I67" s="39"/>
      <c r="J67" s="39"/>
      <c r="K67" s="39">
        <v>-9196</v>
      </c>
      <c r="L67" s="39"/>
    </row>
    <row r="68" spans="1:13" x14ac:dyDescent="0.25">
      <c r="A68">
        <v>1900</v>
      </c>
      <c r="B68" s="188">
        <v>42962</v>
      </c>
      <c r="C68" s="10">
        <v>2000</v>
      </c>
      <c r="D68" s="39">
        <v>29.7</v>
      </c>
      <c r="E68" s="39">
        <v>25.28</v>
      </c>
      <c r="F68" s="39">
        <f t="shared" ref="F68" si="42">C68*(E68-D68)</f>
        <v>-8839.9999999999964</v>
      </c>
      <c r="G68" s="39">
        <f t="shared" ref="G68" si="43">D68*C68</f>
        <v>59400</v>
      </c>
      <c r="H68" s="226">
        <f t="shared" ref="H68" si="44">(E68-D68)/D68</f>
        <v>-0.14882154882154877</v>
      </c>
      <c r="I68" s="39"/>
      <c r="J68" s="39"/>
      <c r="K68" s="39">
        <v>-11435</v>
      </c>
      <c r="L68" s="39"/>
    </row>
    <row r="69" spans="1:13" x14ac:dyDescent="0.25">
      <c r="A69">
        <v>1900</v>
      </c>
      <c r="B69" s="188">
        <v>42980</v>
      </c>
      <c r="C69" s="10">
        <v>2000</v>
      </c>
      <c r="D69" s="39">
        <v>29.582999999999998</v>
      </c>
      <c r="E69" s="39">
        <v>22.42</v>
      </c>
      <c r="F69" s="39">
        <f t="shared" ref="F69" si="45">C69*(E69-D69)</f>
        <v>-14325.999999999993</v>
      </c>
      <c r="G69" s="39">
        <f t="shared" ref="G69" si="46">D69*C69</f>
        <v>59166</v>
      </c>
      <c r="H69" s="226">
        <f t="shared" ref="H69" si="47">(E69-D69)/D69</f>
        <v>-0.24213230571612065</v>
      </c>
      <c r="I69" s="39"/>
      <c r="J69" s="39"/>
      <c r="K69" s="39">
        <v>-12815</v>
      </c>
      <c r="L69" s="39"/>
      <c r="M69" t="s">
        <v>185</v>
      </c>
    </row>
    <row r="70" spans="1:13" x14ac:dyDescent="0.25">
      <c r="A70">
        <v>1300</v>
      </c>
      <c r="B70" s="188">
        <v>42986</v>
      </c>
      <c r="C70" s="10">
        <v>2400</v>
      </c>
      <c r="D70" s="39">
        <v>28.047699999999999</v>
      </c>
      <c r="E70" s="39">
        <v>21.08</v>
      </c>
      <c r="F70" s="39">
        <f t="shared" ref="F70" si="48">C70*(E70-D70)</f>
        <v>-16722.480000000003</v>
      </c>
      <c r="G70" s="39">
        <f t="shared" ref="G70" si="49">D70*C70</f>
        <v>67314.48</v>
      </c>
      <c r="H70" s="226">
        <f t="shared" ref="H70" si="50">(E70-D70)/D70</f>
        <v>-0.24842322186845983</v>
      </c>
      <c r="I70" s="39"/>
      <c r="J70" s="39"/>
      <c r="K70" s="39">
        <v>-14974</v>
      </c>
      <c r="L70" s="39"/>
    </row>
    <row r="71" spans="1:13" x14ac:dyDescent="0.25">
      <c r="A71">
        <v>900</v>
      </c>
      <c r="B71" s="188">
        <v>42986</v>
      </c>
      <c r="C71" s="10">
        <v>2000</v>
      </c>
      <c r="D71" s="39">
        <v>29.446999999999999</v>
      </c>
      <c r="E71" s="39">
        <v>21.135000000000002</v>
      </c>
      <c r="F71" s="39">
        <f t="shared" ref="F71" si="51">C71*(E71-D71)</f>
        <v>-16623.999999999996</v>
      </c>
      <c r="G71" s="39">
        <f t="shared" ref="G71" si="52">D71*C71</f>
        <v>58894</v>
      </c>
      <c r="H71" s="226">
        <f t="shared" ref="H71" si="53">(E71-D71)/D71</f>
        <v>-0.28226984073080441</v>
      </c>
      <c r="I71" s="39">
        <v>29</v>
      </c>
      <c r="J71" s="39"/>
      <c r="K71" s="39">
        <v>-14836</v>
      </c>
      <c r="L71" s="39">
        <f>21.06/2.025</f>
        <v>10.4</v>
      </c>
    </row>
    <row r="72" spans="1:13" x14ac:dyDescent="0.25">
      <c r="A72">
        <v>1000</v>
      </c>
      <c r="B72" s="188">
        <v>42996</v>
      </c>
      <c r="C72" s="10">
        <v>2000</v>
      </c>
      <c r="D72" s="39">
        <v>29.446999999999999</v>
      </c>
      <c r="E72" s="39">
        <v>21.44</v>
      </c>
      <c r="F72" s="39">
        <f t="shared" ref="F72" si="54">C72*(E72-D72)</f>
        <v>-16013.999999999996</v>
      </c>
      <c r="G72" s="39">
        <f t="shared" ref="G72" si="55">D72*C72</f>
        <v>58894</v>
      </c>
      <c r="H72" s="226">
        <f t="shared" ref="H72" si="56">(E72-D72)/D72</f>
        <v>-0.27191224912554751</v>
      </c>
      <c r="I72" s="39"/>
      <c r="J72" s="39"/>
      <c r="K72" s="39">
        <v>-14267</v>
      </c>
      <c r="L72" s="39"/>
    </row>
    <row r="73" spans="1:13" x14ac:dyDescent="0.25">
      <c r="A73">
        <v>1000</v>
      </c>
      <c r="B73" s="188">
        <v>42999</v>
      </c>
      <c r="C73" s="10">
        <v>2200</v>
      </c>
      <c r="D73" s="39">
        <v>28.6112</v>
      </c>
      <c r="E73" s="39">
        <v>20.22</v>
      </c>
      <c r="F73" s="39">
        <f t="shared" ref="F73:F74" si="57">C73*(E73-D73)</f>
        <v>-18460.640000000003</v>
      </c>
      <c r="G73" s="39">
        <f t="shared" ref="G73:G74" si="58">D73*C73</f>
        <v>62944.639999999999</v>
      </c>
      <c r="H73" s="226">
        <f t="shared" ref="H73:H74" si="59">(E73-D73)/D73</f>
        <v>-0.29328374902136228</v>
      </c>
      <c r="I73" s="39"/>
      <c r="J73" s="39"/>
      <c r="K73" s="39">
        <v>-16713</v>
      </c>
      <c r="L73" s="39"/>
    </row>
    <row r="74" spans="1:13" x14ac:dyDescent="0.25">
      <c r="A74">
        <v>800</v>
      </c>
      <c r="B74" s="188">
        <v>43011</v>
      </c>
      <c r="C74" s="10">
        <v>2000</v>
      </c>
      <c r="D74" s="39">
        <v>29.411999999999999</v>
      </c>
      <c r="E74" s="39">
        <v>20.56</v>
      </c>
      <c r="F74" s="39">
        <f t="shared" si="57"/>
        <v>-17704</v>
      </c>
      <c r="G74" s="39">
        <f t="shared" si="58"/>
        <v>58824</v>
      </c>
      <c r="H74" s="226">
        <f t="shared" si="59"/>
        <v>-0.30096559227526182</v>
      </c>
      <c r="I74" s="39"/>
      <c r="J74" s="39"/>
      <c r="K74" s="39">
        <v>-15957</v>
      </c>
      <c r="L74" s="39"/>
    </row>
    <row r="75" spans="1:13" x14ac:dyDescent="0.25">
      <c r="A75">
        <v>1800</v>
      </c>
      <c r="B75" s="188">
        <v>43023</v>
      </c>
      <c r="C75" s="10">
        <v>2000</v>
      </c>
      <c r="D75" s="39">
        <v>29.411999999999999</v>
      </c>
      <c r="E75" s="39">
        <v>21.3</v>
      </c>
      <c r="F75" s="39">
        <f t="shared" ref="F75" si="60">C75*(E75-D75)</f>
        <v>-16223.999999999996</v>
      </c>
      <c r="G75" s="39">
        <f t="shared" ref="G75" si="61">D75*C75</f>
        <v>58824</v>
      </c>
      <c r="H75" s="226">
        <f t="shared" ref="H75" si="62">(E75-D75)/D75</f>
        <v>-0.27580579355365153</v>
      </c>
      <c r="I75" s="39"/>
      <c r="J75" s="39">
        <v>54.85</v>
      </c>
      <c r="K75" s="39">
        <v>-14477</v>
      </c>
      <c r="L75" s="39"/>
    </row>
    <row r="76" spans="1:13" x14ac:dyDescent="0.25">
      <c r="A76">
        <v>2000</v>
      </c>
      <c r="B76" s="188">
        <v>43031</v>
      </c>
      <c r="C76" s="10">
        <v>2000</v>
      </c>
      <c r="D76" s="39">
        <v>29.411999999999999</v>
      </c>
      <c r="E76" s="39">
        <v>21.35</v>
      </c>
      <c r="F76" s="39">
        <f t="shared" ref="F76" si="63">C76*(E76-D76)</f>
        <v>-16123.999999999995</v>
      </c>
      <c r="G76" s="39">
        <f t="shared" ref="G76" si="64">D76*C76</f>
        <v>58824</v>
      </c>
      <c r="H76" s="226">
        <f t="shared" ref="H76" si="65">(E76-D76)/D76</f>
        <v>-0.27410580715354271</v>
      </c>
      <c r="I76" s="39"/>
      <c r="J76" s="39"/>
      <c r="K76" s="39">
        <v>-14377</v>
      </c>
      <c r="L76" s="39"/>
    </row>
    <row r="77" spans="1:13" x14ac:dyDescent="0.25">
      <c r="A77">
        <v>2000</v>
      </c>
      <c r="B77" s="188">
        <v>43050</v>
      </c>
      <c r="C77" s="10">
        <v>2000</v>
      </c>
      <c r="D77" s="39">
        <v>29.411999999999999</v>
      </c>
      <c r="E77" s="39">
        <v>22.08</v>
      </c>
      <c r="F77" s="39">
        <f t="shared" ref="F77" si="66">C77*(E77-D77)</f>
        <v>-14664.000000000002</v>
      </c>
      <c r="G77" s="39">
        <f t="shared" ref="G77" si="67">D77*C77</f>
        <v>58824</v>
      </c>
      <c r="H77" s="226">
        <f t="shared" ref="H77" si="68">(E77-D77)/D77</f>
        <v>-0.24928600571195433</v>
      </c>
      <c r="I77" s="39"/>
      <c r="J77" s="39"/>
      <c r="K77" s="39">
        <v>-12917</v>
      </c>
      <c r="L77" s="39"/>
    </row>
    <row r="78" spans="1:13" x14ac:dyDescent="0.25">
      <c r="A78">
        <v>1800</v>
      </c>
      <c r="B78" s="188">
        <v>43056</v>
      </c>
      <c r="C78" s="10">
        <v>1800</v>
      </c>
      <c r="D78" s="39">
        <v>30.172000000000001</v>
      </c>
      <c r="E78" s="39">
        <v>23.41</v>
      </c>
      <c r="F78" s="39">
        <f t="shared" ref="F78" si="69">C78*(E78-D78)</f>
        <v>-12171.6</v>
      </c>
      <c r="G78" s="39">
        <f t="shared" ref="G78" si="70">D78*C78</f>
        <v>54309.599999999999</v>
      </c>
      <c r="H78" s="226">
        <f t="shared" ref="H78" si="71">(E78-D78)/D78</f>
        <v>-0.22411507357815194</v>
      </c>
      <c r="I78" s="39"/>
      <c r="J78" s="39"/>
      <c r="K78" s="39">
        <v>-10423</v>
      </c>
      <c r="L78" s="39"/>
    </row>
    <row r="79" spans="1:13" x14ac:dyDescent="0.25">
      <c r="A79">
        <v>1700</v>
      </c>
      <c r="B79" s="188">
        <v>43069</v>
      </c>
      <c r="C79" s="10">
        <v>1700</v>
      </c>
      <c r="D79" s="39">
        <v>30.390999999999998</v>
      </c>
      <c r="E79" s="39">
        <v>26.44</v>
      </c>
      <c r="F79" s="39">
        <f t="shared" ref="F79" si="72">C79*(E79-D79)</f>
        <v>-6716.6999999999953</v>
      </c>
      <c r="G79" s="39">
        <f t="shared" ref="G79" si="73">D79*C79</f>
        <v>51664.7</v>
      </c>
      <c r="H79" s="226">
        <f t="shared" ref="H79" si="74">(E79-D79)/D79</f>
        <v>-0.13000559376131082</v>
      </c>
      <c r="I79" s="39"/>
      <c r="J79" s="39"/>
      <c r="K79" s="39">
        <v>-4969</v>
      </c>
      <c r="L79" s="39"/>
    </row>
    <row r="80" spans="1:13" x14ac:dyDescent="0.25">
      <c r="A80">
        <v>1600</v>
      </c>
      <c r="B80" s="188">
        <v>43069</v>
      </c>
      <c r="C80" s="10">
        <v>1600</v>
      </c>
      <c r="D80" s="39">
        <v>30.597999999999999</v>
      </c>
      <c r="E80" s="39">
        <v>27.08</v>
      </c>
      <c r="F80" s="39">
        <f t="shared" ref="F80" si="75">C80*(E80-D80)</f>
        <v>-5628.8000000000011</v>
      </c>
      <c r="G80" s="39">
        <f t="shared" ref="G80" si="76">D80*C80</f>
        <v>48956.799999999996</v>
      </c>
      <c r="H80" s="226">
        <f t="shared" ref="H80" si="77">(E80-D80)/D80</f>
        <v>-0.11497483495653313</v>
      </c>
      <c r="I80" s="39"/>
      <c r="J80" s="39"/>
      <c r="K80" s="39">
        <v>-3881</v>
      </c>
      <c r="L80" s="39"/>
    </row>
    <row r="81" spans="1:13" x14ac:dyDescent="0.25">
      <c r="A81">
        <v>1600</v>
      </c>
      <c r="B81" s="188">
        <v>43072</v>
      </c>
      <c r="C81" s="10">
        <v>1600</v>
      </c>
      <c r="D81" s="39">
        <v>30.4419</v>
      </c>
      <c r="E81" s="39">
        <v>25.67</v>
      </c>
      <c r="F81" s="39">
        <f t="shared" ref="F81" si="78">C81*(E81-D81)</f>
        <v>-7635.0399999999981</v>
      </c>
      <c r="G81" s="39">
        <f t="shared" ref="G81" si="79">D81*C81</f>
        <v>48707.040000000001</v>
      </c>
      <c r="H81" s="226">
        <f t="shared" ref="H81" si="80">(E81-D81)/D81</f>
        <v>-0.15675434187747803</v>
      </c>
      <c r="I81" s="39"/>
      <c r="J81" s="39"/>
      <c r="K81" s="39">
        <v>-5887</v>
      </c>
      <c r="L81" s="39"/>
    </row>
    <row r="82" spans="1:13" x14ac:dyDescent="0.25">
      <c r="A82">
        <v>1600</v>
      </c>
      <c r="B82" s="188">
        <v>43077</v>
      </c>
      <c r="C82" s="10">
        <v>1600</v>
      </c>
      <c r="D82" s="39">
        <v>30.4419</v>
      </c>
      <c r="E82" s="39">
        <v>26.68</v>
      </c>
      <c r="F82" s="39">
        <f t="shared" ref="F82" si="81">C82*(E82-D82)</f>
        <v>-6019.0400000000009</v>
      </c>
      <c r="G82" s="39">
        <f t="shared" ref="G82" si="82">D82*C82</f>
        <v>48707.040000000001</v>
      </c>
      <c r="H82" s="226">
        <f t="shared" ref="H82" si="83">(E82-D82)/D82</f>
        <v>-0.12357638649361573</v>
      </c>
      <c r="I82" s="39"/>
      <c r="J82" s="39"/>
      <c r="K82" s="39">
        <v>-4271</v>
      </c>
      <c r="L82" s="39"/>
    </row>
    <row r="83" spans="1:13" x14ac:dyDescent="0.25">
      <c r="A83">
        <v>1500</v>
      </c>
      <c r="B83" s="188">
        <v>43087</v>
      </c>
      <c r="C83" s="10">
        <v>1500</v>
      </c>
      <c r="D83" s="39">
        <v>30.667999999999999</v>
      </c>
      <c r="E83" s="39">
        <v>27.05</v>
      </c>
      <c r="F83" s="39">
        <f t="shared" ref="F83" si="84">C83*(E83-D83)</f>
        <v>-5426.9999999999982</v>
      </c>
      <c r="G83" s="39">
        <f t="shared" ref="G83" si="85">D83*C83</f>
        <v>46002</v>
      </c>
      <c r="H83" s="226">
        <f t="shared" ref="H83" si="86">(E83-D83)/D83</f>
        <v>-0.11797313160297374</v>
      </c>
      <c r="I83" s="197" t="s">
        <v>830</v>
      </c>
      <c r="J83" s="39"/>
      <c r="K83" s="39">
        <v>-3679</v>
      </c>
      <c r="L83" s="39"/>
    </row>
    <row r="84" spans="1:13" x14ac:dyDescent="0.25">
      <c r="A84">
        <v>1400</v>
      </c>
      <c r="B84" s="188">
        <v>43089</v>
      </c>
      <c r="C84" s="10">
        <v>1400</v>
      </c>
      <c r="D84" s="39">
        <v>30.907</v>
      </c>
      <c r="E84" s="39">
        <v>27.32</v>
      </c>
      <c r="F84" s="39">
        <f t="shared" ref="F84" si="87">C84*(E84-D84)</f>
        <v>-5021.7999999999993</v>
      </c>
      <c r="G84" s="39">
        <f t="shared" ref="G84" si="88">D84*C84</f>
        <v>43269.8</v>
      </c>
      <c r="H84" s="226">
        <f t="shared" ref="H84" si="89">(E84-D84)/D84</f>
        <v>-0.11605785097227164</v>
      </c>
      <c r="I84" s="39"/>
      <c r="J84" s="39"/>
      <c r="K84" s="39">
        <v>-3274</v>
      </c>
      <c r="L84" s="39"/>
    </row>
    <row r="85" spans="1:13" x14ac:dyDescent="0.25">
      <c r="A85">
        <v>1300</v>
      </c>
      <c r="B85" s="188">
        <v>43091</v>
      </c>
      <c r="C85" s="10">
        <v>1300</v>
      </c>
      <c r="D85" s="39">
        <v>31.114999999999998</v>
      </c>
      <c r="E85" s="39">
        <v>28.25</v>
      </c>
      <c r="F85" s="39">
        <f t="shared" ref="F85" si="90">C85*(E85-D85)</f>
        <v>-3724.4999999999982</v>
      </c>
      <c r="G85" s="39">
        <f t="shared" ref="G85" si="91">D85*C85</f>
        <v>40449.5</v>
      </c>
      <c r="H85" s="226">
        <f t="shared" ref="H85" si="92">(E85-D85)/D85</f>
        <v>-9.2077775992286628E-2</v>
      </c>
      <c r="I85" s="39"/>
      <c r="J85" s="39"/>
      <c r="K85" s="39">
        <v>-1977</v>
      </c>
      <c r="L85" s="39"/>
    </row>
    <row r="86" spans="1:13" x14ac:dyDescent="0.25">
      <c r="A86">
        <v>1300</v>
      </c>
      <c r="B86" s="188">
        <v>43095</v>
      </c>
      <c r="C86" s="10">
        <v>1400</v>
      </c>
      <c r="D86" s="39">
        <v>30.864999999999998</v>
      </c>
      <c r="E86" s="39">
        <v>27.8</v>
      </c>
      <c r="F86" s="39">
        <f t="shared" ref="F86" si="93">C86*(E86-D86)</f>
        <v>-4290.9999999999964</v>
      </c>
      <c r="G86" s="39">
        <f t="shared" ref="G86" si="94">D86*C86</f>
        <v>43211</v>
      </c>
      <c r="H86" s="226">
        <f t="shared" ref="H86" si="95">(E86-D86)/D86</f>
        <v>-9.9303418111129041E-2</v>
      </c>
      <c r="I86" s="39"/>
      <c r="J86" s="39">
        <v>68.33</v>
      </c>
      <c r="K86" s="39">
        <v>-2543</v>
      </c>
      <c r="L86" s="39"/>
    </row>
    <row r="87" spans="1:13" x14ac:dyDescent="0.25">
      <c r="A87">
        <v>1200</v>
      </c>
      <c r="B87" s="188">
        <v>43102</v>
      </c>
      <c r="C87" s="10">
        <v>1300</v>
      </c>
      <c r="D87" s="39">
        <v>31.079000000000001</v>
      </c>
      <c r="E87" s="39">
        <v>28.3</v>
      </c>
      <c r="F87" s="39">
        <f t="shared" ref="F87" si="96">C87*(E87-D87)</f>
        <v>-3612.7</v>
      </c>
      <c r="G87" s="39">
        <f t="shared" ref="G87" si="97">D87*C87</f>
        <v>40402.700000000004</v>
      </c>
      <c r="H87" s="226">
        <f t="shared" ref="H87" si="98">(E87-D87)/D87</f>
        <v>-8.9417291418642811E-2</v>
      </c>
      <c r="I87" s="39"/>
      <c r="J87" s="39"/>
      <c r="K87" s="39">
        <v>-1865</v>
      </c>
      <c r="L87" s="39"/>
    </row>
    <row r="88" spans="1:13" x14ac:dyDescent="0.25">
      <c r="A88">
        <v>1200</v>
      </c>
      <c r="B88" s="188">
        <v>43103</v>
      </c>
      <c r="C88" s="10">
        <v>1300</v>
      </c>
      <c r="D88" s="39">
        <v>31.079000000000001</v>
      </c>
      <c r="E88" s="39">
        <v>27.85</v>
      </c>
      <c r="F88" s="39">
        <f t="shared" ref="F88" si="99">C88*(E88-D88)</f>
        <v>-4197.6999999999989</v>
      </c>
      <c r="G88" s="39">
        <f t="shared" ref="G88" si="100">D88*C88</f>
        <v>40402.700000000004</v>
      </c>
      <c r="H88" s="226">
        <f t="shared" ref="H88" si="101">(E88-D88)/D88</f>
        <v>-0.10389652176710959</v>
      </c>
      <c r="I88" s="39"/>
      <c r="J88" s="39">
        <v>64.55</v>
      </c>
      <c r="K88" s="39">
        <v>-2450</v>
      </c>
      <c r="L88" s="39"/>
    </row>
    <row r="89" spans="1:13" x14ac:dyDescent="0.25">
      <c r="A89">
        <v>1200</v>
      </c>
      <c r="B89" s="188">
        <v>43104</v>
      </c>
      <c r="C89" s="476">
        <v>1500</v>
      </c>
      <c r="D89" s="479">
        <v>30.548999999999999</v>
      </c>
      <c r="E89" s="39">
        <v>27.11</v>
      </c>
      <c r="F89" s="39">
        <f t="shared" ref="F89" si="102">C89*(E89-D89)</f>
        <v>-5158.5</v>
      </c>
      <c r="G89" s="39">
        <f t="shared" ref="G89" si="103">D89*C89</f>
        <v>45823.5</v>
      </c>
      <c r="H89" s="226">
        <f t="shared" ref="H89" si="104">(E89-D89)/D89</f>
        <v>-0.11257324298667715</v>
      </c>
      <c r="I89" s="39">
        <v>30.5</v>
      </c>
      <c r="J89" s="39"/>
      <c r="K89" s="39">
        <v>-3426</v>
      </c>
      <c r="L89" s="39"/>
    </row>
    <row r="90" spans="1:13" x14ac:dyDescent="0.25">
      <c r="A90">
        <v>1200</v>
      </c>
      <c r="B90" s="188">
        <v>43104</v>
      </c>
      <c r="C90" s="10">
        <v>1700</v>
      </c>
      <c r="D90" s="39">
        <v>30.1</v>
      </c>
      <c r="E90" s="39">
        <v>26.73</v>
      </c>
      <c r="F90" s="39">
        <f t="shared" ref="F90" si="105">C90*(E90-D90)</f>
        <v>-5729.0000000000018</v>
      </c>
      <c r="G90" s="39">
        <f t="shared" ref="G90" si="106">D90*C90</f>
        <v>51170</v>
      </c>
      <c r="H90" s="226">
        <f t="shared" ref="H90" si="107">(E90-D90)/D90</f>
        <v>-0.11196013289036548</v>
      </c>
      <c r="I90" s="39"/>
      <c r="J90" s="39"/>
      <c r="K90" s="39">
        <v>-3981</v>
      </c>
      <c r="L90" s="39"/>
    </row>
    <row r="91" spans="1:13" x14ac:dyDescent="0.25">
      <c r="A91">
        <v>800</v>
      </c>
      <c r="B91" s="188">
        <v>43105</v>
      </c>
      <c r="C91" s="10">
        <v>1300</v>
      </c>
      <c r="D91" s="39">
        <v>30.925000000000001</v>
      </c>
      <c r="E91" s="39">
        <v>27.32</v>
      </c>
      <c r="F91" s="39">
        <f t="shared" ref="F91" si="108">C91*(E91-D91)</f>
        <v>-4686.5000000000009</v>
      </c>
      <c r="G91" s="39">
        <f t="shared" ref="G91" si="109">D91*C91</f>
        <v>40202.5</v>
      </c>
      <c r="H91" s="226">
        <f t="shared" ref="H91" si="110">(E91-D91)/D91</f>
        <v>-0.1165723524656427</v>
      </c>
      <c r="I91" s="39"/>
      <c r="J91" s="39"/>
      <c r="K91" s="39">
        <v>-2938</v>
      </c>
      <c r="L91" s="39"/>
      <c r="M91" t="s">
        <v>907</v>
      </c>
    </row>
    <row r="92" spans="1:13" x14ac:dyDescent="0.25">
      <c r="A92">
        <v>800</v>
      </c>
      <c r="B92" s="188">
        <v>43108</v>
      </c>
      <c r="C92" s="10">
        <v>1300</v>
      </c>
      <c r="D92" s="39">
        <v>30.925000000000001</v>
      </c>
      <c r="E92" s="39">
        <v>27.97</v>
      </c>
      <c r="F92" s="39">
        <f t="shared" ref="F92" si="111">C92*(E92-D92)</f>
        <v>-3841.5000000000023</v>
      </c>
      <c r="G92" s="39">
        <f t="shared" ref="G92" si="112">D92*C92</f>
        <v>40202.5</v>
      </c>
      <c r="H92" s="226">
        <f t="shared" ref="H92" si="113">(E92-D92)/D92</f>
        <v>-9.5553759094583732E-2</v>
      </c>
      <c r="I92" s="39"/>
      <c r="J92" s="39"/>
      <c r="K92" s="39">
        <v>-2093</v>
      </c>
      <c r="L92" s="39"/>
    </row>
    <row r="93" spans="1:13" x14ac:dyDescent="0.25">
      <c r="A93">
        <v>700</v>
      </c>
      <c r="B93" s="188">
        <v>43112</v>
      </c>
      <c r="C93" s="10">
        <v>1300</v>
      </c>
      <c r="D93" s="39">
        <v>30.893000000000001</v>
      </c>
      <c r="E93" s="39">
        <v>28.14</v>
      </c>
      <c r="F93" s="39">
        <f t="shared" ref="F93" si="114">C93*(E93-D93)</f>
        <v>-3578.9</v>
      </c>
      <c r="G93" s="39">
        <f t="shared" ref="G93" si="115">D93*C93</f>
        <v>40160.9</v>
      </c>
      <c r="H93" s="226">
        <f t="shared" ref="H93" si="116">(E93-D93)/D93</f>
        <v>-8.9114038779011431E-2</v>
      </c>
      <c r="I93" s="39"/>
      <c r="J93" s="39">
        <v>62.75</v>
      </c>
      <c r="K93" s="39">
        <v>-1830</v>
      </c>
      <c r="L93" s="39"/>
    </row>
    <row r="94" spans="1:13" x14ac:dyDescent="0.25">
      <c r="A94">
        <v>700</v>
      </c>
      <c r="B94" s="188">
        <v>43117</v>
      </c>
      <c r="C94" s="10">
        <v>1300</v>
      </c>
      <c r="D94" s="39">
        <v>30.893000000000001</v>
      </c>
      <c r="E94" s="39">
        <v>28.67</v>
      </c>
      <c r="F94" s="39">
        <f t="shared" ref="F94" si="117">C94*(E94-D94)</f>
        <v>-2889.8999999999987</v>
      </c>
      <c r="G94" s="39">
        <f t="shared" ref="G94" si="118">D94*C94</f>
        <v>40160.9</v>
      </c>
      <c r="H94" s="226">
        <f t="shared" ref="H94" si="119">(E94-D94)/D94</f>
        <v>-7.1958048748907488E-2</v>
      </c>
      <c r="I94" s="39"/>
      <c r="J94" s="39"/>
      <c r="K94" s="39">
        <v>-1141</v>
      </c>
      <c r="L94" s="39"/>
    </row>
    <row r="95" spans="1:13" x14ac:dyDescent="0.25">
      <c r="A95">
        <v>400</v>
      </c>
      <c r="B95" s="188">
        <v>43119</v>
      </c>
      <c r="C95" s="10">
        <v>1000</v>
      </c>
      <c r="D95" s="39">
        <v>31.22</v>
      </c>
      <c r="E95" s="39">
        <v>29.72</v>
      </c>
      <c r="F95" s="39">
        <f t="shared" ref="F95" si="120">C95*(E95-D95)</f>
        <v>-1500</v>
      </c>
      <c r="G95" s="39">
        <f t="shared" ref="G95" si="121">D95*C95</f>
        <v>31220</v>
      </c>
      <c r="H95" s="226">
        <f t="shared" ref="H95" si="122">(E95-D95)/D95</f>
        <v>-4.8046124279308135E-2</v>
      </c>
      <c r="I95" s="39"/>
      <c r="J95" s="39">
        <v>73.25</v>
      </c>
      <c r="K95" s="39">
        <v>247.38</v>
      </c>
      <c r="L95" s="39"/>
    </row>
    <row r="96" spans="1:13" x14ac:dyDescent="0.25">
      <c r="A96">
        <v>400</v>
      </c>
      <c r="B96" s="188">
        <v>43122</v>
      </c>
      <c r="C96" s="10">
        <v>1300</v>
      </c>
      <c r="D96" s="39">
        <v>30.7728</v>
      </c>
      <c r="E96" s="39">
        <v>29.63</v>
      </c>
      <c r="F96" s="39">
        <f t="shared" ref="F96" si="123">C96*(E96-D96)</f>
        <v>-1485.6400000000015</v>
      </c>
      <c r="G96" s="39">
        <f t="shared" ref="G96" si="124">D96*C96</f>
        <v>40004.639999999999</v>
      </c>
      <c r="H96" s="226">
        <f t="shared" ref="H96" si="125">(E96-D96)/D96</f>
        <v>-3.7136692143711368E-2</v>
      </c>
      <c r="I96" s="39"/>
      <c r="J96" s="39"/>
      <c r="K96" s="39">
        <v>262</v>
      </c>
      <c r="L96" s="39"/>
    </row>
    <row r="97" spans="1:12" x14ac:dyDescent="0.25">
      <c r="A97">
        <v>400</v>
      </c>
      <c r="B97" s="188">
        <v>43123</v>
      </c>
      <c r="C97" s="10">
        <v>1300</v>
      </c>
      <c r="D97" s="39">
        <v>30.7728</v>
      </c>
      <c r="E97" s="39">
        <v>29.31</v>
      </c>
      <c r="F97" s="39">
        <f t="shared" ref="F97:F98" si="126">C97*(E97-D97)</f>
        <v>-1901.6400000000019</v>
      </c>
      <c r="G97" s="39">
        <f t="shared" ref="G97:G98" si="127">D97*C97</f>
        <v>40004.639999999999</v>
      </c>
      <c r="H97" s="226">
        <f t="shared" ref="H97:H98" si="128">(E97-D97)/D97</f>
        <v>-4.7535485883637547E-2</v>
      </c>
      <c r="I97" s="39"/>
      <c r="J97" s="39">
        <v>67.23</v>
      </c>
      <c r="K97" s="39">
        <v>-154</v>
      </c>
      <c r="L97" s="39"/>
    </row>
    <row r="98" spans="1:12" x14ac:dyDescent="0.25">
      <c r="A98">
        <v>100</v>
      </c>
      <c r="B98" s="188">
        <v>43125</v>
      </c>
      <c r="C98" s="10">
        <v>1000</v>
      </c>
      <c r="D98" s="39">
        <v>30.855</v>
      </c>
      <c r="E98" s="39">
        <v>30.26</v>
      </c>
      <c r="F98" s="39">
        <f t="shared" si="126"/>
        <v>-594.99999999999886</v>
      </c>
      <c r="G98" s="39">
        <f t="shared" si="127"/>
        <v>30855</v>
      </c>
      <c r="H98" s="226">
        <f t="shared" si="128"/>
        <v>-1.9283746556473792E-2</v>
      </c>
      <c r="I98" s="39"/>
      <c r="J98" s="39"/>
      <c r="K98" s="39">
        <v>1153</v>
      </c>
      <c r="L98" s="39"/>
    </row>
    <row r="99" spans="1:12" x14ac:dyDescent="0.25">
      <c r="A99">
        <v>0</v>
      </c>
      <c r="B99" s="188">
        <v>43126</v>
      </c>
      <c r="C99" s="10">
        <v>800</v>
      </c>
      <c r="D99" s="39">
        <v>30.868680000000001</v>
      </c>
      <c r="E99" s="39">
        <v>30.88</v>
      </c>
      <c r="F99" s="39">
        <f t="shared" ref="F99" si="129">C99*(E99-D99)</f>
        <v>9.055999999998221</v>
      </c>
      <c r="G99" s="39">
        <f t="shared" ref="G99" si="130">D99*C99</f>
        <v>24694.944</v>
      </c>
      <c r="H99" s="226">
        <f t="shared" ref="H99" si="131">(E99-D99)/D99</f>
        <v>3.6671474128462171E-4</v>
      </c>
      <c r="I99" s="39"/>
      <c r="J99" s="39">
        <v>76.23</v>
      </c>
      <c r="K99" s="39">
        <v>1757</v>
      </c>
      <c r="L99" s="39"/>
    </row>
    <row r="100" spans="1:12" x14ac:dyDescent="0.25">
      <c r="A100">
        <v>0</v>
      </c>
      <c r="B100" s="188">
        <v>43131</v>
      </c>
      <c r="C100" s="10">
        <v>1300</v>
      </c>
      <c r="D100" s="39">
        <v>30.63</v>
      </c>
      <c r="E100" s="39">
        <v>30.36</v>
      </c>
      <c r="F100" s="39">
        <f t="shared" ref="F100" si="132">C100*(E100-D100)</f>
        <v>-350.99999999999943</v>
      </c>
      <c r="G100" s="39">
        <f t="shared" ref="G100" si="133">D100*C100</f>
        <v>39819</v>
      </c>
      <c r="H100" s="226">
        <f t="shared" ref="H100" si="134">(E100-D100)/D100</f>
        <v>-8.8148873653280963E-3</v>
      </c>
      <c r="I100" s="39"/>
      <c r="J100" s="39"/>
      <c r="K100" s="39">
        <v>1253</v>
      </c>
      <c r="L100" s="39"/>
    </row>
    <row r="101" spans="1:12" x14ac:dyDescent="0.25">
      <c r="B101" s="188">
        <v>43133</v>
      </c>
      <c r="C101" s="476">
        <v>1500</v>
      </c>
      <c r="D101" s="479">
        <v>30.452999999999999</v>
      </c>
      <c r="E101" s="39">
        <v>29.34</v>
      </c>
      <c r="F101" s="39">
        <f t="shared" ref="F101" si="135">C101*(E101-D101)</f>
        <v>-1669.4999999999993</v>
      </c>
      <c r="G101" s="39">
        <f t="shared" ref="G101" si="136">D101*C101</f>
        <v>45679.5</v>
      </c>
      <c r="H101" s="226">
        <f t="shared" ref="H101" si="137">(E101-D101)/D101</f>
        <v>-3.6548123337602191E-2</v>
      </c>
      <c r="I101" s="197" t="s">
        <v>983</v>
      </c>
      <c r="J101" s="39"/>
      <c r="K101" s="39">
        <v>78</v>
      </c>
      <c r="L101" s="39"/>
    </row>
    <row r="102" spans="1:12" x14ac:dyDescent="0.25">
      <c r="A102">
        <v>400</v>
      </c>
      <c r="B102" s="188">
        <v>43137</v>
      </c>
      <c r="C102" s="10">
        <v>1800</v>
      </c>
      <c r="D102" s="39">
        <v>29.96</v>
      </c>
      <c r="E102" s="39">
        <v>29.07</v>
      </c>
      <c r="F102" s="39">
        <f t="shared" ref="F102" si="138">C102*(E102-D102)</f>
        <v>-1602.0000000000009</v>
      </c>
      <c r="G102" s="39">
        <f t="shared" ref="G102" si="139">D102*C102</f>
        <v>53928</v>
      </c>
      <c r="H102" s="226">
        <f t="shared" ref="H102" si="140">(E102-D102)/D102</f>
        <v>-2.9706275033377857E-2</v>
      </c>
      <c r="I102" s="39"/>
      <c r="J102" s="39"/>
      <c r="K102" s="39">
        <v>144</v>
      </c>
      <c r="L102" s="39"/>
    </row>
    <row r="103" spans="1:12" x14ac:dyDescent="0.25">
      <c r="A103">
        <v>400</v>
      </c>
      <c r="B103" s="188">
        <v>43139</v>
      </c>
      <c r="C103" s="10">
        <v>1800</v>
      </c>
      <c r="D103" s="39">
        <v>29.96</v>
      </c>
      <c r="E103" s="39">
        <v>27.57</v>
      </c>
      <c r="F103" s="39">
        <f t="shared" ref="F103" si="141">C103*(E103-D103)</f>
        <v>-4302.0000000000009</v>
      </c>
      <c r="G103" s="39">
        <f t="shared" ref="G103" si="142">D103*C103</f>
        <v>53928</v>
      </c>
      <c r="H103" s="226">
        <f t="shared" ref="H103" si="143">(E103-D103)/D103</f>
        <v>-7.977303070761016E-2</v>
      </c>
      <c r="I103" s="39"/>
      <c r="J103" s="39"/>
      <c r="K103" s="39">
        <v>-2556</v>
      </c>
      <c r="L103" s="39"/>
    </row>
    <row r="104" spans="1:12" x14ac:dyDescent="0.25">
      <c r="B104" s="10"/>
      <c r="C104" s="10"/>
      <c r="D104" s="39"/>
      <c r="E104" s="39"/>
      <c r="F104" s="39"/>
      <c r="G104" s="10"/>
      <c r="H104" s="10"/>
      <c r="I104" s="39"/>
      <c r="J104" s="39"/>
      <c r="K104" s="39"/>
      <c r="L104" s="39"/>
    </row>
    <row r="105" spans="1:12" x14ac:dyDescent="0.25">
      <c r="B105" s="10"/>
      <c r="C105" s="10"/>
      <c r="D105" s="39"/>
      <c r="E105" s="39"/>
      <c r="F105" s="39"/>
      <c r="G105" s="10"/>
      <c r="H105" s="10"/>
      <c r="I105" s="39"/>
      <c r="J105" s="39"/>
      <c r="K105" s="39"/>
      <c r="L105" s="39"/>
    </row>
    <row r="106" spans="1:12" x14ac:dyDescent="0.25">
      <c r="B106" s="10"/>
      <c r="C106" s="10"/>
      <c r="D106" s="39"/>
      <c r="E106" s="39"/>
      <c r="F106" s="39"/>
      <c r="G106" s="10"/>
      <c r="H106" s="10"/>
      <c r="I106" s="39"/>
      <c r="J106" s="39"/>
      <c r="K106" s="39"/>
      <c r="L106" s="39"/>
    </row>
    <row r="107" spans="1:12" x14ac:dyDescent="0.25">
      <c r="B107" s="10"/>
      <c r="C107" s="10"/>
      <c r="D107" s="39"/>
      <c r="E107" s="39"/>
      <c r="F107" s="39"/>
      <c r="G107" s="10"/>
      <c r="H107" s="10"/>
      <c r="I107" s="39"/>
      <c r="J107" s="39"/>
      <c r="K107" s="39"/>
      <c r="L107" s="39"/>
    </row>
    <row r="109" spans="1:12" x14ac:dyDescent="0.25">
      <c r="B109" s="370">
        <v>42484</v>
      </c>
      <c r="C109" s="371">
        <v>100</v>
      </c>
      <c r="D109" s="372">
        <v>35.917999999999999</v>
      </c>
      <c r="E109" s="372">
        <v>35.58</v>
      </c>
      <c r="F109" s="372">
        <f t="shared" ref="F109:F122" si="144">C109*(E109-D109)</f>
        <v>-33.800000000000097</v>
      </c>
      <c r="G109" s="372">
        <f t="shared" ref="G109:G122" si="145">D109*C109</f>
        <v>3591.7999999999997</v>
      </c>
      <c r="H109" s="373">
        <f t="shared" ref="H109:H122" si="146">(E109-D109)/D109</f>
        <v>-9.410323514672336E-3</v>
      </c>
      <c r="I109" s="372"/>
    </row>
    <row r="110" spans="1:12" x14ac:dyDescent="0.25">
      <c r="B110" s="370">
        <v>42485</v>
      </c>
      <c r="C110" s="371">
        <v>100</v>
      </c>
      <c r="D110" s="372">
        <v>35.917999999999999</v>
      </c>
      <c r="E110" s="372">
        <v>36.770000000000003</v>
      </c>
      <c r="F110" s="372">
        <f t="shared" si="144"/>
        <v>85.200000000000387</v>
      </c>
      <c r="G110" s="372">
        <f t="shared" si="145"/>
        <v>3591.7999999999997</v>
      </c>
      <c r="H110" s="373">
        <f t="shared" si="146"/>
        <v>2.3720697143493622E-2</v>
      </c>
      <c r="I110" s="372"/>
    </row>
    <row r="111" spans="1:12" x14ac:dyDescent="0.25">
      <c r="B111" s="370">
        <v>42498</v>
      </c>
      <c r="C111" s="371">
        <v>100</v>
      </c>
      <c r="D111" s="372">
        <v>35.917999999999999</v>
      </c>
      <c r="E111" s="372">
        <v>34.549999999999997</v>
      </c>
      <c r="F111" s="372">
        <f t="shared" si="144"/>
        <v>-136.80000000000021</v>
      </c>
      <c r="G111" s="372">
        <f t="shared" si="145"/>
        <v>3591.7999999999997</v>
      </c>
      <c r="H111" s="373">
        <f t="shared" si="146"/>
        <v>-3.8086753159975562E-2</v>
      </c>
      <c r="I111" s="372"/>
    </row>
    <row r="112" spans="1:12" x14ac:dyDescent="0.25">
      <c r="B112" s="370">
        <v>42508</v>
      </c>
      <c r="C112" s="371">
        <v>140</v>
      </c>
      <c r="D112" s="372">
        <v>35.423999999999999</v>
      </c>
      <c r="E112" s="372">
        <v>34.369999999999997</v>
      </c>
      <c r="F112" s="372">
        <f t="shared" si="144"/>
        <v>-147.56000000000029</v>
      </c>
      <c r="G112" s="372">
        <f t="shared" si="145"/>
        <v>4959.3599999999997</v>
      </c>
      <c r="H112" s="373">
        <f t="shared" si="146"/>
        <v>-2.9753839205058776E-2</v>
      </c>
      <c r="I112" s="372"/>
    </row>
    <row r="113" spans="2:9" x14ac:dyDescent="0.25">
      <c r="B113" s="370">
        <v>42509</v>
      </c>
      <c r="C113" s="371">
        <v>240</v>
      </c>
      <c r="D113" s="372">
        <v>35.034999999999997</v>
      </c>
      <c r="E113" s="372">
        <v>34.83</v>
      </c>
      <c r="F113" s="372">
        <f t="shared" si="144"/>
        <v>-49.199999999999591</v>
      </c>
      <c r="G113" s="372">
        <f t="shared" si="145"/>
        <v>8408.4</v>
      </c>
      <c r="H113" s="373">
        <f t="shared" si="146"/>
        <v>-5.8512915655772315E-3</v>
      </c>
      <c r="I113" s="372"/>
    </row>
    <row r="114" spans="2:9" x14ac:dyDescent="0.25">
      <c r="B114" s="370">
        <v>42514</v>
      </c>
      <c r="C114" s="371">
        <v>200</v>
      </c>
      <c r="D114" s="372">
        <v>34.972000000000001</v>
      </c>
      <c r="E114" s="372">
        <v>35.520000000000003</v>
      </c>
      <c r="F114" s="372">
        <f t="shared" si="144"/>
        <v>109.60000000000036</v>
      </c>
      <c r="G114" s="372">
        <f t="shared" si="145"/>
        <v>6994.4000000000005</v>
      </c>
      <c r="H114" s="373">
        <f t="shared" si="146"/>
        <v>1.5669678600022927E-2</v>
      </c>
      <c r="I114" s="372"/>
    </row>
    <row r="115" spans="2:9" x14ac:dyDescent="0.25">
      <c r="B115" s="370">
        <v>42515</v>
      </c>
      <c r="C115" s="371">
        <v>200</v>
      </c>
      <c r="D115" s="372">
        <v>34.972000000000001</v>
      </c>
      <c r="E115" s="372">
        <v>34.94</v>
      </c>
      <c r="F115" s="372">
        <f t="shared" si="144"/>
        <v>-6.4000000000007162</v>
      </c>
      <c r="G115" s="372">
        <f t="shared" si="145"/>
        <v>6994.4000000000005</v>
      </c>
      <c r="H115" s="373">
        <f t="shared" si="146"/>
        <v>-9.150177284685914E-4</v>
      </c>
      <c r="I115" s="372"/>
    </row>
    <row r="116" spans="2:9" x14ac:dyDescent="0.25">
      <c r="B116" s="370">
        <v>42521</v>
      </c>
      <c r="C116" s="371">
        <v>160</v>
      </c>
      <c r="D116" s="372">
        <v>34.718000000000004</v>
      </c>
      <c r="E116" s="372">
        <v>35.76</v>
      </c>
      <c r="F116" s="372">
        <f t="shared" si="144"/>
        <v>166.71999999999912</v>
      </c>
      <c r="G116" s="372">
        <f t="shared" si="145"/>
        <v>5554.880000000001</v>
      </c>
      <c r="H116" s="373">
        <f t="shared" si="146"/>
        <v>3.0013249611152554E-2</v>
      </c>
      <c r="I116" s="372"/>
    </row>
    <row r="117" spans="2:9" x14ac:dyDescent="0.25">
      <c r="B117" s="370">
        <v>42527</v>
      </c>
      <c r="C117" s="371">
        <v>160</v>
      </c>
      <c r="D117" s="372">
        <v>34.652000000000001</v>
      </c>
      <c r="E117" s="372">
        <v>36.020000000000003</v>
      </c>
      <c r="F117" s="372">
        <f t="shared" si="144"/>
        <v>218.88000000000034</v>
      </c>
      <c r="G117" s="372">
        <f t="shared" si="145"/>
        <v>5544.32</v>
      </c>
      <c r="H117" s="373">
        <f t="shared" si="146"/>
        <v>3.9478240794182211E-2</v>
      </c>
      <c r="I117" s="372"/>
    </row>
    <row r="118" spans="2:9" x14ac:dyDescent="0.25">
      <c r="B118" s="370">
        <v>42498</v>
      </c>
      <c r="C118" s="371">
        <v>160</v>
      </c>
      <c r="D118" s="372">
        <v>34.652000000000001</v>
      </c>
      <c r="E118" s="372">
        <v>36.520000000000003</v>
      </c>
      <c r="F118" s="372">
        <f t="shared" si="144"/>
        <v>298.88000000000034</v>
      </c>
      <c r="G118" s="372">
        <f t="shared" si="145"/>
        <v>5544.32</v>
      </c>
      <c r="H118" s="373">
        <f t="shared" si="146"/>
        <v>5.3907422371003176E-2</v>
      </c>
      <c r="I118" s="372"/>
    </row>
    <row r="119" spans="2:9" x14ac:dyDescent="0.25">
      <c r="B119" s="370">
        <v>42531</v>
      </c>
      <c r="C119" s="371">
        <v>60</v>
      </c>
      <c r="D119" s="372">
        <v>30.757000000000001</v>
      </c>
      <c r="E119" s="372">
        <v>36.81</v>
      </c>
      <c r="F119" s="372">
        <f t="shared" si="144"/>
        <v>363.18000000000006</v>
      </c>
      <c r="G119" s="372">
        <f t="shared" si="145"/>
        <v>1845.42</v>
      </c>
      <c r="H119" s="373">
        <f t="shared" si="146"/>
        <v>0.1968007282894951</v>
      </c>
      <c r="I119" s="372"/>
    </row>
    <row r="120" spans="2:9" x14ac:dyDescent="0.25">
      <c r="B120" s="370">
        <v>42536</v>
      </c>
      <c r="C120" s="371">
        <v>160</v>
      </c>
      <c r="D120" s="372">
        <v>33.652999999999999</v>
      </c>
      <c r="E120" s="372">
        <v>35.71</v>
      </c>
      <c r="F120" s="372">
        <f t="shared" si="144"/>
        <v>329.12000000000035</v>
      </c>
      <c r="G120" s="372">
        <f t="shared" si="145"/>
        <v>5384.48</v>
      </c>
      <c r="H120" s="373">
        <f t="shared" si="146"/>
        <v>6.1123822541823976E-2</v>
      </c>
      <c r="I120" s="372"/>
    </row>
    <row r="121" spans="2:9" x14ac:dyDescent="0.25">
      <c r="B121" s="370">
        <v>42542</v>
      </c>
      <c r="C121" s="371">
        <v>160</v>
      </c>
      <c r="D121" s="372">
        <v>33.65</v>
      </c>
      <c r="E121" s="372">
        <v>34.71</v>
      </c>
      <c r="F121" s="372">
        <f t="shared" si="144"/>
        <v>169.60000000000036</v>
      </c>
      <c r="G121" s="372">
        <f t="shared" si="145"/>
        <v>5384</v>
      </c>
      <c r="H121" s="373">
        <f t="shared" si="146"/>
        <v>3.1500742942050589E-2</v>
      </c>
      <c r="I121" s="372"/>
    </row>
    <row r="122" spans="2:9" x14ac:dyDescent="0.25">
      <c r="B122" s="370">
        <v>42548</v>
      </c>
      <c r="C122" s="371">
        <v>160</v>
      </c>
      <c r="D122" s="372">
        <v>33.652999999999999</v>
      </c>
      <c r="E122" s="372">
        <v>36.619999999999997</v>
      </c>
      <c r="F122" s="372">
        <f t="shared" si="144"/>
        <v>474.7199999999998</v>
      </c>
      <c r="G122" s="372">
        <f t="shared" si="145"/>
        <v>5384.48</v>
      </c>
      <c r="H122" s="373">
        <f t="shared" si="146"/>
        <v>8.8164502421775148E-2</v>
      </c>
      <c r="I122" s="372"/>
    </row>
    <row r="123" spans="2:9" x14ac:dyDescent="0.25">
      <c r="B123" s="370">
        <v>42556</v>
      </c>
      <c r="C123" s="371">
        <v>160</v>
      </c>
      <c r="D123" s="372">
        <v>33.652999999999999</v>
      </c>
      <c r="E123" s="372">
        <v>37.33</v>
      </c>
      <c r="F123" s="372">
        <f t="shared" ref="F123:F165" si="147">C123*(E123-D123)</f>
        <v>588.31999999999994</v>
      </c>
      <c r="G123" s="372">
        <f t="shared" ref="G123:G136" si="148">D123*C123</f>
        <v>5384.48</v>
      </c>
      <c r="H123" s="373">
        <f t="shared" ref="H123:H165" si="149">(E123-D123)/D123</f>
        <v>0.10926217573470418</v>
      </c>
      <c r="I123" s="372"/>
    </row>
    <row r="124" spans="2:9" x14ac:dyDescent="0.25">
      <c r="B124" s="370">
        <v>42559</v>
      </c>
      <c r="C124" s="371">
        <v>160</v>
      </c>
      <c r="D124" s="372">
        <v>33.652999999999999</v>
      </c>
      <c r="E124" s="372">
        <v>37.86</v>
      </c>
      <c r="F124" s="372">
        <f t="shared" si="147"/>
        <v>673.12000000000012</v>
      </c>
      <c r="G124" s="372">
        <f t="shared" si="148"/>
        <v>5384.48</v>
      </c>
      <c r="H124" s="373">
        <f t="shared" si="149"/>
        <v>0.12501114313731318</v>
      </c>
      <c r="I124" s="372"/>
    </row>
    <row r="125" spans="2:9" x14ac:dyDescent="0.25">
      <c r="B125" s="370">
        <v>42563</v>
      </c>
      <c r="C125" s="371">
        <v>160</v>
      </c>
      <c r="D125" s="372">
        <v>33.652999999999999</v>
      </c>
      <c r="E125" s="372">
        <v>37.39</v>
      </c>
      <c r="F125" s="372">
        <f t="shared" si="147"/>
        <v>597.9200000000003</v>
      </c>
      <c r="G125" s="372">
        <f t="shared" si="148"/>
        <v>5384.48</v>
      </c>
      <c r="H125" s="373">
        <f t="shared" si="149"/>
        <v>0.11104507770481092</v>
      </c>
      <c r="I125" s="372"/>
    </row>
    <row r="126" spans="2:9" x14ac:dyDescent="0.25">
      <c r="B126" s="370">
        <v>42566</v>
      </c>
      <c r="C126" s="371">
        <v>160</v>
      </c>
      <c r="D126" s="372">
        <v>33.652999999999999</v>
      </c>
      <c r="E126" s="372">
        <v>36.71</v>
      </c>
      <c r="F126" s="372">
        <f t="shared" si="147"/>
        <v>489.12000000000035</v>
      </c>
      <c r="G126" s="372">
        <f t="shared" si="148"/>
        <v>5384.48</v>
      </c>
      <c r="H126" s="373">
        <f t="shared" si="149"/>
        <v>9.0838855376935257E-2</v>
      </c>
      <c r="I126" s="372"/>
    </row>
    <row r="127" spans="2:9" x14ac:dyDescent="0.25">
      <c r="B127" s="370">
        <v>42570</v>
      </c>
      <c r="C127" s="371">
        <v>160</v>
      </c>
      <c r="D127" s="372">
        <v>33.652999999999999</v>
      </c>
      <c r="E127" s="372">
        <v>36.21</v>
      </c>
      <c r="F127" s="372">
        <f t="shared" si="147"/>
        <v>409.12000000000035</v>
      </c>
      <c r="G127" s="372">
        <f t="shared" si="148"/>
        <v>5384.48</v>
      </c>
      <c r="H127" s="373">
        <f t="shared" si="149"/>
        <v>7.5981338959379613E-2</v>
      </c>
      <c r="I127" s="372"/>
    </row>
    <row r="128" spans="2:9" x14ac:dyDescent="0.25">
      <c r="B128" s="370">
        <v>42571</v>
      </c>
      <c r="C128" s="371">
        <v>160</v>
      </c>
      <c r="D128" s="372">
        <v>33.652999999999999</v>
      </c>
      <c r="E128" s="372">
        <v>36.4</v>
      </c>
      <c r="F128" s="372">
        <f t="shared" si="147"/>
        <v>439.52</v>
      </c>
      <c r="G128" s="372">
        <f t="shared" si="148"/>
        <v>5384.48</v>
      </c>
      <c r="H128" s="373">
        <f t="shared" si="149"/>
        <v>8.16271951980507E-2</v>
      </c>
      <c r="I128" s="372"/>
    </row>
    <row r="129" spans="2:9" x14ac:dyDescent="0.25">
      <c r="B129" s="370">
        <v>42572</v>
      </c>
      <c r="C129" s="371">
        <v>160</v>
      </c>
      <c r="D129" s="372">
        <v>33.652999999999999</v>
      </c>
      <c r="E129" s="372">
        <v>35.96</v>
      </c>
      <c r="F129" s="372">
        <f t="shared" si="147"/>
        <v>369.12000000000035</v>
      </c>
      <c r="G129" s="372">
        <f t="shared" si="148"/>
        <v>5384.48</v>
      </c>
      <c r="H129" s="373">
        <f t="shared" si="149"/>
        <v>6.8552580750601791E-2</v>
      </c>
      <c r="I129" s="372"/>
    </row>
    <row r="130" spans="2:9" x14ac:dyDescent="0.25">
      <c r="B130" s="370">
        <v>42576</v>
      </c>
      <c r="C130" s="371">
        <v>160</v>
      </c>
      <c r="D130" s="372">
        <v>33.652999999999999</v>
      </c>
      <c r="E130" s="372">
        <v>35.79</v>
      </c>
      <c r="F130" s="372">
        <f t="shared" si="147"/>
        <v>341.92000000000007</v>
      </c>
      <c r="G130" s="372">
        <f t="shared" si="148"/>
        <v>5384.48</v>
      </c>
      <c r="H130" s="373">
        <f t="shared" si="149"/>
        <v>6.3501025168632833E-2</v>
      </c>
      <c r="I130" s="372"/>
    </row>
    <row r="131" spans="2:9" x14ac:dyDescent="0.25">
      <c r="B131" s="370">
        <v>42577</v>
      </c>
      <c r="C131" s="371">
        <v>160</v>
      </c>
      <c r="D131" s="372">
        <v>33.652999999999999</v>
      </c>
      <c r="E131" s="372">
        <v>36.42</v>
      </c>
      <c r="F131" s="372">
        <f t="shared" si="147"/>
        <v>442.72000000000048</v>
      </c>
      <c r="G131" s="372">
        <f t="shared" si="148"/>
        <v>5384.48</v>
      </c>
      <c r="H131" s="373">
        <f t="shared" si="149"/>
        <v>8.222149585475301E-2</v>
      </c>
      <c r="I131" s="372"/>
    </row>
    <row r="132" spans="2:9" x14ac:dyDescent="0.25">
      <c r="B132" s="370">
        <v>42579</v>
      </c>
      <c r="C132" s="371">
        <v>230</v>
      </c>
      <c r="D132" s="372">
        <v>34.006</v>
      </c>
      <c r="E132" s="372">
        <v>34.4</v>
      </c>
      <c r="F132" s="372">
        <f t="shared" si="147"/>
        <v>90.619999999999621</v>
      </c>
      <c r="G132" s="372">
        <f t="shared" si="148"/>
        <v>7821.38</v>
      </c>
      <c r="H132" s="373">
        <f t="shared" si="149"/>
        <v>1.1586190672234263E-2</v>
      </c>
      <c r="I132" s="372"/>
    </row>
    <row r="133" spans="2:9" x14ac:dyDescent="0.25">
      <c r="B133" s="370">
        <v>42580</v>
      </c>
      <c r="C133" s="371">
        <v>260</v>
      </c>
      <c r="D133" s="372">
        <v>33.991999999999997</v>
      </c>
      <c r="E133" s="372">
        <v>34.19</v>
      </c>
      <c r="F133" s="372">
        <f t="shared" si="147"/>
        <v>51.480000000000103</v>
      </c>
      <c r="G133" s="372">
        <f t="shared" si="148"/>
        <v>8837.92</v>
      </c>
      <c r="H133" s="373">
        <f t="shared" si="149"/>
        <v>5.824899976465063E-3</v>
      </c>
      <c r="I133" s="372"/>
    </row>
    <row r="134" spans="2:9" x14ac:dyDescent="0.25">
      <c r="B134" s="370">
        <v>42584</v>
      </c>
      <c r="C134" s="371">
        <v>300</v>
      </c>
      <c r="D134" s="372">
        <v>33.866</v>
      </c>
      <c r="E134" s="372">
        <v>32.61</v>
      </c>
      <c r="F134" s="372">
        <f t="shared" si="147"/>
        <v>-376.80000000000007</v>
      </c>
      <c r="G134" s="372">
        <f t="shared" si="148"/>
        <v>10159.799999999999</v>
      </c>
      <c r="H134" s="373">
        <f t="shared" si="149"/>
        <v>-3.7087344239059829E-2</v>
      </c>
      <c r="I134" s="372"/>
    </row>
    <row r="135" spans="2:9" x14ac:dyDescent="0.25">
      <c r="B135" s="370">
        <v>42586</v>
      </c>
      <c r="C135" s="371">
        <v>400</v>
      </c>
      <c r="D135" s="372">
        <v>33.520000000000003</v>
      </c>
      <c r="E135" s="372">
        <v>32.549999999999997</v>
      </c>
      <c r="F135" s="372">
        <f t="shared" si="147"/>
        <v>-388.00000000000239</v>
      </c>
      <c r="G135" s="372">
        <f t="shared" si="148"/>
        <v>13408.000000000002</v>
      </c>
      <c r="H135" s="373">
        <f t="shared" si="149"/>
        <v>-2.8937947494033587E-2</v>
      </c>
      <c r="I135" s="372"/>
    </row>
    <row r="136" spans="2:9" x14ac:dyDescent="0.25">
      <c r="B136" s="370">
        <v>42587</v>
      </c>
      <c r="C136" s="371">
        <v>400</v>
      </c>
      <c r="D136" s="372">
        <v>33.387349999999998</v>
      </c>
      <c r="E136" s="372">
        <v>32.729999999999997</v>
      </c>
      <c r="F136" s="372">
        <f t="shared" si="147"/>
        <v>-262.9400000000004</v>
      </c>
      <c r="G136" s="372">
        <f t="shared" si="148"/>
        <v>13354.939999999999</v>
      </c>
      <c r="H136" s="373">
        <f t="shared" si="149"/>
        <v>-1.9688594632398231E-2</v>
      </c>
      <c r="I136" s="372"/>
    </row>
    <row r="137" spans="2:9" x14ac:dyDescent="0.25">
      <c r="B137" s="370">
        <v>42598</v>
      </c>
      <c r="C137" s="371">
        <v>400</v>
      </c>
      <c r="D137" s="372">
        <v>33.387349999999998</v>
      </c>
      <c r="E137" s="372">
        <v>32.1</v>
      </c>
      <c r="F137" s="372">
        <f t="shared" si="147"/>
        <v>-514.93999999999858</v>
      </c>
      <c r="G137" s="372">
        <f t="shared" ref="G137:G142" si="150">D137*C137</f>
        <v>13354.939999999999</v>
      </c>
      <c r="H137" s="373">
        <f t="shared" si="149"/>
        <v>-3.8558016733882636E-2</v>
      </c>
      <c r="I137" s="372"/>
    </row>
    <row r="138" spans="2:9" x14ac:dyDescent="0.25">
      <c r="B138" s="370">
        <v>42599</v>
      </c>
      <c r="C138" s="371">
        <v>500</v>
      </c>
      <c r="D138" s="372">
        <v>33.045879999999997</v>
      </c>
      <c r="E138" s="372">
        <v>31.88</v>
      </c>
      <c r="F138" s="372">
        <f t="shared" si="147"/>
        <v>-582.93999999999892</v>
      </c>
      <c r="G138" s="372">
        <f t="shared" si="150"/>
        <v>16522.939999999999</v>
      </c>
      <c r="H138" s="373">
        <f t="shared" si="149"/>
        <v>-3.5280646180401248E-2</v>
      </c>
      <c r="I138" s="372"/>
    </row>
    <row r="139" spans="2:9" x14ac:dyDescent="0.25">
      <c r="B139" s="370">
        <v>42600</v>
      </c>
      <c r="C139" s="371">
        <v>500</v>
      </c>
      <c r="D139" s="372">
        <v>33.045879999999997</v>
      </c>
      <c r="E139" s="372">
        <v>32.46</v>
      </c>
      <c r="F139" s="372">
        <f t="shared" si="147"/>
        <v>-292.93999999999801</v>
      </c>
      <c r="G139" s="372">
        <f t="shared" si="150"/>
        <v>16522.939999999999</v>
      </c>
      <c r="H139" s="373">
        <f t="shared" si="149"/>
        <v>-1.7729290307899079E-2</v>
      </c>
      <c r="I139" s="372"/>
    </row>
    <row r="140" spans="2:9" x14ac:dyDescent="0.25">
      <c r="B140" s="370">
        <v>42601</v>
      </c>
      <c r="C140" s="371">
        <v>500</v>
      </c>
      <c r="D140" s="372">
        <v>33.045879999999997</v>
      </c>
      <c r="E140" s="372">
        <v>32.61</v>
      </c>
      <c r="F140" s="372">
        <f t="shared" si="147"/>
        <v>-217.93999999999869</v>
      </c>
      <c r="G140" s="372">
        <f t="shared" si="150"/>
        <v>16522.939999999999</v>
      </c>
      <c r="H140" s="373">
        <f t="shared" si="149"/>
        <v>-1.3190146547769266E-2</v>
      </c>
      <c r="I140" s="372"/>
    </row>
    <row r="141" spans="2:9" x14ac:dyDescent="0.25">
      <c r="B141" s="370">
        <v>42604</v>
      </c>
      <c r="C141" s="371">
        <v>500</v>
      </c>
      <c r="D141" s="372">
        <v>33.045879999999997</v>
      </c>
      <c r="E141" s="372">
        <v>32.86</v>
      </c>
      <c r="F141" s="372">
        <f t="shared" si="147"/>
        <v>-92.93999999999869</v>
      </c>
      <c r="G141" s="372">
        <f t="shared" si="150"/>
        <v>16522.939999999999</v>
      </c>
      <c r="H141" s="373">
        <f t="shared" si="149"/>
        <v>-5.624906947552839E-3</v>
      </c>
      <c r="I141" s="372"/>
    </row>
    <row r="142" spans="2:9" x14ac:dyDescent="0.25">
      <c r="B142" s="370">
        <v>42605</v>
      </c>
      <c r="C142" s="371">
        <v>500</v>
      </c>
      <c r="D142" s="372">
        <v>33.045879999999997</v>
      </c>
      <c r="E142" s="372">
        <v>32.25</v>
      </c>
      <c r="F142" s="372">
        <f t="shared" si="147"/>
        <v>-397.93999999999841</v>
      </c>
      <c r="G142" s="372">
        <f t="shared" si="150"/>
        <v>16522.939999999999</v>
      </c>
      <c r="H142" s="373">
        <f t="shared" si="149"/>
        <v>-2.4084091572080902E-2</v>
      </c>
      <c r="I142" s="372"/>
    </row>
    <row r="143" spans="2:9" x14ac:dyDescent="0.25">
      <c r="B143" s="370">
        <v>42606</v>
      </c>
      <c r="C143" s="371">
        <v>500</v>
      </c>
      <c r="D143" s="372">
        <v>33.045879999999997</v>
      </c>
      <c r="E143" s="372">
        <v>32.99</v>
      </c>
      <c r="F143" s="372">
        <f t="shared" si="147"/>
        <v>-27.939999999997411</v>
      </c>
      <c r="G143" s="372">
        <f t="shared" ref="G143:G165" si="151">D143*C143</f>
        <v>16522.939999999999</v>
      </c>
      <c r="H143" s="373">
        <f t="shared" si="149"/>
        <v>-1.6909823554402191E-3</v>
      </c>
      <c r="I143" s="372"/>
    </row>
    <row r="144" spans="2:9" x14ac:dyDescent="0.25">
      <c r="B144" s="370">
        <v>42607</v>
      </c>
      <c r="C144" s="371">
        <v>500</v>
      </c>
      <c r="D144" s="372">
        <v>33.045879999999997</v>
      </c>
      <c r="E144" s="372">
        <v>32.76</v>
      </c>
      <c r="F144" s="372">
        <f t="shared" si="147"/>
        <v>-142.9399999999994</v>
      </c>
      <c r="G144" s="372">
        <f t="shared" si="151"/>
        <v>16522.939999999999</v>
      </c>
      <c r="H144" s="373">
        <f t="shared" si="149"/>
        <v>-8.6510027876394533E-3</v>
      </c>
      <c r="I144" s="372"/>
    </row>
    <row r="145" spans="2:9" x14ac:dyDescent="0.25">
      <c r="B145" s="370">
        <v>42611</v>
      </c>
      <c r="C145" s="371">
        <v>500</v>
      </c>
      <c r="D145" s="372">
        <v>33.045879999999997</v>
      </c>
      <c r="E145" s="372">
        <v>32.33</v>
      </c>
      <c r="F145" s="372">
        <f t="shared" si="147"/>
        <v>-357.93999999999926</v>
      </c>
      <c r="G145" s="372">
        <f t="shared" si="151"/>
        <v>16522.939999999999</v>
      </c>
      <c r="H145" s="373">
        <f t="shared" si="149"/>
        <v>-2.1663214900011697E-2</v>
      </c>
      <c r="I145" s="372"/>
    </row>
    <row r="146" spans="2:9" x14ac:dyDescent="0.25">
      <c r="B146" s="370">
        <v>42612</v>
      </c>
      <c r="C146" s="371">
        <v>500</v>
      </c>
      <c r="D146" s="372">
        <v>33.045879999999997</v>
      </c>
      <c r="E146" s="372">
        <v>32.159999999999997</v>
      </c>
      <c r="F146" s="372">
        <f t="shared" si="147"/>
        <v>-442.94000000000011</v>
      </c>
      <c r="G146" s="372">
        <f t="shared" si="151"/>
        <v>16522.939999999999</v>
      </c>
      <c r="H146" s="373">
        <f t="shared" si="149"/>
        <v>-2.6807577828158919E-2</v>
      </c>
      <c r="I146" s="372"/>
    </row>
    <row r="147" spans="2:9" x14ac:dyDescent="0.25">
      <c r="B147" s="370">
        <v>42614</v>
      </c>
      <c r="C147" s="371">
        <v>500</v>
      </c>
      <c r="D147" s="372">
        <v>33.045879999999997</v>
      </c>
      <c r="E147" s="372">
        <v>31.96</v>
      </c>
      <c r="F147" s="372">
        <f t="shared" si="147"/>
        <v>-542.93999999999801</v>
      </c>
      <c r="G147" s="372">
        <f t="shared" si="151"/>
        <v>16522.939999999999</v>
      </c>
      <c r="H147" s="373">
        <f t="shared" si="149"/>
        <v>-3.2859769508331936E-2</v>
      </c>
      <c r="I147" s="372"/>
    </row>
    <row r="148" spans="2:9" x14ac:dyDescent="0.25">
      <c r="B148" s="370">
        <v>42615</v>
      </c>
      <c r="C148" s="371">
        <v>500</v>
      </c>
      <c r="D148" s="372">
        <v>32.94988</v>
      </c>
      <c r="E148" s="372">
        <v>32.5</v>
      </c>
      <c r="F148" s="372">
        <f t="shared" si="147"/>
        <v>-224.94000000000014</v>
      </c>
      <c r="G148" s="372">
        <f t="shared" si="151"/>
        <v>16474.939999999999</v>
      </c>
      <c r="H148" s="373">
        <f t="shared" si="149"/>
        <v>-1.3653463988336233E-2</v>
      </c>
      <c r="I148" s="372" t="s">
        <v>185</v>
      </c>
    </row>
    <row r="149" spans="2:9" x14ac:dyDescent="0.25">
      <c r="B149" s="370">
        <v>42619</v>
      </c>
      <c r="C149" s="371">
        <v>500</v>
      </c>
      <c r="D149" s="372">
        <v>32.94988</v>
      </c>
      <c r="E149" s="372">
        <v>32.67</v>
      </c>
      <c r="F149" s="372">
        <f t="shared" si="147"/>
        <v>-139.93999999999929</v>
      </c>
      <c r="G149" s="372">
        <f t="shared" si="151"/>
        <v>16474.939999999999</v>
      </c>
      <c r="H149" s="373">
        <f t="shared" si="149"/>
        <v>-8.4941128768905548E-3</v>
      </c>
      <c r="I149" s="372"/>
    </row>
    <row r="150" spans="2:9" x14ac:dyDescent="0.25">
      <c r="B150" s="370">
        <v>42620</v>
      </c>
      <c r="C150" s="371">
        <v>600</v>
      </c>
      <c r="D150" s="372">
        <v>32.733229999999999</v>
      </c>
      <c r="E150" s="372">
        <v>31.32</v>
      </c>
      <c r="F150" s="372">
        <f t="shared" si="147"/>
        <v>-847.93799999999919</v>
      </c>
      <c r="G150" s="372">
        <f t="shared" si="151"/>
        <v>19639.937999999998</v>
      </c>
      <c r="H150" s="373">
        <f t="shared" si="149"/>
        <v>-4.3174168879759153E-2</v>
      </c>
      <c r="I150" s="372"/>
    </row>
    <row r="151" spans="2:9" x14ac:dyDescent="0.25">
      <c r="B151" s="370">
        <v>42620</v>
      </c>
      <c r="C151" s="371">
        <v>700</v>
      </c>
      <c r="D151" s="372">
        <v>32.511339999999997</v>
      </c>
      <c r="E151" s="372">
        <v>31.32</v>
      </c>
      <c r="F151" s="372">
        <f t="shared" si="147"/>
        <v>-833.93799999999771</v>
      </c>
      <c r="G151" s="372">
        <f t="shared" si="151"/>
        <v>22757.937999999998</v>
      </c>
      <c r="H151" s="373">
        <f t="shared" si="149"/>
        <v>-3.6643829506873504E-2</v>
      </c>
      <c r="I151" s="372"/>
    </row>
    <row r="152" spans="2:9" x14ac:dyDescent="0.25">
      <c r="B152" s="370">
        <v>42621</v>
      </c>
      <c r="C152" s="371">
        <v>700</v>
      </c>
      <c r="D152" s="372">
        <v>32.511339999999997</v>
      </c>
      <c r="E152" s="372">
        <v>31.31</v>
      </c>
      <c r="F152" s="372">
        <f t="shared" si="147"/>
        <v>-840.93799999999885</v>
      </c>
      <c r="G152" s="372">
        <f t="shared" si="151"/>
        <v>22757.937999999998</v>
      </c>
      <c r="H152" s="373">
        <f t="shared" si="149"/>
        <v>-3.6951414491066759E-2</v>
      </c>
      <c r="I152" s="372"/>
    </row>
    <row r="153" spans="2:9" x14ac:dyDescent="0.25">
      <c r="B153" s="370">
        <v>42622</v>
      </c>
      <c r="C153" s="371">
        <v>700</v>
      </c>
      <c r="D153" s="372">
        <v>32.511339999999997</v>
      </c>
      <c r="E153" s="372">
        <v>31.51</v>
      </c>
      <c r="F153" s="372">
        <f t="shared" si="147"/>
        <v>-700.9379999999968</v>
      </c>
      <c r="G153" s="372">
        <f t="shared" si="151"/>
        <v>22757.937999999998</v>
      </c>
      <c r="H153" s="373">
        <f t="shared" si="149"/>
        <v>-3.0799714807202519E-2</v>
      </c>
      <c r="I153" s="372"/>
    </row>
    <row r="154" spans="2:9" x14ac:dyDescent="0.25">
      <c r="B154" s="370">
        <v>42625</v>
      </c>
      <c r="C154" s="371">
        <v>800</v>
      </c>
      <c r="D154" s="372">
        <v>32.297429999999999</v>
      </c>
      <c r="E154" s="372">
        <v>30.89</v>
      </c>
      <c r="F154" s="372">
        <f t="shared" si="147"/>
        <v>-1125.9439999999984</v>
      </c>
      <c r="G154" s="372">
        <f t="shared" si="151"/>
        <v>25837.944</v>
      </c>
      <c r="H154" s="373">
        <f t="shared" si="149"/>
        <v>-4.3577151494716394E-2</v>
      </c>
      <c r="I154" s="372"/>
    </row>
    <row r="155" spans="2:9" x14ac:dyDescent="0.25">
      <c r="B155" s="370">
        <v>42632</v>
      </c>
      <c r="C155" s="371">
        <v>800</v>
      </c>
      <c r="D155" s="372">
        <v>32.297429999999999</v>
      </c>
      <c r="E155" s="372">
        <v>30.79</v>
      </c>
      <c r="F155" s="372">
        <f t="shared" si="147"/>
        <v>-1205.9439999999995</v>
      </c>
      <c r="G155" s="372">
        <f t="shared" si="151"/>
        <v>25837.944</v>
      </c>
      <c r="H155" s="373">
        <f t="shared" si="149"/>
        <v>-4.6673373082626063E-2</v>
      </c>
      <c r="I155" s="372"/>
    </row>
    <row r="156" spans="2:9" x14ac:dyDescent="0.25">
      <c r="B156" s="370">
        <v>42633</v>
      </c>
      <c r="C156" s="371">
        <v>800</v>
      </c>
      <c r="D156" s="372">
        <v>32.297429999999999</v>
      </c>
      <c r="E156" s="372">
        <v>31.09</v>
      </c>
      <c r="F156" s="372">
        <f t="shared" si="147"/>
        <v>-965.94399999999894</v>
      </c>
      <c r="G156" s="372">
        <f t="shared" si="151"/>
        <v>25837.944</v>
      </c>
      <c r="H156" s="373">
        <f t="shared" si="149"/>
        <v>-3.7384708318897161E-2</v>
      </c>
      <c r="I156" s="372"/>
    </row>
    <row r="157" spans="2:9" x14ac:dyDescent="0.25">
      <c r="B157" s="370">
        <v>42605</v>
      </c>
      <c r="C157" s="371">
        <v>800</v>
      </c>
      <c r="D157" s="372">
        <v>32.297429999999999</v>
      </c>
      <c r="E157" s="372">
        <v>30.45</v>
      </c>
      <c r="F157" s="372">
        <f t="shared" si="147"/>
        <v>-1477.9439999999995</v>
      </c>
      <c r="G157" s="372">
        <f t="shared" si="151"/>
        <v>25837.944</v>
      </c>
      <c r="H157" s="373">
        <f t="shared" si="149"/>
        <v>-5.7200526481518785E-2</v>
      </c>
      <c r="I157" s="372"/>
    </row>
    <row r="158" spans="2:9" x14ac:dyDescent="0.25">
      <c r="B158" s="370">
        <v>42639</v>
      </c>
      <c r="C158" s="371">
        <v>900</v>
      </c>
      <c r="D158" s="372">
        <v>32.05104</v>
      </c>
      <c r="E158" s="372">
        <v>30.08</v>
      </c>
      <c r="F158" s="372">
        <f t="shared" si="147"/>
        <v>-1773.936000000002</v>
      </c>
      <c r="G158" s="372">
        <f t="shared" si="151"/>
        <v>28845.936000000002</v>
      </c>
      <c r="H158" s="373">
        <f t="shared" si="149"/>
        <v>-6.14969124246827E-2</v>
      </c>
      <c r="I158" s="372"/>
    </row>
    <row r="159" spans="2:9" x14ac:dyDescent="0.25">
      <c r="B159" s="370">
        <v>42640</v>
      </c>
      <c r="C159" s="371">
        <v>900</v>
      </c>
      <c r="D159" s="372">
        <v>32.05104</v>
      </c>
      <c r="E159" s="372">
        <v>29.9</v>
      </c>
      <c r="F159" s="372">
        <f t="shared" si="147"/>
        <v>-1935.9360000000017</v>
      </c>
      <c r="G159" s="372">
        <f t="shared" si="151"/>
        <v>28845.936000000002</v>
      </c>
      <c r="H159" s="373">
        <f t="shared" si="149"/>
        <v>-6.7112954837034985E-2</v>
      </c>
      <c r="I159" s="372"/>
    </row>
    <row r="160" spans="2:9" x14ac:dyDescent="0.25">
      <c r="B160" s="370">
        <v>42641</v>
      </c>
      <c r="C160" s="371">
        <v>900</v>
      </c>
      <c r="D160" s="372">
        <v>32.05104</v>
      </c>
      <c r="E160" s="372">
        <v>29.84</v>
      </c>
      <c r="F160" s="372">
        <f t="shared" si="147"/>
        <v>-1989.9360000000006</v>
      </c>
      <c r="G160" s="372">
        <f t="shared" si="151"/>
        <v>28845.936000000002</v>
      </c>
      <c r="H160" s="373">
        <f t="shared" si="149"/>
        <v>-6.8984968974485708E-2</v>
      </c>
      <c r="I160" s="372"/>
    </row>
    <row r="161" spans="2:9" x14ac:dyDescent="0.25">
      <c r="B161" s="370">
        <v>42643</v>
      </c>
      <c r="C161" s="371">
        <v>900</v>
      </c>
      <c r="D161" s="372">
        <v>32.05104</v>
      </c>
      <c r="E161" s="372">
        <v>29.68</v>
      </c>
      <c r="F161" s="372">
        <f t="shared" si="147"/>
        <v>-2133.9360000000006</v>
      </c>
      <c r="G161" s="372">
        <f t="shared" si="151"/>
        <v>28845.936000000002</v>
      </c>
      <c r="H161" s="373">
        <f t="shared" si="149"/>
        <v>-7.3977006674354431E-2</v>
      </c>
      <c r="I161" s="372"/>
    </row>
    <row r="162" spans="2:9" x14ac:dyDescent="0.25">
      <c r="B162" s="370">
        <v>42646</v>
      </c>
      <c r="C162" s="371">
        <v>1000</v>
      </c>
      <c r="D162" s="372">
        <v>31.78594</v>
      </c>
      <c r="E162" s="372">
        <v>29.28</v>
      </c>
      <c r="F162" s="372">
        <f t="shared" si="147"/>
        <v>-2505.9399999999991</v>
      </c>
      <c r="G162" s="372">
        <f t="shared" si="151"/>
        <v>31785.94</v>
      </c>
      <c r="H162" s="373">
        <f t="shared" si="149"/>
        <v>-7.8838001959356835E-2</v>
      </c>
      <c r="I162" s="372"/>
    </row>
    <row r="163" spans="2:9" x14ac:dyDescent="0.25">
      <c r="B163" s="370">
        <v>42648</v>
      </c>
      <c r="C163" s="371">
        <v>1000</v>
      </c>
      <c r="D163" s="372">
        <v>31.78594</v>
      </c>
      <c r="E163" s="372">
        <v>28.84</v>
      </c>
      <c r="F163" s="372">
        <f t="shared" si="147"/>
        <v>-2945.94</v>
      </c>
      <c r="G163" s="372">
        <f t="shared" si="151"/>
        <v>31785.94</v>
      </c>
      <c r="H163" s="373">
        <f t="shared" si="149"/>
        <v>-9.2680600290568724E-2</v>
      </c>
      <c r="I163" s="372"/>
    </row>
    <row r="164" spans="2:9" x14ac:dyDescent="0.25">
      <c r="B164" s="370">
        <v>42649</v>
      </c>
      <c r="C164" s="371">
        <v>1000</v>
      </c>
      <c r="D164" s="372">
        <v>31.78594</v>
      </c>
      <c r="E164" s="372">
        <v>29.37</v>
      </c>
      <c r="F164" s="372">
        <f t="shared" si="147"/>
        <v>-2415.9399999999991</v>
      </c>
      <c r="G164" s="372">
        <f t="shared" si="151"/>
        <v>31785.94</v>
      </c>
      <c r="H164" s="373">
        <f t="shared" si="149"/>
        <v>-7.6006561391608968E-2</v>
      </c>
      <c r="I164" s="372"/>
    </row>
    <row r="165" spans="2:9" x14ac:dyDescent="0.25">
      <c r="B165" s="370">
        <v>42650</v>
      </c>
      <c r="C165" s="371">
        <v>1000</v>
      </c>
      <c r="D165" s="372">
        <v>31.78594</v>
      </c>
      <c r="E165" s="372">
        <v>29</v>
      </c>
      <c r="F165" s="372">
        <f t="shared" si="147"/>
        <v>-2785.94</v>
      </c>
      <c r="G165" s="372">
        <f t="shared" si="151"/>
        <v>31785.94</v>
      </c>
      <c r="H165" s="373">
        <f t="shared" si="149"/>
        <v>-8.7646928170128049E-2</v>
      </c>
      <c r="I165" s="372"/>
    </row>
    <row r="166" spans="2:9" x14ac:dyDescent="0.25">
      <c r="B166" s="370">
        <v>42661</v>
      </c>
      <c r="C166" s="371">
        <v>1000</v>
      </c>
      <c r="D166" s="372">
        <v>31.78594</v>
      </c>
      <c r="E166" s="372">
        <v>30.64</v>
      </c>
      <c r="F166" s="372">
        <f t="shared" ref="F166:F171" si="152">C166*(E166-D166)</f>
        <v>-1145.9399999999996</v>
      </c>
      <c r="G166" s="372">
        <f t="shared" ref="G166:G171" si="153">D166*C166</f>
        <v>31785.94</v>
      </c>
      <c r="H166" s="373">
        <f t="shared" ref="H166:H171" si="154">(E166-D166)/D166</f>
        <v>-3.6051788935611138E-2</v>
      </c>
      <c r="I166" s="372"/>
    </row>
    <row r="167" spans="2:9" x14ac:dyDescent="0.25">
      <c r="B167" s="370">
        <v>42671</v>
      </c>
      <c r="C167" s="371">
        <v>900</v>
      </c>
      <c r="D167" s="372">
        <v>31.837789999999998</v>
      </c>
      <c r="E167" s="372">
        <v>31.26</v>
      </c>
      <c r="F167" s="372">
        <f t="shared" si="152"/>
        <v>-520.01099999999701</v>
      </c>
      <c r="G167" s="372">
        <f t="shared" si="153"/>
        <v>28654.010999999999</v>
      </c>
      <c r="H167" s="373">
        <f t="shared" si="154"/>
        <v>-1.8147930493919232E-2</v>
      </c>
      <c r="I167" s="372"/>
    </row>
    <row r="168" spans="2:9" x14ac:dyDescent="0.25">
      <c r="B168" s="370">
        <v>42674</v>
      </c>
      <c r="C168" s="371">
        <v>1000</v>
      </c>
      <c r="D168" s="372">
        <v>31.763999999999999</v>
      </c>
      <c r="E168" s="372">
        <v>30.98</v>
      </c>
      <c r="F168" s="372">
        <f t="shared" si="152"/>
        <v>-783.99999999999886</v>
      </c>
      <c r="G168" s="372">
        <f t="shared" si="153"/>
        <v>31764</v>
      </c>
      <c r="H168" s="373">
        <f t="shared" si="154"/>
        <v>-2.468202997103636E-2</v>
      </c>
      <c r="I168" s="372"/>
    </row>
    <row r="169" spans="2:9" x14ac:dyDescent="0.25">
      <c r="B169" s="370">
        <v>42676</v>
      </c>
      <c r="C169" s="371">
        <v>500</v>
      </c>
      <c r="D169" s="372">
        <v>31.518719999999998</v>
      </c>
      <c r="E169" s="372">
        <v>32.22</v>
      </c>
      <c r="F169" s="372">
        <f t="shared" si="152"/>
        <v>350.64000000000027</v>
      </c>
      <c r="G169" s="372">
        <f t="shared" si="153"/>
        <v>15759.359999999999</v>
      </c>
      <c r="H169" s="373">
        <f t="shared" si="154"/>
        <v>2.2249634502923995E-2</v>
      </c>
      <c r="I169" s="372">
        <v>31</v>
      </c>
    </row>
    <row r="170" spans="2:9" x14ac:dyDescent="0.25">
      <c r="B170" s="370">
        <v>42677</v>
      </c>
      <c r="C170" s="371">
        <v>800</v>
      </c>
      <c r="D170" s="372">
        <v>31.51858</v>
      </c>
      <c r="E170" s="372">
        <v>31.02</v>
      </c>
      <c r="F170" s="372">
        <f t="shared" si="152"/>
        <v>-398.86400000000037</v>
      </c>
      <c r="G170" s="372">
        <f t="shared" si="153"/>
        <v>25214.864000000001</v>
      </c>
      <c r="H170" s="373">
        <f t="shared" si="154"/>
        <v>-1.5818606041262027E-2</v>
      </c>
      <c r="I170" s="372"/>
    </row>
    <row r="171" spans="2:9" x14ac:dyDescent="0.25">
      <c r="B171" s="370">
        <v>42701</v>
      </c>
      <c r="C171" s="371">
        <v>400</v>
      </c>
      <c r="D171" s="372">
        <v>30.677849999999999</v>
      </c>
      <c r="E171" s="372">
        <v>33.880000000000003</v>
      </c>
      <c r="F171" s="372">
        <f t="shared" si="152"/>
        <v>1280.8600000000013</v>
      </c>
      <c r="G171" s="372">
        <f t="shared" si="153"/>
        <v>12271.14</v>
      </c>
      <c r="H171" s="373">
        <f t="shared" si="154"/>
        <v>0.10437987016691207</v>
      </c>
      <c r="I171" s="372"/>
    </row>
    <row r="172" spans="2:9" x14ac:dyDescent="0.25">
      <c r="B172" s="370">
        <v>42704</v>
      </c>
      <c r="C172" s="371">
        <v>400</v>
      </c>
      <c r="D172" s="372">
        <v>30.677849999999999</v>
      </c>
      <c r="E172" s="372">
        <v>32.299999999999997</v>
      </c>
      <c r="F172" s="372">
        <f t="shared" ref="F172:F178" si="155">C172*(E172-D172)</f>
        <v>648.8599999999991</v>
      </c>
      <c r="G172" s="372">
        <f t="shared" ref="G172:G178" si="156">D172*C172</f>
        <v>12271.14</v>
      </c>
      <c r="H172" s="373">
        <f t="shared" ref="H172:H178" si="157">(E172-D172)/D172</f>
        <v>5.2876912821465581E-2</v>
      </c>
      <c r="I172" s="372"/>
    </row>
    <row r="173" spans="2:9" x14ac:dyDescent="0.25">
      <c r="B173" s="370">
        <v>42706</v>
      </c>
      <c r="C173" s="371">
        <v>400</v>
      </c>
      <c r="D173" s="372">
        <v>30.527850000000001</v>
      </c>
      <c r="E173" s="372">
        <v>33.299999999999997</v>
      </c>
      <c r="F173" s="372">
        <f t="shared" si="155"/>
        <v>1108.8599999999985</v>
      </c>
      <c r="G173" s="372">
        <f t="shared" si="156"/>
        <v>12211.14</v>
      </c>
      <c r="H173" s="373">
        <f t="shared" si="157"/>
        <v>9.0807246497869851E-2</v>
      </c>
      <c r="I173" s="372"/>
    </row>
    <row r="174" spans="2:9" x14ac:dyDescent="0.25">
      <c r="B174" s="370">
        <v>42712</v>
      </c>
      <c r="C174" s="371">
        <v>300</v>
      </c>
      <c r="D174" s="372">
        <v>29.297370000000001</v>
      </c>
      <c r="E174" s="372">
        <v>34.19</v>
      </c>
      <c r="F174" s="372">
        <f t="shared" si="155"/>
        <v>1467.7889999999991</v>
      </c>
      <c r="G174" s="372">
        <f t="shared" si="156"/>
        <v>8789.2109999999993</v>
      </c>
      <c r="H174" s="373">
        <f t="shared" si="157"/>
        <v>0.16699894905242338</v>
      </c>
      <c r="I174" s="372"/>
    </row>
    <row r="175" spans="2:9" x14ac:dyDescent="0.25">
      <c r="B175" s="370">
        <v>42713</v>
      </c>
      <c r="C175" s="371">
        <v>200</v>
      </c>
      <c r="D175" s="372">
        <v>26.551449999999999</v>
      </c>
      <c r="E175" s="372">
        <v>34.78</v>
      </c>
      <c r="F175" s="372">
        <f t="shared" si="155"/>
        <v>1645.7100000000005</v>
      </c>
      <c r="G175" s="372">
        <f t="shared" si="156"/>
        <v>5310.29</v>
      </c>
      <c r="H175" s="373">
        <f t="shared" si="157"/>
        <v>0.30990962828772073</v>
      </c>
      <c r="I175" s="372"/>
    </row>
    <row r="176" spans="2:9" x14ac:dyDescent="0.25">
      <c r="B176" s="370">
        <v>42716</v>
      </c>
      <c r="C176" s="371">
        <v>300</v>
      </c>
      <c r="D176" s="372">
        <v>29.0943</v>
      </c>
      <c r="E176" s="372">
        <v>34.22</v>
      </c>
      <c r="F176" s="372">
        <f t="shared" si="155"/>
        <v>1537.7099999999996</v>
      </c>
      <c r="G176" s="372">
        <f t="shared" si="156"/>
        <v>8728.2900000000009</v>
      </c>
      <c r="H176" s="373">
        <f t="shared" si="157"/>
        <v>0.17617540205469795</v>
      </c>
      <c r="I176" s="372"/>
    </row>
    <row r="177" spans="2:9" x14ac:dyDescent="0.25">
      <c r="B177" s="370">
        <v>42718</v>
      </c>
      <c r="C177" s="371">
        <v>100</v>
      </c>
      <c r="D177" s="372">
        <v>17.179500000000001</v>
      </c>
      <c r="E177" s="372">
        <v>34.72</v>
      </c>
      <c r="F177" s="372">
        <f t="shared" si="155"/>
        <v>1754.0499999999997</v>
      </c>
      <c r="G177" s="372">
        <f t="shared" si="156"/>
        <v>1717.95</v>
      </c>
      <c r="H177" s="373">
        <f t="shared" si="157"/>
        <v>1.021013417154166</v>
      </c>
      <c r="I177" s="372"/>
    </row>
    <row r="178" spans="2:9" x14ac:dyDescent="0.25">
      <c r="B178" s="370">
        <v>42718</v>
      </c>
      <c r="C178" s="371">
        <v>300</v>
      </c>
      <c r="D178" s="372">
        <v>28.9132</v>
      </c>
      <c r="E178" s="372">
        <v>34.72</v>
      </c>
      <c r="F178" s="372">
        <f t="shared" si="155"/>
        <v>1742.0399999999997</v>
      </c>
      <c r="G178" s="372">
        <f t="shared" si="156"/>
        <v>8673.9599999999991</v>
      </c>
      <c r="H178" s="373">
        <f t="shared" si="157"/>
        <v>0.20083560449898313</v>
      </c>
      <c r="I178" s="372"/>
    </row>
    <row r="179" spans="2:9" x14ac:dyDescent="0.25">
      <c r="B179" s="370">
        <v>42729</v>
      </c>
      <c r="C179" s="371">
        <v>300</v>
      </c>
      <c r="D179" s="372">
        <v>28.9132</v>
      </c>
      <c r="E179" s="372">
        <v>35.08</v>
      </c>
      <c r="F179" s="372">
        <f>C179*(E179-D179)</f>
        <v>1850.0399999999995</v>
      </c>
      <c r="G179" s="372">
        <f>D179*C179</f>
        <v>8673.9599999999991</v>
      </c>
      <c r="H179" s="373">
        <f>(E179-D179)/D179</f>
        <v>0.21328666491429515</v>
      </c>
      <c r="I179" s="372"/>
    </row>
    <row r="180" spans="2:9" x14ac:dyDescent="0.25">
      <c r="B180" s="370">
        <v>42745</v>
      </c>
      <c r="C180" s="371">
        <v>400</v>
      </c>
      <c r="D180" s="372">
        <v>30.12988</v>
      </c>
      <c r="E180" s="372">
        <v>33.19</v>
      </c>
      <c r="F180" s="372">
        <f>C180*(E180-D180)</f>
        <v>1224.0479999999991</v>
      </c>
      <c r="G180" s="372">
        <f>D180*C180</f>
        <v>12051.951999999999</v>
      </c>
      <c r="H180" s="373">
        <f>(E180-D180)/D180</f>
        <v>0.1015642943151449</v>
      </c>
      <c r="I180" s="372"/>
    </row>
    <row r="181" spans="2:9" x14ac:dyDescent="0.25">
      <c r="B181" s="370">
        <v>42752</v>
      </c>
      <c r="C181" s="371">
        <v>300</v>
      </c>
      <c r="D181" s="372">
        <v>28.620100000000001</v>
      </c>
      <c r="E181" s="372">
        <v>34.840000000000003</v>
      </c>
      <c r="F181" s="372">
        <f>C181*(E181-D181)</f>
        <v>1865.9700000000007</v>
      </c>
      <c r="G181" s="372">
        <f>D181*C181</f>
        <v>8586.0300000000007</v>
      </c>
      <c r="H181" s="373">
        <f>(E181-D181)/D181</f>
        <v>0.21732628467405782</v>
      </c>
      <c r="I181" s="372">
        <v>28.25</v>
      </c>
    </row>
    <row r="182" spans="2:9" x14ac:dyDescent="0.25">
      <c r="B182" s="370">
        <v>42754</v>
      </c>
      <c r="C182" s="371">
        <v>400</v>
      </c>
      <c r="D182" s="372">
        <v>30.032579999999999</v>
      </c>
      <c r="E182" s="372">
        <v>34.26</v>
      </c>
      <c r="F182" s="372">
        <f>C182*(E182-D182)</f>
        <v>1690.9679999999994</v>
      </c>
      <c r="G182" s="372">
        <f>D182*C182</f>
        <v>12013.031999999999</v>
      </c>
      <c r="H182" s="373">
        <f>(E182-D182)/D182</f>
        <v>0.14076113340911767</v>
      </c>
      <c r="I182" s="372"/>
    </row>
    <row r="200" spans="1:13" x14ac:dyDescent="0.25">
      <c r="L200" t="s">
        <v>65</v>
      </c>
      <c r="M200" s="2">
        <f>M228+K228-F228</f>
        <v>1747.9699999999939</v>
      </c>
    </row>
    <row r="201" spans="1:13" x14ac:dyDescent="0.25">
      <c r="A201" s="256" t="s">
        <v>1</v>
      </c>
      <c r="B201" s="256" t="s">
        <v>2</v>
      </c>
      <c r="C201" s="256" t="s">
        <v>4</v>
      </c>
      <c r="D201" s="257" t="s">
        <v>5</v>
      </c>
      <c r="E201" s="257" t="s">
        <v>94</v>
      </c>
      <c r="F201" s="257" t="s">
        <v>60</v>
      </c>
      <c r="G201" s="256" t="s">
        <v>3</v>
      </c>
      <c r="H201" s="256" t="s">
        <v>6</v>
      </c>
      <c r="I201" s="257" t="s">
        <v>7</v>
      </c>
      <c r="J201" s="257" t="s">
        <v>95</v>
      </c>
      <c r="K201" s="257" t="s">
        <v>61</v>
      </c>
      <c r="L201" s="256" t="s">
        <v>37</v>
      </c>
      <c r="M201" s="256" t="s">
        <v>38</v>
      </c>
    </row>
    <row r="202" spans="1:13" x14ac:dyDescent="0.25">
      <c r="A202" s="258" t="s">
        <v>196</v>
      </c>
      <c r="B202" s="259">
        <v>42482</v>
      </c>
      <c r="C202" s="254">
        <v>80</v>
      </c>
      <c r="D202" s="255">
        <v>36.01</v>
      </c>
      <c r="E202" s="255">
        <v>0</v>
      </c>
      <c r="F202" s="255">
        <f t="shared" ref="F202:F222" si="158">D202*C202+E202</f>
        <v>2880.7999999999997</v>
      </c>
      <c r="G202" s="259">
        <v>42514</v>
      </c>
      <c r="H202" s="254">
        <v>40</v>
      </c>
      <c r="I202" s="255">
        <v>35.35</v>
      </c>
      <c r="J202" s="255">
        <v>0.03</v>
      </c>
      <c r="K202" s="255">
        <f>I202*H202-J202</f>
        <v>1413.97</v>
      </c>
      <c r="L202" s="259">
        <v>42522</v>
      </c>
      <c r="M202" s="255">
        <v>10.5</v>
      </c>
    </row>
    <row r="203" spans="1:13" x14ac:dyDescent="0.25">
      <c r="A203" s="261" t="s">
        <v>71</v>
      </c>
      <c r="B203" s="259">
        <v>42482</v>
      </c>
      <c r="C203" s="254">
        <v>20</v>
      </c>
      <c r="D203" s="255">
        <v>35.549999999999997</v>
      </c>
      <c r="E203" s="255">
        <v>0</v>
      </c>
      <c r="F203" s="255">
        <f t="shared" si="158"/>
        <v>711</v>
      </c>
      <c r="G203" s="254"/>
      <c r="H203" s="254"/>
      <c r="I203" s="255"/>
      <c r="J203" s="255"/>
      <c r="K203" s="255"/>
      <c r="L203" s="259">
        <v>42614</v>
      </c>
      <c r="M203" s="255">
        <v>48</v>
      </c>
    </row>
    <row r="204" spans="1:13" x14ac:dyDescent="0.25">
      <c r="A204" s="254"/>
      <c r="B204" s="259">
        <v>42508</v>
      </c>
      <c r="C204" s="254">
        <v>40</v>
      </c>
      <c r="D204" s="255">
        <v>34.19</v>
      </c>
      <c r="E204" s="255">
        <v>0</v>
      </c>
      <c r="F204" s="255">
        <f t="shared" si="158"/>
        <v>1367.6</v>
      </c>
      <c r="G204" s="259">
        <v>42521</v>
      </c>
      <c r="H204" s="260">
        <v>40</v>
      </c>
      <c r="I204" s="255">
        <v>35.99</v>
      </c>
      <c r="J204" s="255">
        <v>0.03</v>
      </c>
      <c r="K204" s="255">
        <f t="shared" ref="K204:K219" si="159">I204*H204-J204</f>
        <v>1439.5700000000002</v>
      </c>
      <c r="L204" s="259">
        <v>42706</v>
      </c>
      <c r="M204" s="255">
        <v>60</v>
      </c>
    </row>
    <row r="205" spans="1:13" x14ac:dyDescent="0.25">
      <c r="A205" s="254"/>
      <c r="B205" s="259">
        <v>42509</v>
      </c>
      <c r="C205" s="254">
        <v>100</v>
      </c>
      <c r="D205" s="255">
        <v>34.49</v>
      </c>
      <c r="E205" s="255">
        <v>0</v>
      </c>
      <c r="F205" s="255">
        <f t="shared" si="158"/>
        <v>3449</v>
      </c>
      <c r="G205" s="259">
        <v>42531</v>
      </c>
      <c r="H205" s="260">
        <v>100</v>
      </c>
      <c r="I205" s="255">
        <v>36.99</v>
      </c>
      <c r="J205" s="255">
        <v>0.08</v>
      </c>
      <c r="K205" s="255">
        <f t="shared" si="159"/>
        <v>3698.92</v>
      </c>
      <c r="L205" s="254"/>
      <c r="M205" s="254"/>
    </row>
    <row r="206" spans="1:13" x14ac:dyDescent="0.25">
      <c r="A206" s="254"/>
      <c r="B206" s="259">
        <v>42536</v>
      </c>
      <c r="C206" s="254">
        <v>100</v>
      </c>
      <c r="D206" s="255">
        <v>35.39</v>
      </c>
      <c r="E206" s="255">
        <v>0</v>
      </c>
      <c r="F206" s="255">
        <f t="shared" si="158"/>
        <v>3539</v>
      </c>
      <c r="G206" s="259">
        <v>42594</v>
      </c>
      <c r="H206" s="260">
        <v>100</v>
      </c>
      <c r="I206" s="255">
        <v>32.58</v>
      </c>
      <c r="J206" s="255">
        <v>7.0000000000000007E-2</v>
      </c>
      <c r="K206" s="255">
        <f t="shared" si="159"/>
        <v>3257.93</v>
      </c>
      <c r="L206" s="254"/>
      <c r="M206" s="254"/>
    </row>
    <row r="207" spans="1:13" x14ac:dyDescent="0.25">
      <c r="A207" s="254"/>
      <c r="B207" s="259">
        <v>42579</v>
      </c>
      <c r="C207" s="254">
        <v>40</v>
      </c>
      <c r="D207" s="255">
        <v>35</v>
      </c>
      <c r="E207" s="255">
        <v>0</v>
      </c>
      <c r="F207" s="255">
        <f t="shared" si="158"/>
        <v>1400</v>
      </c>
      <c r="G207" s="259">
        <v>42671</v>
      </c>
      <c r="H207" s="260">
        <v>100</v>
      </c>
      <c r="I207" s="255">
        <v>31.32</v>
      </c>
      <c r="J207" s="255">
        <v>7.0000000000000007E-2</v>
      </c>
      <c r="K207" s="255">
        <f t="shared" si="159"/>
        <v>3131.93</v>
      </c>
      <c r="L207" s="254"/>
      <c r="M207" s="254"/>
    </row>
    <row r="208" spans="1:13" x14ac:dyDescent="0.25">
      <c r="A208" s="254"/>
      <c r="B208" s="259">
        <v>42579</v>
      </c>
      <c r="C208" s="254">
        <v>30</v>
      </c>
      <c r="D208" s="255">
        <v>34.57</v>
      </c>
      <c r="E208" s="255">
        <v>-7.0000000000000007E-2</v>
      </c>
      <c r="F208" s="255">
        <f t="shared" si="158"/>
        <v>1037.03</v>
      </c>
      <c r="G208" s="259">
        <v>42676</v>
      </c>
      <c r="H208" s="260">
        <v>200</v>
      </c>
      <c r="I208" s="255">
        <v>31.83</v>
      </c>
      <c r="J208" s="255">
        <v>0.14000000000000001</v>
      </c>
      <c r="K208" s="255">
        <f t="shared" si="159"/>
        <v>6365.86</v>
      </c>
      <c r="L208" s="254"/>
      <c r="M208" s="254"/>
    </row>
    <row r="209" spans="1:13" x14ac:dyDescent="0.25">
      <c r="A209" s="254"/>
      <c r="B209" s="259">
        <v>42580</v>
      </c>
      <c r="C209" s="254">
        <v>30</v>
      </c>
      <c r="D209" s="255">
        <v>33.880000000000003</v>
      </c>
      <c r="E209" s="255">
        <v>0</v>
      </c>
      <c r="F209" s="255">
        <f t="shared" si="158"/>
        <v>1016.4000000000001</v>
      </c>
      <c r="G209" s="259">
        <v>42676</v>
      </c>
      <c r="H209" s="260">
        <v>100</v>
      </c>
      <c r="I209" s="255">
        <v>31.98</v>
      </c>
      <c r="J209" s="255">
        <v>7.0000000000000007E-2</v>
      </c>
      <c r="K209" s="255">
        <f t="shared" si="159"/>
        <v>3197.93</v>
      </c>
      <c r="L209" s="254"/>
      <c r="M209" s="254"/>
    </row>
    <row r="210" spans="1:13" x14ac:dyDescent="0.25">
      <c r="A210" s="254"/>
      <c r="B210" s="259">
        <v>42584</v>
      </c>
      <c r="C210" s="254">
        <v>40</v>
      </c>
      <c r="D210" s="255">
        <v>33.049999999999997</v>
      </c>
      <c r="E210" s="255">
        <v>0</v>
      </c>
      <c r="F210" s="255">
        <f t="shared" si="158"/>
        <v>1322</v>
      </c>
      <c r="G210" s="259">
        <v>42676</v>
      </c>
      <c r="H210" s="260">
        <v>100</v>
      </c>
      <c r="I210" s="255">
        <v>32.18</v>
      </c>
      <c r="J210" s="255">
        <v>7.0000000000000007E-2</v>
      </c>
      <c r="K210" s="255">
        <f t="shared" si="159"/>
        <v>3217.93</v>
      </c>
      <c r="L210" s="254"/>
      <c r="M210" s="254"/>
    </row>
    <row r="211" spans="1:13" x14ac:dyDescent="0.25">
      <c r="A211" s="254"/>
      <c r="B211" s="259">
        <v>42586</v>
      </c>
      <c r="C211" s="254">
        <v>100</v>
      </c>
      <c r="D211" s="255">
        <v>32.479999999999997</v>
      </c>
      <c r="E211" s="255">
        <v>0</v>
      </c>
      <c r="F211" s="255">
        <f t="shared" si="158"/>
        <v>3247.9999999999995</v>
      </c>
      <c r="G211" s="259">
        <v>42676</v>
      </c>
      <c r="H211" s="260">
        <v>100</v>
      </c>
      <c r="I211" s="255">
        <v>32.229999999999997</v>
      </c>
      <c r="J211" s="255">
        <v>7.0000000000000007E-2</v>
      </c>
      <c r="K211" s="255">
        <f t="shared" si="159"/>
        <v>3222.9299999999994</v>
      </c>
      <c r="L211" s="254"/>
      <c r="M211" s="254"/>
    </row>
    <row r="212" spans="1:13" x14ac:dyDescent="0.25">
      <c r="A212" s="254"/>
      <c r="B212" s="259">
        <v>42593</v>
      </c>
      <c r="C212" s="254">
        <v>100</v>
      </c>
      <c r="D212" s="255">
        <v>32.049999999999997</v>
      </c>
      <c r="E212" s="255">
        <v>0</v>
      </c>
      <c r="F212" s="255">
        <f t="shared" si="158"/>
        <v>3204.9999999999995</v>
      </c>
      <c r="G212" s="259">
        <v>42683</v>
      </c>
      <c r="H212" s="260">
        <v>100</v>
      </c>
      <c r="I212" s="255">
        <v>32.33</v>
      </c>
      <c r="J212" s="255">
        <v>7.0000000000000007E-2</v>
      </c>
      <c r="K212" s="255">
        <f t="shared" si="159"/>
        <v>3232.93</v>
      </c>
      <c r="L212" s="254"/>
      <c r="M212" s="254"/>
    </row>
    <row r="213" spans="1:13" x14ac:dyDescent="0.25">
      <c r="A213" s="254"/>
      <c r="B213" s="259">
        <v>42599</v>
      </c>
      <c r="C213" s="254">
        <v>100</v>
      </c>
      <c r="D213" s="255">
        <v>31.68</v>
      </c>
      <c r="E213" s="255">
        <v>0</v>
      </c>
      <c r="F213" s="255">
        <f t="shared" si="158"/>
        <v>3168</v>
      </c>
      <c r="G213" s="259">
        <v>42683</v>
      </c>
      <c r="H213" s="260">
        <v>200</v>
      </c>
      <c r="I213" s="255">
        <v>32.08</v>
      </c>
      <c r="J213" s="255">
        <v>0.14000000000000001</v>
      </c>
      <c r="K213" s="255">
        <f t="shared" si="159"/>
        <v>6415.86</v>
      </c>
      <c r="L213" s="254"/>
      <c r="M213" s="254"/>
    </row>
    <row r="214" spans="1:13" x14ac:dyDescent="0.25">
      <c r="A214" s="254"/>
      <c r="B214" s="259">
        <v>42620</v>
      </c>
      <c r="C214" s="254">
        <v>100</v>
      </c>
      <c r="D214" s="255">
        <v>31.65</v>
      </c>
      <c r="E214" s="255">
        <v>0</v>
      </c>
      <c r="F214" s="255">
        <f t="shared" si="158"/>
        <v>3165</v>
      </c>
      <c r="G214" s="259">
        <v>42684</v>
      </c>
      <c r="H214" s="260">
        <v>100</v>
      </c>
      <c r="I214" s="255">
        <v>32.950000000000003</v>
      </c>
      <c r="J214" s="255">
        <v>7.0000000000000007E-2</v>
      </c>
      <c r="K214" s="255">
        <f t="shared" si="159"/>
        <v>3294.9300000000003</v>
      </c>
      <c r="L214" s="254"/>
      <c r="M214" s="254"/>
    </row>
    <row r="215" spans="1:13" x14ac:dyDescent="0.25">
      <c r="A215" s="254"/>
      <c r="B215" s="259">
        <v>42620</v>
      </c>
      <c r="C215" s="254">
        <v>100</v>
      </c>
      <c r="D215" s="255">
        <v>31.18</v>
      </c>
      <c r="E215" s="255">
        <v>0</v>
      </c>
      <c r="F215" s="255">
        <f t="shared" si="158"/>
        <v>3118</v>
      </c>
      <c r="G215" s="259">
        <v>42712</v>
      </c>
      <c r="H215" s="260">
        <v>100</v>
      </c>
      <c r="I215" s="255">
        <v>34.22</v>
      </c>
      <c r="J215" s="255">
        <v>7.0000000000000007E-2</v>
      </c>
      <c r="K215" s="255">
        <f t="shared" si="159"/>
        <v>3421.93</v>
      </c>
      <c r="L215" s="254"/>
      <c r="M215" s="254"/>
    </row>
    <row r="216" spans="1:13" x14ac:dyDescent="0.25">
      <c r="A216" s="254"/>
      <c r="B216" s="259">
        <v>42625</v>
      </c>
      <c r="C216" s="254">
        <v>100</v>
      </c>
      <c r="D216" s="255">
        <v>30.8</v>
      </c>
      <c r="E216" s="255">
        <v>0</v>
      </c>
      <c r="F216" s="255">
        <f t="shared" si="158"/>
        <v>3080</v>
      </c>
      <c r="G216" s="259">
        <v>42713</v>
      </c>
      <c r="H216" s="260">
        <v>100</v>
      </c>
      <c r="I216" s="255">
        <v>34.79</v>
      </c>
      <c r="J216" s="255">
        <v>0.08</v>
      </c>
      <c r="K216" s="255">
        <f t="shared" si="159"/>
        <v>3478.92</v>
      </c>
      <c r="L216" s="254"/>
      <c r="M216" s="254"/>
    </row>
    <row r="217" spans="1:13" x14ac:dyDescent="0.25">
      <c r="A217" s="254"/>
      <c r="B217" s="259">
        <v>42639</v>
      </c>
      <c r="C217" s="254">
        <v>100</v>
      </c>
      <c r="D217" s="255">
        <v>30.08</v>
      </c>
      <c r="E217" s="255">
        <v>0</v>
      </c>
      <c r="F217" s="255">
        <f t="shared" si="158"/>
        <v>3008</v>
      </c>
      <c r="G217" s="259">
        <v>42718</v>
      </c>
      <c r="H217" s="260">
        <v>100</v>
      </c>
      <c r="I217" s="255">
        <v>35.21</v>
      </c>
      <c r="J217" s="255">
        <v>0.57999999999999996</v>
      </c>
      <c r="K217" s="255">
        <f t="shared" si="159"/>
        <v>3520.42</v>
      </c>
      <c r="L217" s="254"/>
      <c r="M217" s="254"/>
    </row>
    <row r="218" spans="1:13" x14ac:dyDescent="0.25">
      <c r="A218" s="254"/>
      <c r="B218" s="259">
        <v>42646</v>
      </c>
      <c r="C218" s="254">
        <v>100</v>
      </c>
      <c r="D218" s="255">
        <v>29.4</v>
      </c>
      <c r="E218" s="255">
        <v>0</v>
      </c>
      <c r="F218" s="255">
        <f t="shared" si="158"/>
        <v>2940</v>
      </c>
      <c r="G218" s="259">
        <v>42718</v>
      </c>
      <c r="H218" s="260">
        <v>100</v>
      </c>
      <c r="I218" s="255">
        <v>34.9</v>
      </c>
      <c r="J218" s="255">
        <v>0.08</v>
      </c>
      <c r="K218" s="255">
        <f t="shared" si="159"/>
        <v>3489.92</v>
      </c>
      <c r="L218" s="254"/>
      <c r="M218" s="254"/>
    </row>
    <row r="219" spans="1:13" x14ac:dyDescent="0.25">
      <c r="A219" s="254"/>
      <c r="B219" s="259">
        <v>42674</v>
      </c>
      <c r="C219" s="254">
        <v>100</v>
      </c>
      <c r="D219" s="255">
        <v>31.1</v>
      </c>
      <c r="E219" s="255">
        <v>0</v>
      </c>
      <c r="F219" s="255">
        <f t="shared" si="158"/>
        <v>3110</v>
      </c>
      <c r="G219" s="259">
        <v>42752</v>
      </c>
      <c r="H219" s="260">
        <v>100</v>
      </c>
      <c r="I219" s="255">
        <v>34.659999999999997</v>
      </c>
      <c r="J219" s="255">
        <v>0.08</v>
      </c>
      <c r="K219" s="255">
        <f t="shared" si="159"/>
        <v>3465.9199999999996</v>
      </c>
      <c r="L219" s="254"/>
      <c r="M219" s="254"/>
    </row>
    <row r="220" spans="1:13" x14ac:dyDescent="0.25">
      <c r="A220" s="254"/>
      <c r="B220" s="259">
        <v>42677</v>
      </c>
      <c r="C220" s="254">
        <v>200</v>
      </c>
      <c r="D220" s="255">
        <v>31.68</v>
      </c>
      <c r="E220" s="255">
        <v>0</v>
      </c>
      <c r="F220" s="255">
        <f t="shared" si="158"/>
        <v>6336</v>
      </c>
      <c r="G220" s="254"/>
      <c r="H220" s="254"/>
      <c r="I220" s="255"/>
      <c r="J220" s="255"/>
      <c r="K220" s="255"/>
      <c r="L220" s="254"/>
      <c r="M220" s="254"/>
    </row>
    <row r="221" spans="1:13" x14ac:dyDescent="0.25">
      <c r="A221" s="254"/>
      <c r="B221" s="259">
        <v>42677</v>
      </c>
      <c r="C221" s="254">
        <v>100</v>
      </c>
      <c r="D221" s="255">
        <v>31.2</v>
      </c>
      <c r="E221" s="255">
        <v>-0.5</v>
      </c>
      <c r="F221" s="255">
        <f t="shared" si="158"/>
        <v>3119.5</v>
      </c>
      <c r="G221" s="254"/>
      <c r="H221" s="254"/>
      <c r="I221" s="255"/>
      <c r="J221" s="255"/>
      <c r="K221" s="255"/>
      <c r="L221" s="254"/>
      <c r="M221" s="254"/>
    </row>
    <row r="222" spans="1:13" x14ac:dyDescent="0.25">
      <c r="A222" s="254"/>
      <c r="B222" s="259">
        <v>42716</v>
      </c>
      <c r="C222" s="254">
        <v>100</v>
      </c>
      <c r="D222" s="255">
        <v>34.18</v>
      </c>
      <c r="E222" s="255">
        <v>0</v>
      </c>
      <c r="F222" s="255">
        <f t="shared" si="158"/>
        <v>3418</v>
      </c>
      <c r="G222" s="254"/>
      <c r="H222" s="254"/>
      <c r="I222" s="255"/>
      <c r="J222" s="255"/>
      <c r="K222" s="255"/>
      <c r="L222" s="254"/>
      <c r="M222" s="254"/>
    </row>
    <row r="223" spans="1:13" x14ac:dyDescent="0.25">
      <c r="A223" s="254"/>
      <c r="B223" s="259"/>
      <c r="C223" s="254"/>
      <c r="D223" s="255"/>
      <c r="E223" s="255"/>
      <c r="F223" s="255"/>
      <c r="G223" s="254"/>
      <c r="H223" s="254"/>
      <c r="I223" s="255"/>
      <c r="J223" s="255"/>
      <c r="K223" s="255"/>
      <c r="L223" s="254"/>
      <c r="M223" s="254"/>
    </row>
    <row r="224" spans="1:13" x14ac:dyDescent="0.25">
      <c r="A224" s="254"/>
      <c r="B224" s="259"/>
      <c r="C224" s="254"/>
      <c r="D224" s="255"/>
      <c r="E224" s="255"/>
      <c r="F224" s="255"/>
      <c r="G224" s="254"/>
      <c r="H224" s="254"/>
      <c r="I224" s="255"/>
      <c r="J224" s="255"/>
      <c r="K224" s="255"/>
      <c r="L224" s="254"/>
      <c r="M224" s="254"/>
    </row>
    <row r="225" spans="1:13" x14ac:dyDescent="0.25">
      <c r="A225" s="254"/>
      <c r="B225" s="259"/>
      <c r="C225" s="254"/>
      <c r="D225" s="255"/>
      <c r="E225" s="255"/>
      <c r="F225" s="255"/>
      <c r="G225" s="254"/>
      <c r="H225" s="254"/>
      <c r="I225" s="255"/>
      <c r="J225" s="255"/>
      <c r="K225" s="255"/>
      <c r="L225" s="254"/>
      <c r="M225" s="254"/>
    </row>
    <row r="226" spans="1:13" x14ac:dyDescent="0.25">
      <c r="A226" s="254"/>
      <c r="B226" s="254"/>
      <c r="C226" s="254"/>
      <c r="D226" s="255"/>
      <c r="E226" s="255"/>
      <c r="F226" s="255"/>
      <c r="G226" s="254"/>
      <c r="H226" s="254"/>
      <c r="I226" s="255"/>
      <c r="J226" s="255"/>
      <c r="K226" s="255"/>
      <c r="L226" s="254"/>
      <c r="M226" s="254"/>
    </row>
    <row r="227" spans="1:13" x14ac:dyDescent="0.25">
      <c r="A227" s="254"/>
      <c r="B227" s="254"/>
      <c r="C227" s="254"/>
      <c r="D227" s="255"/>
      <c r="E227" s="255"/>
      <c r="F227" s="255"/>
      <c r="G227" s="254"/>
      <c r="H227" s="254"/>
      <c r="I227" s="255"/>
      <c r="J227" s="255"/>
      <c r="K227" s="255"/>
      <c r="L227" s="254"/>
      <c r="M227" s="254"/>
    </row>
    <row r="228" spans="1:13" x14ac:dyDescent="0.25">
      <c r="A228" s="31" t="s">
        <v>81</v>
      </c>
      <c r="B228" s="14"/>
      <c r="C228" s="14">
        <f>SUM(C202:C225)</f>
        <v>1780</v>
      </c>
      <c r="D228" s="18"/>
      <c r="E228" s="18"/>
      <c r="F228" s="18">
        <f>SUM(F202:F225)</f>
        <v>57638.33</v>
      </c>
      <c r="G228" s="14"/>
      <c r="H228" s="14">
        <f>SUM(H202:H227)</f>
        <v>1780</v>
      </c>
      <c r="I228" s="18"/>
      <c r="J228" s="18"/>
      <c r="K228" s="18">
        <f>SUM(K202:K227)</f>
        <v>59267.799999999996</v>
      </c>
      <c r="L228" s="14"/>
      <c r="M228" s="18">
        <f>SUM(M202:M227)</f>
        <v>118.5</v>
      </c>
    </row>
  </sheetData>
  <mergeCells count="1">
    <mergeCell ref="O22:P22"/>
  </mergeCells>
  <conditionalFormatting sqref="O23:O4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13:F117">
    <cfRule type="expression" dxfId="1499" priority="69">
      <formula>F113&gt;0</formula>
    </cfRule>
    <cfRule type="expression" dxfId="1498" priority="70">
      <formula>F113&lt;0</formula>
    </cfRule>
  </conditionalFormatting>
  <conditionalFormatting sqref="F118:F131 F134:F178 F181:F182">
    <cfRule type="expression" dxfId="1497" priority="65">
      <formula>F118&gt;0</formula>
    </cfRule>
    <cfRule type="expression" dxfId="1496" priority="66">
      <formula>F118&lt;0</formula>
    </cfRule>
  </conditionalFormatting>
  <conditionalFormatting sqref="F118:F131 F134:F178 F181:F182">
    <cfRule type="expression" dxfId="1495" priority="67">
      <formula>F118&gt;0</formula>
    </cfRule>
    <cfRule type="expression" dxfId="1494" priority="68">
      <formula>F118&lt;0</formula>
    </cfRule>
  </conditionalFormatting>
  <conditionalFormatting sqref="H113:H131 H134:H178 H181:H182">
    <cfRule type="expression" dxfId="1493" priority="63">
      <formula>H113&gt;0</formula>
    </cfRule>
    <cfRule type="expression" dxfId="1492" priority="64">
      <formula>H113&lt;0</formula>
    </cfRule>
  </conditionalFormatting>
  <conditionalFormatting sqref="F109:F112">
    <cfRule type="expression" dxfId="1491" priority="57">
      <formula>F109&gt;0</formula>
    </cfRule>
    <cfRule type="expression" dxfId="1490" priority="58">
      <formula>F109&lt;0</formula>
    </cfRule>
  </conditionalFormatting>
  <conditionalFormatting sqref="H109:H112">
    <cfRule type="expression" dxfId="1489" priority="55">
      <formula>H109&gt;0</formula>
    </cfRule>
    <cfRule type="expression" dxfId="1488" priority="56">
      <formula>H109&lt;0</formula>
    </cfRule>
  </conditionalFormatting>
  <conditionalFormatting sqref="Q8">
    <cfRule type="expression" dxfId="1487" priority="51">
      <formula>Q8&gt;0</formula>
    </cfRule>
    <cfRule type="expression" dxfId="1486" priority="52">
      <formula>Q8&lt;0</formula>
    </cfRule>
  </conditionalFormatting>
  <conditionalFormatting sqref="Q7">
    <cfRule type="expression" dxfId="1485" priority="53">
      <formula>Q7&gt;0</formula>
    </cfRule>
    <cfRule type="expression" dxfId="1484" priority="54">
      <formula>Q7&lt;0</formula>
    </cfRule>
  </conditionalFormatting>
  <conditionalFormatting sqref="F132">
    <cfRule type="expression" dxfId="1483" priority="47">
      <formula>F132&gt;0</formula>
    </cfRule>
    <cfRule type="expression" dxfId="1482" priority="48">
      <formula>F132&lt;0</formula>
    </cfRule>
  </conditionalFormatting>
  <conditionalFormatting sqref="F132">
    <cfRule type="expression" dxfId="1481" priority="49">
      <formula>F132&gt;0</formula>
    </cfRule>
    <cfRule type="expression" dxfId="1480" priority="50">
      <formula>F132&lt;0</formula>
    </cfRule>
  </conditionalFormatting>
  <conditionalFormatting sqref="H132">
    <cfRule type="expression" dxfId="1479" priority="45">
      <formula>H132&gt;0</formula>
    </cfRule>
    <cfRule type="expression" dxfId="1478" priority="46">
      <formula>H132&lt;0</formula>
    </cfRule>
  </conditionalFormatting>
  <conditionalFormatting sqref="F133">
    <cfRule type="expression" dxfId="1477" priority="41">
      <formula>F133&gt;0</formula>
    </cfRule>
    <cfRule type="expression" dxfId="1476" priority="42">
      <formula>F133&lt;0</formula>
    </cfRule>
  </conditionalFormatting>
  <conditionalFormatting sqref="F133">
    <cfRule type="expression" dxfId="1475" priority="43">
      <formula>F133&gt;0</formula>
    </cfRule>
    <cfRule type="expression" dxfId="1474" priority="44">
      <formula>F133&lt;0</formula>
    </cfRule>
  </conditionalFormatting>
  <conditionalFormatting sqref="H133">
    <cfRule type="expression" dxfId="1473" priority="39">
      <formula>H133&gt;0</formula>
    </cfRule>
    <cfRule type="expression" dxfId="1472" priority="40">
      <formula>H133&lt;0</formula>
    </cfRule>
  </conditionalFormatting>
  <conditionalFormatting sqref="F179:F180">
    <cfRule type="expression" dxfId="1471" priority="35">
      <formula>F179&gt;0</formula>
    </cfRule>
    <cfRule type="expression" dxfId="1470" priority="36">
      <formula>F179&lt;0</formula>
    </cfRule>
  </conditionalFormatting>
  <conditionalFormatting sqref="F179:F180">
    <cfRule type="expression" dxfId="1469" priority="37">
      <formula>F179&gt;0</formula>
    </cfRule>
    <cfRule type="expression" dxfId="1468" priority="38">
      <formula>F179&lt;0</formula>
    </cfRule>
  </conditionalFormatting>
  <conditionalFormatting sqref="H179:H180">
    <cfRule type="expression" dxfId="1467" priority="33">
      <formula>H179&gt;0</formula>
    </cfRule>
    <cfRule type="expression" dxfId="1466" priority="34">
      <formula>H179&lt;0</formula>
    </cfRule>
  </conditionalFormatting>
  <conditionalFormatting sqref="F48:F63">
    <cfRule type="expression" dxfId="1465" priority="31">
      <formula>F48&gt;0</formula>
    </cfRule>
    <cfRule type="expression" dxfId="1464" priority="32">
      <formula>F48&lt;0</formula>
    </cfRule>
  </conditionalFormatting>
  <conditionalFormatting sqref="H48:H63">
    <cfRule type="expression" dxfId="1463" priority="29">
      <formula>H48&gt;0</formula>
    </cfRule>
    <cfRule type="expression" dxfId="1462" priority="30">
      <formula>H48&lt;0</formula>
    </cfRule>
  </conditionalFormatting>
  <conditionalFormatting sqref="Q10">
    <cfRule type="expression" dxfId="1461" priority="27">
      <formula>Q10&gt;0</formula>
    </cfRule>
    <cfRule type="expression" dxfId="1460" priority="28">
      <formula>Q10&lt;0</formula>
    </cfRule>
  </conditionalFormatting>
  <conditionalFormatting sqref="J58:K58">
    <cfRule type="expression" dxfId="1459" priority="25">
      <formula>J58&gt;0</formula>
    </cfRule>
    <cfRule type="expression" dxfId="1458" priority="26">
      <formula>J58&lt;0</formula>
    </cfRule>
  </conditionalFormatting>
  <conditionalFormatting sqref="K59">
    <cfRule type="expression" dxfId="1457" priority="23">
      <formula>K59&gt;0</formula>
    </cfRule>
    <cfRule type="expression" dxfId="1456" priority="24">
      <formula>K59&lt;0</formula>
    </cfRule>
  </conditionalFormatting>
  <conditionalFormatting sqref="K60:K73 K78:K107">
    <cfRule type="expression" dxfId="1455" priority="21">
      <formula>K60&gt;0</formula>
    </cfRule>
    <cfRule type="expression" dxfId="1454" priority="22">
      <formula>K60&lt;0</formula>
    </cfRule>
  </conditionalFormatting>
  <conditionalFormatting sqref="F65:F73">
    <cfRule type="expression" dxfId="1453" priority="19">
      <formula>F65&gt;0</formula>
    </cfRule>
    <cfRule type="expression" dxfId="1452" priority="20">
      <formula>F65&lt;0</formula>
    </cfRule>
  </conditionalFormatting>
  <conditionalFormatting sqref="H65:H73">
    <cfRule type="expression" dxfId="1451" priority="17">
      <formula>H65&gt;0</formula>
    </cfRule>
    <cfRule type="expression" dxfId="1450" priority="18">
      <formula>H65&lt;0</formula>
    </cfRule>
  </conditionalFormatting>
  <conditionalFormatting sqref="R4">
    <cfRule type="expression" dxfId="1449" priority="15">
      <formula>R4&gt;0</formula>
    </cfRule>
    <cfRule type="expression" dxfId="1448" priority="16">
      <formula>R4&lt;0</formula>
    </cfRule>
  </conditionalFormatting>
  <conditionalFormatting sqref="Q9">
    <cfRule type="expression" dxfId="1447" priority="13">
      <formula>Q9&gt;0</formula>
    </cfRule>
    <cfRule type="expression" dxfId="1446" priority="14">
      <formula>Q9&lt;0</formula>
    </cfRule>
  </conditionalFormatting>
  <conditionalFormatting sqref="K74:K77">
    <cfRule type="expression" dxfId="1445" priority="11">
      <formula>K74&gt;0</formula>
    </cfRule>
    <cfRule type="expression" dxfId="1444" priority="12">
      <formula>K74&lt;0</formula>
    </cfRule>
  </conditionalFormatting>
  <conditionalFormatting sqref="F74:F97">
    <cfRule type="expression" dxfId="1443" priority="9">
      <formula>F74&gt;0</formula>
    </cfRule>
    <cfRule type="expression" dxfId="1442" priority="10">
      <formula>F74&lt;0</formula>
    </cfRule>
  </conditionalFormatting>
  <conditionalFormatting sqref="H74:H97">
    <cfRule type="expression" dxfId="1441" priority="7">
      <formula>H74&gt;0</formula>
    </cfRule>
    <cfRule type="expression" dxfId="1440" priority="8">
      <formula>H74&lt;0</formula>
    </cfRule>
  </conditionalFormatting>
  <conditionalFormatting sqref="W1:W6">
    <cfRule type="iconSet" priority="5">
      <iconSet iconSet="3Arrows">
        <cfvo type="percent" val="0"/>
        <cfvo type="num" val="0"/>
        <cfvo type="num" val="0"/>
      </iconSet>
    </cfRule>
  </conditionalFormatting>
  <conditionalFormatting sqref="AB1:AB4">
    <cfRule type="iconSet" priority="624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61">
      <iconSet iconSet="3Arrows">
        <cfvo type="percent" val="0"/>
        <cfvo type="num" val="0"/>
        <cfvo type="num" val="0"/>
      </iconSet>
    </cfRule>
  </conditionalFormatting>
  <conditionalFormatting sqref="F98:F103">
    <cfRule type="expression" dxfId="1439" priority="3">
      <formula>F98&gt;0</formula>
    </cfRule>
    <cfRule type="expression" dxfId="1438" priority="4">
      <formula>F98&lt;0</formula>
    </cfRule>
  </conditionalFormatting>
  <conditionalFormatting sqref="H98:H103">
    <cfRule type="expression" dxfId="1437" priority="1">
      <formula>H98&gt;0</formula>
    </cfRule>
    <cfRule type="expression" dxfId="1436" priority="2">
      <formula>H98&lt;0</formula>
    </cfRule>
  </conditionalFormatting>
  <hyperlinks>
    <hyperlink ref="A3" location="ACTIVE!A1" display="Back"/>
    <hyperlink ref="A203" location="ACTIVE!A1" display="Back"/>
    <hyperlink ref="S48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268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10.53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10.53</v>
      </c>
      <c r="R4" s="487">
        <v>9.5999999999999992E-3</v>
      </c>
      <c r="T4" s="159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8"/>
      <c r="C22" s="10"/>
      <c r="D22" s="39"/>
      <c r="E22" s="39"/>
      <c r="F22" s="39"/>
      <c r="G22" s="10"/>
      <c r="H22" s="158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10"/>
      <c r="H23" s="158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8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25" t="s">
        <v>1</v>
      </c>
      <c r="B33" s="525" t="s">
        <v>2</v>
      </c>
      <c r="C33" s="525" t="s">
        <v>4</v>
      </c>
      <c r="D33" s="526" t="s">
        <v>5</v>
      </c>
      <c r="E33" s="526" t="s">
        <v>94</v>
      </c>
      <c r="F33" s="526" t="s">
        <v>60</v>
      </c>
      <c r="G33" s="525" t="s">
        <v>3</v>
      </c>
      <c r="H33" s="525" t="s">
        <v>6</v>
      </c>
      <c r="I33" s="526" t="s">
        <v>7</v>
      </c>
      <c r="J33" s="526" t="s">
        <v>95</v>
      </c>
      <c r="K33" s="526" t="s">
        <v>61</v>
      </c>
      <c r="L33" s="525" t="s">
        <v>37</v>
      </c>
      <c r="M33" s="525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27" t="s">
        <v>197</v>
      </c>
      <c r="B34" s="510">
        <v>42488</v>
      </c>
      <c r="C34" s="511">
        <v>100</v>
      </c>
      <c r="D34" s="513">
        <v>13.8</v>
      </c>
      <c r="E34" s="513">
        <v>0</v>
      </c>
      <c r="F34" s="513">
        <f t="shared" ref="F34:F40" si="2">D34*C34+E34</f>
        <v>1380</v>
      </c>
      <c r="G34" s="510">
        <v>42515</v>
      </c>
      <c r="H34" s="511">
        <v>100</v>
      </c>
      <c r="I34" s="513">
        <v>13.59</v>
      </c>
      <c r="J34" s="513">
        <v>0.03</v>
      </c>
      <c r="K34" s="513">
        <f t="shared" ref="K34:K39" si="3">I34*H34-J34</f>
        <v>1358.97</v>
      </c>
      <c r="L34" s="510">
        <v>42614</v>
      </c>
      <c r="M34" s="513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29" t="s">
        <v>71</v>
      </c>
      <c r="B35" s="510">
        <v>42507</v>
      </c>
      <c r="C35" s="511">
        <v>100</v>
      </c>
      <c r="D35" s="513">
        <v>13.08</v>
      </c>
      <c r="E35" s="513">
        <v>0</v>
      </c>
      <c r="F35" s="513">
        <f t="shared" si="2"/>
        <v>1308</v>
      </c>
      <c r="G35" s="510">
        <v>42559</v>
      </c>
      <c r="H35" s="528">
        <v>100</v>
      </c>
      <c r="I35" s="513">
        <v>13.08</v>
      </c>
      <c r="J35" s="513">
        <v>0.03</v>
      </c>
      <c r="K35" s="513">
        <f t="shared" si="3"/>
        <v>1307.97</v>
      </c>
      <c r="L35" s="510">
        <v>42705</v>
      </c>
      <c r="M35" s="513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511"/>
      <c r="B36" s="510">
        <v>42545</v>
      </c>
      <c r="C36" s="511">
        <v>50</v>
      </c>
      <c r="D36" s="513">
        <v>12.75</v>
      </c>
      <c r="E36" s="513">
        <v>0</v>
      </c>
      <c r="F36" s="513">
        <f t="shared" si="2"/>
        <v>637.5</v>
      </c>
      <c r="G36" s="510">
        <v>42577</v>
      </c>
      <c r="H36" s="528">
        <v>50</v>
      </c>
      <c r="I36" s="513">
        <v>13.78</v>
      </c>
      <c r="J36" s="513">
        <v>0.02</v>
      </c>
      <c r="K36" s="513">
        <f t="shared" si="3"/>
        <v>688.98</v>
      </c>
      <c r="L36" s="511"/>
      <c r="M36" s="511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511"/>
      <c r="B37" s="510">
        <v>42545</v>
      </c>
      <c r="C37" s="511">
        <v>100</v>
      </c>
      <c r="D37" s="513">
        <v>12.75</v>
      </c>
      <c r="E37" s="513">
        <v>0</v>
      </c>
      <c r="F37" s="513">
        <f t="shared" si="2"/>
        <v>1275</v>
      </c>
      <c r="G37" s="510">
        <v>42620</v>
      </c>
      <c r="H37" s="528">
        <v>100</v>
      </c>
      <c r="I37" s="513">
        <v>12.7</v>
      </c>
      <c r="J37" s="513">
        <v>0.53</v>
      </c>
      <c r="K37" s="513">
        <f t="shared" si="3"/>
        <v>1269.47</v>
      </c>
      <c r="L37" s="511"/>
      <c r="M37" s="511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511"/>
      <c r="B38" s="510">
        <v>42548</v>
      </c>
      <c r="C38" s="511">
        <v>150</v>
      </c>
      <c r="D38" s="513">
        <v>12.18</v>
      </c>
      <c r="E38" s="513">
        <v>0</v>
      </c>
      <c r="F38" s="513">
        <f t="shared" si="2"/>
        <v>1827</v>
      </c>
      <c r="G38" s="510">
        <v>42684</v>
      </c>
      <c r="H38" s="528">
        <v>250</v>
      </c>
      <c r="I38" s="513">
        <v>11.94</v>
      </c>
      <c r="J38" s="513">
        <v>7.0000000000000007E-2</v>
      </c>
      <c r="K38" s="513">
        <f t="shared" si="3"/>
        <v>2984.93</v>
      </c>
      <c r="L38" s="511"/>
      <c r="M38" s="511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511"/>
      <c r="B39" s="510">
        <v>42627</v>
      </c>
      <c r="C39" s="511">
        <v>100</v>
      </c>
      <c r="D39" s="513">
        <v>12.14</v>
      </c>
      <c r="E39" s="513">
        <v>0</v>
      </c>
      <c r="F39" s="513">
        <f t="shared" si="2"/>
        <v>1214</v>
      </c>
      <c r="G39" s="510">
        <v>42711</v>
      </c>
      <c r="H39" s="528">
        <v>200</v>
      </c>
      <c r="I39" s="513">
        <v>12.68</v>
      </c>
      <c r="J39" s="513">
        <v>0.06</v>
      </c>
      <c r="K39" s="513">
        <f t="shared" si="3"/>
        <v>2535.94</v>
      </c>
      <c r="L39" s="511"/>
      <c r="M39" s="511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511"/>
      <c r="B40" s="510">
        <v>42670</v>
      </c>
      <c r="C40" s="511">
        <v>200</v>
      </c>
      <c r="D40" s="513">
        <v>11.68</v>
      </c>
      <c r="E40" s="513">
        <v>0</v>
      </c>
      <c r="F40" s="513">
        <f t="shared" si="2"/>
        <v>2336</v>
      </c>
      <c r="G40" s="511"/>
      <c r="H40" s="528"/>
      <c r="I40" s="513"/>
      <c r="J40" s="513"/>
      <c r="K40" s="513"/>
      <c r="L40" s="511"/>
      <c r="M40" s="511"/>
      <c r="O40" s="804" t="s">
        <v>78</v>
      </c>
      <c r="P40" s="80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511"/>
      <c r="B41" s="511"/>
      <c r="C41" s="511"/>
      <c r="D41" s="513"/>
      <c r="E41" s="513"/>
      <c r="F41" s="513"/>
      <c r="G41" s="511"/>
      <c r="H41" s="528"/>
      <c r="I41" s="513"/>
      <c r="J41" s="513"/>
      <c r="K41" s="513"/>
      <c r="L41" s="511"/>
      <c r="M41" s="511"/>
      <c r="O41" s="81">
        <v>1.1000000000000001</v>
      </c>
      <c r="P41" s="81">
        <f>O41*$Q$4</f>
        <v>11.583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511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511"/>
      <c r="M42" s="511"/>
      <c r="O42" s="81">
        <v>1.0900000000000001</v>
      </c>
      <c r="P42" s="81">
        <f t="shared" ref="P42:P61" si="5">O42*$Q$4</f>
        <v>11.4777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511"/>
      <c r="B43" s="511"/>
      <c r="C43" s="511"/>
      <c r="D43" s="513"/>
      <c r="E43" s="513"/>
      <c r="F43" s="513"/>
      <c r="G43" s="511"/>
      <c r="H43" s="528"/>
      <c r="I43" s="513"/>
      <c r="J43" s="513"/>
      <c r="K43" s="513"/>
      <c r="L43" s="511"/>
      <c r="M43" s="511"/>
      <c r="O43" s="81">
        <v>1.08</v>
      </c>
      <c r="P43" s="81">
        <f t="shared" si="5"/>
        <v>11.372400000000001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511"/>
      <c r="B44" s="511"/>
      <c r="C44" s="511"/>
      <c r="D44" s="513"/>
      <c r="E44" s="513"/>
      <c r="F44" s="513"/>
      <c r="G44" s="511"/>
      <c r="H44" s="528"/>
      <c r="I44" s="513"/>
      <c r="J44" s="513"/>
      <c r="K44" s="513"/>
      <c r="L44" s="511"/>
      <c r="M44" s="511"/>
      <c r="O44" s="81">
        <v>1.07</v>
      </c>
      <c r="P44" s="81">
        <f t="shared" si="5"/>
        <v>11.267099999999999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511"/>
      <c r="B45" s="511"/>
      <c r="C45" s="511"/>
      <c r="D45" s="513"/>
      <c r="E45" s="513"/>
      <c r="F45" s="513"/>
      <c r="G45" s="511"/>
      <c r="H45" s="528"/>
      <c r="I45" s="513"/>
      <c r="J45" s="513"/>
      <c r="K45" s="513"/>
      <c r="L45" s="511"/>
      <c r="M45" s="511"/>
      <c r="O45" s="81">
        <v>1.06</v>
      </c>
      <c r="P45" s="81">
        <f t="shared" si="5"/>
        <v>11.161799999999999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511"/>
      <c r="B46" s="511"/>
      <c r="C46" s="511"/>
      <c r="D46" s="513"/>
      <c r="E46" s="513"/>
      <c r="F46" s="513"/>
      <c r="G46" s="511"/>
      <c r="H46" s="528"/>
      <c r="I46" s="513"/>
      <c r="J46" s="513"/>
      <c r="K46" s="513"/>
      <c r="L46" s="511"/>
      <c r="M46" s="511"/>
      <c r="O46" s="81">
        <v>1.05</v>
      </c>
      <c r="P46" s="81">
        <f t="shared" si="5"/>
        <v>11.0565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511"/>
      <c r="B47" s="511"/>
      <c r="C47" s="511"/>
      <c r="D47" s="513"/>
      <c r="E47" s="513"/>
      <c r="F47" s="513"/>
      <c r="G47" s="511"/>
      <c r="H47" s="528"/>
      <c r="I47" s="513"/>
      <c r="J47" s="513"/>
      <c r="K47" s="513"/>
      <c r="L47" s="511"/>
      <c r="M47" s="511"/>
      <c r="O47" s="81">
        <v>1.04</v>
      </c>
      <c r="P47" s="81">
        <f t="shared" si="5"/>
        <v>10.9512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511"/>
      <c r="B48" s="511"/>
      <c r="C48" s="511"/>
      <c r="D48" s="513"/>
      <c r="E48" s="513"/>
      <c r="F48" s="513"/>
      <c r="G48" s="511"/>
      <c r="H48" s="528"/>
      <c r="I48" s="513"/>
      <c r="J48" s="513"/>
      <c r="K48" s="513"/>
      <c r="L48" s="511"/>
      <c r="M48" s="511"/>
      <c r="O48" s="81">
        <v>1.03</v>
      </c>
      <c r="P48" s="81">
        <f t="shared" si="5"/>
        <v>10.8459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511"/>
      <c r="B49" s="511"/>
      <c r="C49" s="511"/>
      <c r="D49" s="513"/>
      <c r="E49" s="513"/>
      <c r="F49" s="513"/>
      <c r="G49" s="511"/>
      <c r="H49" s="528"/>
      <c r="I49" s="513"/>
      <c r="J49" s="513"/>
      <c r="K49" s="513"/>
      <c r="L49" s="511"/>
      <c r="M49" s="511"/>
      <c r="O49" s="81">
        <v>1.02</v>
      </c>
      <c r="P49" s="81">
        <f t="shared" si="5"/>
        <v>10.740599999999999</v>
      </c>
      <c r="Q49" s="2"/>
      <c r="T49" s="91" t="s">
        <v>103</v>
      </c>
      <c r="U49" s="86" t="s">
        <v>383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30" t="s">
        <v>81</v>
      </c>
      <c r="B50" s="531"/>
      <c r="C50" s="531">
        <f>SUM(C34:C40)</f>
        <v>800</v>
      </c>
      <c r="D50" s="532"/>
      <c r="E50" s="532"/>
      <c r="F50" s="532">
        <f>SUM(F34:F49)</f>
        <v>12073.5</v>
      </c>
      <c r="G50" s="531"/>
      <c r="H50" s="531">
        <f>SUM(H34:H49)</f>
        <v>1000</v>
      </c>
      <c r="I50" s="532"/>
      <c r="J50" s="532"/>
      <c r="K50" s="532">
        <f>SUM(K34:K49)</f>
        <v>12486.21</v>
      </c>
      <c r="L50" s="531"/>
      <c r="M50" s="532">
        <f>SUM(M34:M49)</f>
        <v>82.5</v>
      </c>
      <c r="O50" s="81">
        <v>1.01</v>
      </c>
      <c r="P50" s="81">
        <f t="shared" si="5"/>
        <v>10.635299999999999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33" t="s">
        <v>194</v>
      </c>
      <c r="B51" s="534"/>
      <c r="C51" s="535">
        <f>SumByColor($A$19,C34:C49)</f>
        <v>0</v>
      </c>
      <c r="D51" s="535"/>
      <c r="E51" s="535"/>
      <c r="F51" s="536">
        <f>SumByColor($A$19,F34:F49)</f>
        <v>0</v>
      </c>
      <c r="G51" s="535"/>
      <c r="H51" s="535">
        <f>SumByColor($A$19,H34:H49)</f>
        <v>0</v>
      </c>
      <c r="I51" s="535"/>
      <c r="J51" s="535"/>
      <c r="K51" s="536">
        <f>SumByColor($A$19,K34:K49)</f>
        <v>0</v>
      </c>
      <c r="L51" s="535"/>
      <c r="M51" s="536">
        <f>SumByColor($A$19,M34:M49)</f>
        <v>0</v>
      </c>
      <c r="O51" s="81">
        <v>1</v>
      </c>
      <c r="P51" s="81">
        <f t="shared" si="5"/>
        <v>10.53</v>
      </c>
      <c r="Q51" s="2"/>
      <c r="T51" s="91" t="s">
        <v>104</v>
      </c>
      <c r="U51" s="86" t="s">
        <v>624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10.4247</v>
      </c>
      <c r="Q52" s="2"/>
      <c r="T52" s="91" t="s">
        <v>105</v>
      </c>
      <c r="U52" s="86" t="s">
        <v>400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10.3194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10.214099999999998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10.108799999999999</v>
      </c>
      <c r="T55" s="91" t="s">
        <v>107</v>
      </c>
      <c r="U55" s="86" t="s">
        <v>625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6" t="s">
        <v>113</v>
      </c>
      <c r="C56" s="186" t="s">
        <v>146</v>
      </c>
      <c r="D56" s="187" t="s">
        <v>145</v>
      </c>
      <c r="E56" s="189" t="s">
        <v>147</v>
      </c>
      <c r="F56" s="189" t="s">
        <v>65</v>
      </c>
      <c r="G56" s="224" t="s">
        <v>151</v>
      </c>
      <c r="H56" s="224" t="s">
        <v>88</v>
      </c>
      <c r="I56" s="224" t="s">
        <v>154</v>
      </c>
      <c r="O56" s="81">
        <v>0.95</v>
      </c>
      <c r="P56" s="81">
        <f t="shared" si="5"/>
        <v>10.003499999999999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9">
        <v>42488</v>
      </c>
      <c r="C57" s="254">
        <v>100</v>
      </c>
      <c r="D57" s="255">
        <v>13.8</v>
      </c>
      <c r="E57" s="255">
        <v>13.56</v>
      </c>
      <c r="F57" s="255">
        <f>C57*(E57-D57)</f>
        <v>-24.000000000000021</v>
      </c>
      <c r="G57" s="255">
        <f>D57*C57</f>
        <v>1380</v>
      </c>
      <c r="H57" s="269">
        <f>(E57-D57)/D57</f>
        <v>-1.7391304347826101E-2</v>
      </c>
      <c r="I57" s="255"/>
      <c r="O57" s="81">
        <v>0.94</v>
      </c>
      <c r="P57" s="81">
        <f t="shared" si="5"/>
        <v>9.8981999999999992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9">
        <v>42494</v>
      </c>
      <c r="C58" s="254">
        <v>100</v>
      </c>
      <c r="D58" s="255">
        <v>13.8</v>
      </c>
      <c r="E58" s="255">
        <v>13.31</v>
      </c>
      <c r="F58" s="255">
        <f>C58*(E58-D58)</f>
        <v>-49.000000000000021</v>
      </c>
      <c r="G58" s="255">
        <f>D58*C58</f>
        <v>1380</v>
      </c>
      <c r="H58" s="269">
        <f>(E58-D58)/D58</f>
        <v>-3.5507246376811609E-2</v>
      </c>
      <c r="I58" s="255"/>
      <c r="O58" s="81">
        <v>0.93</v>
      </c>
      <c r="P58" s="81">
        <f t="shared" si="5"/>
        <v>9.7928999999999995</v>
      </c>
      <c r="T58" s="91" t="s">
        <v>108</v>
      </c>
      <c r="U58" s="86" t="s">
        <v>553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9">
        <v>42507</v>
      </c>
      <c r="C59" s="254">
        <v>200</v>
      </c>
      <c r="D59" s="255">
        <v>13.44</v>
      </c>
      <c r="E59" s="255">
        <v>13.14</v>
      </c>
      <c r="F59" s="255">
        <f>C59*(E59-D59)</f>
        <v>-59.999999999999787</v>
      </c>
      <c r="G59" s="255">
        <f>D59*C59</f>
        <v>2688</v>
      </c>
      <c r="H59" s="269">
        <f>(E59-D59)/D59</f>
        <v>-2.2321428571428492E-2</v>
      </c>
      <c r="I59" s="255"/>
      <c r="O59" s="81">
        <v>0.92</v>
      </c>
      <c r="P59" s="81">
        <f t="shared" si="5"/>
        <v>9.6875999999999998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9">
        <v>42515</v>
      </c>
      <c r="C60" s="254">
        <v>100</v>
      </c>
      <c r="D60" s="255">
        <v>13.2903</v>
      </c>
      <c r="E60" s="255">
        <v>13.52</v>
      </c>
      <c r="F60" s="255">
        <f t="shared" ref="F60:F95" si="6">C60*(E60-D60)</f>
        <v>22.969999999999935</v>
      </c>
      <c r="G60" s="255">
        <f t="shared" ref="G60:G95" si="7">D60*C60</f>
        <v>1329.03</v>
      </c>
      <c r="H60" s="269">
        <f t="shared" ref="H60:H95" si="8">(E60-D60)/D60</f>
        <v>1.7283281791983577E-2</v>
      </c>
      <c r="I60" s="255"/>
      <c r="O60" s="81">
        <v>0.91</v>
      </c>
      <c r="P60" s="81">
        <f t="shared" si="5"/>
        <v>9.5823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9">
        <v>42527</v>
      </c>
      <c r="C61" s="254">
        <v>100</v>
      </c>
      <c r="D61" s="255">
        <v>13.2903</v>
      </c>
      <c r="E61" s="255">
        <v>13.18</v>
      </c>
      <c r="F61" s="255">
        <f t="shared" si="6"/>
        <v>-11.030000000000051</v>
      </c>
      <c r="G61" s="255">
        <f t="shared" si="7"/>
        <v>1329.03</v>
      </c>
      <c r="H61" s="269">
        <f t="shared" si="8"/>
        <v>-8.2992859453887811E-3</v>
      </c>
      <c r="I61" s="255"/>
      <c r="O61" s="81">
        <v>0.9</v>
      </c>
      <c r="P61" s="81">
        <f t="shared" si="5"/>
        <v>9.4770000000000003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9">
        <v>42528</v>
      </c>
      <c r="C62" s="254">
        <v>100</v>
      </c>
      <c r="D62" s="255">
        <v>13.2903</v>
      </c>
      <c r="E62" s="255">
        <v>13.38</v>
      </c>
      <c r="F62" s="255">
        <f t="shared" si="6"/>
        <v>8.9700000000000557</v>
      </c>
      <c r="G62" s="255">
        <f t="shared" si="7"/>
        <v>1329.03</v>
      </c>
      <c r="H62" s="269">
        <f t="shared" si="8"/>
        <v>6.7492833118891638E-3</v>
      </c>
      <c r="I62" s="255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9">
        <v>42535</v>
      </c>
      <c r="C63" s="254">
        <v>100</v>
      </c>
      <c r="D63" s="255">
        <v>13.29</v>
      </c>
      <c r="E63" s="255">
        <v>12.84</v>
      </c>
      <c r="F63" s="255">
        <f t="shared" si="6"/>
        <v>-44.999999999999929</v>
      </c>
      <c r="G63" s="255">
        <f t="shared" si="7"/>
        <v>1329</v>
      </c>
      <c r="H63" s="269">
        <f t="shared" si="8"/>
        <v>-3.386004514672681E-2</v>
      </c>
      <c r="I63" s="255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9">
        <v>42542</v>
      </c>
      <c r="C64" s="254">
        <v>100</v>
      </c>
      <c r="D64" s="255">
        <v>13.2903</v>
      </c>
      <c r="E64" s="255">
        <v>13.42</v>
      </c>
      <c r="F64" s="255">
        <f t="shared" si="6"/>
        <v>12.96999999999997</v>
      </c>
      <c r="G64" s="255">
        <f t="shared" si="7"/>
        <v>1329.03</v>
      </c>
      <c r="H64" s="269">
        <f t="shared" si="8"/>
        <v>9.758997163344673E-3</v>
      </c>
      <c r="I64" s="255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9">
        <v>42545</v>
      </c>
      <c r="C65" s="254">
        <v>250</v>
      </c>
      <c r="D65" s="255">
        <v>12.966100000000001</v>
      </c>
      <c r="E65" s="255">
        <v>12.52</v>
      </c>
      <c r="F65" s="255">
        <f t="shared" si="6"/>
        <v>-111.52500000000032</v>
      </c>
      <c r="G65" s="255">
        <f t="shared" si="7"/>
        <v>3241.5250000000001</v>
      </c>
      <c r="H65" s="269">
        <f t="shared" si="8"/>
        <v>-3.4405102536614808E-2</v>
      </c>
      <c r="I65" s="255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9">
        <v>42548</v>
      </c>
      <c r="C66" s="254">
        <v>400</v>
      </c>
      <c r="D66" s="255">
        <v>12.6713</v>
      </c>
      <c r="E66" s="255">
        <v>12.16</v>
      </c>
      <c r="F66" s="255">
        <f t="shared" si="6"/>
        <v>-204.52000000000012</v>
      </c>
      <c r="G66" s="255">
        <f t="shared" si="7"/>
        <v>5068.5200000000004</v>
      </c>
      <c r="H66" s="269">
        <f t="shared" si="8"/>
        <v>-4.0351029491843798E-2</v>
      </c>
      <c r="I66" s="255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9">
        <v>42552</v>
      </c>
      <c r="C67" s="254">
        <v>400</v>
      </c>
      <c r="D67" s="255">
        <v>12.6713</v>
      </c>
      <c r="E67" s="255">
        <v>12.72</v>
      </c>
      <c r="F67" s="255">
        <f t="shared" si="6"/>
        <v>19.480000000000075</v>
      </c>
      <c r="G67" s="255">
        <f t="shared" si="7"/>
        <v>5068.5200000000004</v>
      </c>
      <c r="H67" s="269">
        <f t="shared" si="8"/>
        <v>3.843330992084489E-3</v>
      </c>
      <c r="I67" s="255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9">
        <v>42556</v>
      </c>
      <c r="C68" s="254">
        <v>400</v>
      </c>
      <c r="D68" s="255">
        <v>12.6713</v>
      </c>
      <c r="E68" s="255">
        <v>12.4</v>
      </c>
      <c r="F68" s="255">
        <f t="shared" si="6"/>
        <v>-108.52000000000004</v>
      </c>
      <c r="G68" s="255">
        <f t="shared" si="7"/>
        <v>5068.5200000000004</v>
      </c>
      <c r="H68" s="269">
        <f t="shared" si="8"/>
        <v>-2.1410589284445961E-2</v>
      </c>
      <c r="I68" s="564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9">
        <v>42566</v>
      </c>
      <c r="C69" s="254">
        <v>300</v>
      </c>
      <c r="D69" s="255">
        <v>12.5352</v>
      </c>
      <c r="E69" s="255">
        <v>13.57</v>
      </c>
      <c r="F69" s="255">
        <f t="shared" si="6"/>
        <v>310.44000000000017</v>
      </c>
      <c r="G69" s="255">
        <f t="shared" si="7"/>
        <v>3760.56</v>
      </c>
      <c r="H69" s="269">
        <f t="shared" si="8"/>
        <v>8.2551534877784216E-2</v>
      </c>
      <c r="I69" s="564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9">
        <v>42570</v>
      </c>
      <c r="C70" s="254">
        <v>300</v>
      </c>
      <c r="D70" s="255">
        <v>12.5352</v>
      </c>
      <c r="E70" s="255">
        <v>13.65</v>
      </c>
      <c r="F70" s="255">
        <f t="shared" si="6"/>
        <v>334.44000000000023</v>
      </c>
      <c r="G70" s="255">
        <f t="shared" si="7"/>
        <v>3760.56</v>
      </c>
      <c r="H70" s="269">
        <f t="shared" si="8"/>
        <v>8.8933563086348894E-2</v>
      </c>
      <c r="I70" s="255"/>
    </row>
    <row r="71" spans="2:31" x14ac:dyDescent="0.25">
      <c r="B71" s="259">
        <v>42571</v>
      </c>
      <c r="C71" s="254">
        <v>300</v>
      </c>
      <c r="D71" s="255">
        <v>12.5352</v>
      </c>
      <c r="E71" s="255">
        <v>13.74</v>
      </c>
      <c r="F71" s="255">
        <f t="shared" si="6"/>
        <v>361.44000000000017</v>
      </c>
      <c r="G71" s="255">
        <f t="shared" si="7"/>
        <v>3760.56</v>
      </c>
      <c r="H71" s="269">
        <f t="shared" si="8"/>
        <v>9.6113344820984159E-2</v>
      </c>
      <c r="I71" s="255"/>
    </row>
    <row r="72" spans="2:31" x14ac:dyDescent="0.25">
      <c r="B72" s="259">
        <v>42572</v>
      </c>
      <c r="C72" s="254">
        <v>300</v>
      </c>
      <c r="D72" s="255">
        <v>12.5352</v>
      </c>
      <c r="E72" s="255">
        <v>13.92</v>
      </c>
      <c r="F72" s="255">
        <f t="shared" si="6"/>
        <v>415.44000000000005</v>
      </c>
      <c r="G72" s="255">
        <f t="shared" si="7"/>
        <v>3760.56</v>
      </c>
      <c r="H72" s="269">
        <f t="shared" si="8"/>
        <v>0.11047290829025466</v>
      </c>
      <c r="I72" s="255"/>
    </row>
    <row r="73" spans="2:31" x14ac:dyDescent="0.25">
      <c r="B73" s="259">
        <v>42575</v>
      </c>
      <c r="C73" s="254">
        <v>300</v>
      </c>
      <c r="D73" s="255">
        <v>12.5352</v>
      </c>
      <c r="E73" s="255">
        <v>13.82</v>
      </c>
      <c r="F73" s="255">
        <f t="shared" si="6"/>
        <v>385.44000000000017</v>
      </c>
      <c r="G73" s="255">
        <f t="shared" si="7"/>
        <v>3760.56</v>
      </c>
      <c r="H73" s="269">
        <f t="shared" si="8"/>
        <v>0.10249537302954884</v>
      </c>
      <c r="I73" s="255"/>
    </row>
    <row r="74" spans="2:31" x14ac:dyDescent="0.25">
      <c r="B74" s="259">
        <v>42577</v>
      </c>
      <c r="C74" s="254">
        <v>250</v>
      </c>
      <c r="D74" s="255">
        <v>12.286300000000001</v>
      </c>
      <c r="E74" s="255">
        <v>13.86</v>
      </c>
      <c r="F74" s="255">
        <f t="shared" si="6"/>
        <v>393.42499999999967</v>
      </c>
      <c r="G74" s="255">
        <f t="shared" si="7"/>
        <v>3071.5750000000003</v>
      </c>
      <c r="H74" s="269">
        <f t="shared" si="8"/>
        <v>0.12808575405126024</v>
      </c>
      <c r="I74" s="565" t="s">
        <v>255</v>
      </c>
    </row>
    <row r="75" spans="2:31" x14ac:dyDescent="0.25">
      <c r="B75" s="259">
        <v>42579</v>
      </c>
      <c r="C75" s="254">
        <v>250</v>
      </c>
      <c r="D75" s="255">
        <v>12.286300000000001</v>
      </c>
      <c r="E75" s="255">
        <v>12.71</v>
      </c>
      <c r="F75" s="255">
        <f t="shared" si="6"/>
        <v>105.92500000000004</v>
      </c>
      <c r="G75" s="255">
        <f t="shared" si="7"/>
        <v>3071.5750000000003</v>
      </c>
      <c r="H75" s="269">
        <f t="shared" si="8"/>
        <v>3.4485565223053335E-2</v>
      </c>
      <c r="I75" s="255"/>
    </row>
    <row r="76" spans="2:31" x14ac:dyDescent="0.25">
      <c r="B76" s="259">
        <v>42585</v>
      </c>
      <c r="C76" s="254">
        <v>250</v>
      </c>
      <c r="D76" s="255">
        <v>12.286300000000001</v>
      </c>
      <c r="E76" s="255">
        <v>11.94</v>
      </c>
      <c r="F76" s="255">
        <f t="shared" si="6"/>
        <v>-86.575000000000287</v>
      </c>
      <c r="G76" s="255">
        <f t="shared" si="7"/>
        <v>3071.5750000000003</v>
      </c>
      <c r="H76" s="269">
        <f t="shared" si="8"/>
        <v>-2.8185865557572347E-2</v>
      </c>
      <c r="I76" s="255"/>
    </row>
    <row r="77" spans="2:31" x14ac:dyDescent="0.25">
      <c r="B77" s="259">
        <v>42593</v>
      </c>
      <c r="C77" s="254">
        <v>250</v>
      </c>
      <c r="D77" s="255">
        <v>12.286300000000001</v>
      </c>
      <c r="E77" s="255">
        <v>12.25</v>
      </c>
      <c r="F77" s="255">
        <f t="shared" si="6"/>
        <v>-9.0750000000001663</v>
      </c>
      <c r="G77" s="255">
        <f t="shared" si="7"/>
        <v>3071.5750000000003</v>
      </c>
      <c r="H77" s="269">
        <f t="shared" si="8"/>
        <v>-2.9545103082295452E-3</v>
      </c>
      <c r="I77" s="255"/>
    </row>
    <row r="78" spans="2:31" x14ac:dyDescent="0.25">
      <c r="B78" s="259">
        <v>42597</v>
      </c>
      <c r="C78" s="254">
        <v>250</v>
      </c>
      <c r="D78" s="255">
        <v>12.286300000000001</v>
      </c>
      <c r="E78" s="255">
        <v>12.43</v>
      </c>
      <c r="F78" s="255">
        <f t="shared" si="6"/>
        <v>35.924999999999763</v>
      </c>
      <c r="G78" s="255">
        <f t="shared" si="7"/>
        <v>3071.5750000000003</v>
      </c>
      <c r="H78" s="269">
        <f t="shared" si="8"/>
        <v>1.1695954030098488E-2</v>
      </c>
      <c r="I78" s="255"/>
    </row>
    <row r="79" spans="2:31" x14ac:dyDescent="0.25">
      <c r="B79" s="259">
        <v>42600</v>
      </c>
      <c r="C79" s="254">
        <v>250</v>
      </c>
      <c r="D79" s="255">
        <v>12.286300000000001</v>
      </c>
      <c r="E79" s="255">
        <v>12.33</v>
      </c>
      <c r="F79" s="255">
        <f t="shared" si="6"/>
        <v>10.924999999999851</v>
      </c>
      <c r="G79" s="255">
        <f t="shared" si="7"/>
        <v>3071.5750000000003</v>
      </c>
      <c r="H79" s="269">
        <f t="shared" si="8"/>
        <v>3.5568071754718184E-3</v>
      </c>
      <c r="I79" s="255"/>
    </row>
    <row r="80" spans="2:31" x14ac:dyDescent="0.25">
      <c r="B80" s="259">
        <v>42601</v>
      </c>
      <c r="C80" s="254">
        <v>250</v>
      </c>
      <c r="D80" s="255">
        <v>12.286300000000001</v>
      </c>
      <c r="E80" s="255">
        <v>12.39</v>
      </c>
      <c r="F80" s="255">
        <f t="shared" si="6"/>
        <v>25.924999999999976</v>
      </c>
      <c r="G80" s="255">
        <f t="shared" si="7"/>
        <v>3071.5750000000003</v>
      </c>
      <c r="H80" s="269">
        <f t="shared" si="8"/>
        <v>8.4402952882478774E-3</v>
      </c>
      <c r="I80" s="255"/>
    </row>
    <row r="81" spans="2:9" x14ac:dyDescent="0.25">
      <c r="B81" s="259">
        <v>42604</v>
      </c>
      <c r="C81" s="254">
        <v>250</v>
      </c>
      <c r="D81" s="255">
        <v>12.286300000000001</v>
      </c>
      <c r="E81" s="255">
        <v>12.36</v>
      </c>
      <c r="F81" s="255">
        <f t="shared" si="6"/>
        <v>18.424999999999692</v>
      </c>
      <c r="G81" s="255">
        <f t="shared" si="7"/>
        <v>3071.5750000000003</v>
      </c>
      <c r="H81" s="269">
        <f t="shared" si="8"/>
        <v>5.9985512318597757E-3</v>
      </c>
      <c r="I81" s="255"/>
    </row>
    <row r="82" spans="2:9" x14ac:dyDescent="0.25">
      <c r="B82" s="259">
        <v>42607</v>
      </c>
      <c r="C82" s="254">
        <v>250</v>
      </c>
      <c r="D82" s="255">
        <v>12.286300000000001</v>
      </c>
      <c r="E82" s="255">
        <v>12.47</v>
      </c>
      <c r="F82" s="255">
        <f t="shared" si="6"/>
        <v>45.924999999999997</v>
      </c>
      <c r="G82" s="255">
        <f t="shared" si="7"/>
        <v>3071.5750000000003</v>
      </c>
      <c r="H82" s="269">
        <f t="shared" si="8"/>
        <v>1.4951612771949242E-2</v>
      </c>
      <c r="I82" s="255"/>
    </row>
    <row r="83" spans="2:9" x14ac:dyDescent="0.25">
      <c r="B83" s="259">
        <v>42615</v>
      </c>
      <c r="C83" s="254">
        <v>250</v>
      </c>
      <c r="D83" s="255">
        <v>12.106299999999999</v>
      </c>
      <c r="E83" s="255">
        <v>12.5</v>
      </c>
      <c r="F83" s="255">
        <f t="shared" si="6"/>
        <v>98.42500000000021</v>
      </c>
      <c r="G83" s="255">
        <f t="shared" si="7"/>
        <v>3026.5749999999998</v>
      </c>
      <c r="H83" s="269">
        <f t="shared" si="8"/>
        <v>3.252025804746296E-2</v>
      </c>
      <c r="I83" s="413" t="s">
        <v>266</v>
      </c>
    </row>
    <row r="84" spans="2:9" x14ac:dyDescent="0.25">
      <c r="B84" s="259">
        <v>42620</v>
      </c>
      <c r="C84" s="254">
        <v>150</v>
      </c>
      <c r="D84" s="255">
        <v>11.7141</v>
      </c>
      <c r="E84" s="255">
        <v>12.7</v>
      </c>
      <c r="F84" s="255">
        <f t="shared" si="6"/>
        <v>147.88499999999988</v>
      </c>
      <c r="G84" s="255">
        <f t="shared" si="7"/>
        <v>1757.115</v>
      </c>
      <c r="H84" s="269">
        <f t="shared" si="8"/>
        <v>8.4163529421807826E-2</v>
      </c>
      <c r="I84" s="255"/>
    </row>
    <row r="85" spans="2:9" x14ac:dyDescent="0.25">
      <c r="B85" s="259">
        <v>42621</v>
      </c>
      <c r="C85" s="254">
        <v>150</v>
      </c>
      <c r="D85" s="255">
        <v>11.7141</v>
      </c>
      <c r="E85" s="255">
        <v>12.73</v>
      </c>
      <c r="F85" s="255">
        <f t="shared" si="6"/>
        <v>152.38500000000005</v>
      </c>
      <c r="G85" s="255">
        <f t="shared" si="7"/>
        <v>1757.115</v>
      </c>
      <c r="H85" s="269">
        <f t="shared" si="8"/>
        <v>8.6724545633040537E-2</v>
      </c>
      <c r="I85" s="255"/>
    </row>
    <row r="86" spans="2:9" x14ac:dyDescent="0.25">
      <c r="B86" s="259">
        <v>42622</v>
      </c>
      <c r="C86" s="254">
        <v>150</v>
      </c>
      <c r="D86" s="255">
        <v>11.7141</v>
      </c>
      <c r="E86" s="255">
        <v>12.38</v>
      </c>
      <c r="F86" s="255">
        <f t="shared" si="6"/>
        <v>99.88500000000009</v>
      </c>
      <c r="G86" s="255">
        <f t="shared" si="7"/>
        <v>1757.115</v>
      </c>
      <c r="H86" s="269">
        <f t="shared" si="8"/>
        <v>5.684602316866004E-2</v>
      </c>
      <c r="I86" s="255"/>
    </row>
    <row r="87" spans="2:9" x14ac:dyDescent="0.25">
      <c r="B87" s="259">
        <v>42625</v>
      </c>
      <c r="C87" s="254">
        <v>150</v>
      </c>
      <c r="D87" s="255">
        <v>11.7141</v>
      </c>
      <c r="E87" s="255">
        <v>12.7</v>
      </c>
      <c r="F87" s="255">
        <f t="shared" si="6"/>
        <v>147.88499999999988</v>
      </c>
      <c r="G87" s="255">
        <f t="shared" si="7"/>
        <v>1757.115</v>
      </c>
      <c r="H87" s="269">
        <f t="shared" si="8"/>
        <v>8.4163529421807826E-2</v>
      </c>
      <c r="I87" s="255"/>
    </row>
    <row r="88" spans="2:9" x14ac:dyDescent="0.25">
      <c r="B88" s="259">
        <v>42627</v>
      </c>
      <c r="C88" s="254">
        <v>250</v>
      </c>
      <c r="D88" s="255">
        <v>11.884399999999999</v>
      </c>
      <c r="E88" s="255">
        <v>12.14</v>
      </c>
      <c r="F88" s="255">
        <f t="shared" si="6"/>
        <v>63.90000000000029</v>
      </c>
      <c r="G88" s="255">
        <f t="shared" si="7"/>
        <v>2971.1</v>
      </c>
      <c r="H88" s="269">
        <f t="shared" si="8"/>
        <v>2.1507185890747633E-2</v>
      </c>
      <c r="I88" s="413" t="s">
        <v>280</v>
      </c>
    </row>
    <row r="89" spans="2:9" x14ac:dyDescent="0.25">
      <c r="B89" s="259">
        <v>42648</v>
      </c>
      <c r="C89" s="254">
        <v>250</v>
      </c>
      <c r="D89" s="255">
        <v>11.884399999999999</v>
      </c>
      <c r="E89" s="255">
        <v>12.48</v>
      </c>
      <c r="F89" s="255">
        <f t="shared" si="6"/>
        <v>148.90000000000026</v>
      </c>
      <c r="G89" s="255">
        <f t="shared" si="7"/>
        <v>2971.1</v>
      </c>
      <c r="H89" s="269">
        <f t="shared" si="8"/>
        <v>5.0116118609269379E-2</v>
      </c>
      <c r="I89" s="255"/>
    </row>
    <row r="90" spans="2:9" x14ac:dyDescent="0.25">
      <c r="B90" s="259">
        <v>42649</v>
      </c>
      <c r="C90" s="254">
        <v>250</v>
      </c>
      <c r="D90" s="255">
        <v>11.884399999999999</v>
      </c>
      <c r="E90" s="255">
        <v>12.39</v>
      </c>
      <c r="F90" s="255">
        <f t="shared" si="6"/>
        <v>126.40000000000029</v>
      </c>
      <c r="G90" s="255">
        <f t="shared" si="7"/>
        <v>2971.1</v>
      </c>
      <c r="H90" s="269">
        <f t="shared" si="8"/>
        <v>4.2543165830837164E-2</v>
      </c>
      <c r="I90" s="255"/>
    </row>
    <row r="91" spans="2:9" x14ac:dyDescent="0.25">
      <c r="B91" s="259">
        <v>42668</v>
      </c>
      <c r="C91" s="254">
        <v>250</v>
      </c>
      <c r="D91" s="255">
        <v>11.884399999999999</v>
      </c>
      <c r="E91" s="255">
        <v>11.85</v>
      </c>
      <c r="F91" s="255">
        <f t="shared" si="6"/>
        <v>-8.599999999999941</v>
      </c>
      <c r="G91" s="255">
        <f t="shared" si="7"/>
        <v>2971.1</v>
      </c>
      <c r="H91" s="269">
        <f t="shared" si="8"/>
        <v>-2.8945508397562993E-3</v>
      </c>
      <c r="I91" s="255"/>
    </row>
    <row r="92" spans="2:9" x14ac:dyDescent="0.25">
      <c r="B92" s="259">
        <v>42670</v>
      </c>
      <c r="C92" s="254">
        <v>450</v>
      </c>
      <c r="D92" s="255">
        <v>11.7936</v>
      </c>
      <c r="E92" s="255">
        <v>11.74</v>
      </c>
      <c r="F92" s="255">
        <f t="shared" si="6"/>
        <v>-24.119999999999742</v>
      </c>
      <c r="G92" s="255">
        <f t="shared" si="7"/>
        <v>5307.12</v>
      </c>
      <c r="H92" s="269">
        <f t="shared" si="8"/>
        <v>-4.5448378781711629E-3</v>
      </c>
      <c r="I92" s="255"/>
    </row>
    <row r="93" spans="2:9" x14ac:dyDescent="0.25">
      <c r="B93" s="259">
        <v>42676</v>
      </c>
      <c r="C93" s="254">
        <v>450</v>
      </c>
      <c r="D93" s="255">
        <v>11.7936</v>
      </c>
      <c r="E93" s="255">
        <v>11.4</v>
      </c>
      <c r="F93" s="255">
        <f t="shared" si="6"/>
        <v>-177.11999999999966</v>
      </c>
      <c r="G93" s="255">
        <f t="shared" si="7"/>
        <v>5307.12</v>
      </c>
      <c r="H93" s="269">
        <f t="shared" si="8"/>
        <v>-3.3374033374033316E-2</v>
      </c>
      <c r="I93" s="255"/>
    </row>
    <row r="94" spans="2:9" x14ac:dyDescent="0.25">
      <c r="B94" s="259">
        <v>42701</v>
      </c>
      <c r="C94" s="254">
        <v>200</v>
      </c>
      <c r="D94" s="255">
        <v>11.610900000000001</v>
      </c>
      <c r="E94" s="255">
        <v>12.04</v>
      </c>
      <c r="F94" s="255">
        <f t="shared" si="6"/>
        <v>85.819999999999652</v>
      </c>
      <c r="G94" s="255">
        <f t="shared" si="7"/>
        <v>2322.1800000000003</v>
      </c>
      <c r="H94" s="269">
        <f t="shared" si="8"/>
        <v>3.6956652800385695E-2</v>
      </c>
      <c r="I94" s="255"/>
    </row>
    <row r="95" spans="2:9" x14ac:dyDescent="0.25">
      <c r="B95" s="259">
        <v>42706</v>
      </c>
      <c r="C95" s="254">
        <v>200</v>
      </c>
      <c r="D95" s="255">
        <v>11.423400000000001</v>
      </c>
      <c r="E95" s="255">
        <v>12.24</v>
      </c>
      <c r="F95" s="255">
        <f t="shared" si="6"/>
        <v>163.31999999999988</v>
      </c>
      <c r="G95" s="255">
        <f t="shared" si="7"/>
        <v>2284.6800000000003</v>
      </c>
      <c r="H95" s="269">
        <f t="shared" si="8"/>
        <v>7.1484846893219114E-2</v>
      </c>
      <c r="I95" s="255"/>
    </row>
    <row r="96" spans="2:9" x14ac:dyDescent="0.25">
      <c r="B96" s="259">
        <v>42711</v>
      </c>
      <c r="C96" s="254">
        <v>0</v>
      </c>
      <c r="D96" s="255"/>
      <c r="E96" s="255"/>
      <c r="F96" s="255">
        <v>251.26</v>
      </c>
      <c r="G96" s="255"/>
      <c r="H96" s="269"/>
      <c r="I96" s="255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8">
        <f>(E99-D99)/D99</f>
        <v>7.6335877862595486E-3</v>
      </c>
      <c r="I99" s="39"/>
    </row>
    <row r="100" spans="2:9" x14ac:dyDescent="0.25">
      <c r="B100" s="188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8">
        <f>(E100-D100)/D100</f>
        <v>8.3969465648854866E-2</v>
      </c>
      <c r="I100" s="39">
        <v>10</v>
      </c>
    </row>
    <row r="101" spans="2:9" x14ac:dyDescent="0.25">
      <c r="B101" s="188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435" priority="31">
      <formula>Q7&gt;0</formula>
    </cfRule>
    <cfRule type="expression" dxfId="1434" priority="32">
      <formula>Q7&lt;0</formula>
    </cfRule>
  </conditionalFormatting>
  <conditionalFormatting sqref="Q8">
    <cfRule type="expression" dxfId="1433" priority="29">
      <formula>Q8&gt;0</formula>
    </cfRule>
    <cfRule type="expression" dxfId="1432" priority="30">
      <formula>Q8&lt;0</formula>
    </cfRule>
  </conditionalFormatting>
  <conditionalFormatting sqref="F62:F65">
    <cfRule type="expression" dxfId="1431" priority="21">
      <formula>F62&gt;0</formula>
    </cfRule>
    <cfRule type="expression" dxfId="1430" priority="22">
      <formula>F62&lt;0</formula>
    </cfRule>
  </conditionalFormatting>
  <conditionalFormatting sqref="F66:F74 F78:F98 F102:F106">
    <cfRule type="expression" dxfId="1429" priority="17">
      <formula>F66&gt;0</formula>
    </cfRule>
    <cfRule type="expression" dxfId="1428" priority="18">
      <formula>F66&lt;0</formula>
    </cfRule>
  </conditionalFormatting>
  <conditionalFormatting sqref="F66:F74 F78:F98 F102:F106">
    <cfRule type="expression" dxfId="1427" priority="19">
      <formula>F66&gt;0</formula>
    </cfRule>
    <cfRule type="expression" dxfId="1426" priority="20">
      <formula>F66&lt;0</formula>
    </cfRule>
  </conditionalFormatting>
  <conditionalFormatting sqref="H62:H74 H78:H98 H102:H106">
    <cfRule type="expression" dxfId="1425" priority="15">
      <formula>H62&gt;0</formula>
    </cfRule>
    <cfRule type="expression" dxfId="1424" priority="16">
      <formula>H62&lt;0</formula>
    </cfRule>
  </conditionalFormatting>
  <conditionalFormatting sqref="F57:F61">
    <cfRule type="expression" dxfId="1423" priority="13">
      <formula>F57&gt;0</formula>
    </cfRule>
    <cfRule type="expression" dxfId="1422" priority="14">
      <formula>F57&lt;0</formula>
    </cfRule>
  </conditionalFormatting>
  <conditionalFormatting sqref="H57:H61">
    <cfRule type="expression" dxfId="1421" priority="11">
      <formula>H57&gt;0</formula>
    </cfRule>
    <cfRule type="expression" dxfId="1420" priority="12">
      <formula>H57&lt;0</formula>
    </cfRule>
  </conditionalFormatting>
  <conditionalFormatting sqref="F75:F77">
    <cfRule type="expression" dxfId="1419" priority="7">
      <formula>F75&gt;0</formula>
    </cfRule>
    <cfRule type="expression" dxfId="1418" priority="8">
      <formula>F75&lt;0</formula>
    </cfRule>
  </conditionalFormatting>
  <conditionalFormatting sqref="F75:F77">
    <cfRule type="expression" dxfId="1417" priority="9">
      <formula>F75&gt;0</formula>
    </cfRule>
    <cfRule type="expression" dxfId="1416" priority="10">
      <formula>F75&lt;0</formula>
    </cfRule>
  </conditionalFormatting>
  <conditionalFormatting sqref="H75:H77">
    <cfRule type="expression" dxfId="1415" priority="5">
      <formula>H75&gt;0</formula>
    </cfRule>
    <cfRule type="expression" dxfId="1414" priority="6">
      <formula>H75&lt;0</formula>
    </cfRule>
  </conditionalFormatting>
  <conditionalFormatting sqref="F22:F30">
    <cfRule type="expression" dxfId="1413" priority="3">
      <formula>F22&gt;0</formula>
    </cfRule>
    <cfRule type="expression" dxfId="1412" priority="4">
      <formula>F22&lt;0</formula>
    </cfRule>
  </conditionalFormatting>
  <conditionalFormatting sqref="F99:F101">
    <cfRule type="expression" dxfId="1411" priority="1">
      <formula>F99&gt;0</formula>
    </cfRule>
    <cfRule type="expression" dxfId="1410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273</v>
      </c>
      <c r="B2" s="489"/>
      <c r="C2" s="4"/>
      <c r="D2" s="3"/>
      <c r="E2" s="3"/>
      <c r="F2" s="3"/>
      <c r="G2" s="489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0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3">
        <v>5515700</v>
      </c>
      <c r="AC2" s="10">
        <v>124.8</v>
      </c>
      <c r="AD2" s="2">
        <f>Y2-Z2</f>
        <v>1.1899999999999977</v>
      </c>
      <c r="AE2" s="134">
        <f>AC2/AC3-1</f>
        <v>9.6246390760335032E-4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129.53</v>
      </c>
      <c r="T3" s="1" t="s">
        <v>241</v>
      </c>
      <c r="W3" s="130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3">
        <v>5318500</v>
      </c>
      <c r="AC3" s="10">
        <v>124.68</v>
      </c>
      <c r="AD3" s="2">
        <f t="shared" ref="AD3:AD66" si="0">Y3-Z3</f>
        <v>0.54999999999999716</v>
      </c>
      <c r="AE3" s="134">
        <f t="shared" ref="AE3:AE66" si="1">AC3/AC4-1</f>
        <v>-8.0198893255167825E-5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129.53</v>
      </c>
      <c r="R4" s="487">
        <v>2.52E-2</v>
      </c>
      <c r="T4" s="159"/>
      <c r="U4" s="1"/>
      <c r="W4" s="130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3">
        <v>4956400</v>
      </c>
      <c r="AC4" s="10">
        <v>124.69</v>
      </c>
      <c r="AD4" s="2">
        <f t="shared" si="0"/>
        <v>1.0300000000000011</v>
      </c>
      <c r="AE4" s="134">
        <f t="shared" si="1"/>
        <v>1.1240465676434219E-3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3">
        <v>5649900</v>
      </c>
      <c r="AC5" s="10">
        <v>124.55</v>
      </c>
      <c r="AD5" s="2">
        <f t="shared" si="0"/>
        <v>0.79999999999999716</v>
      </c>
      <c r="AE5" s="134">
        <f t="shared" si="1"/>
        <v>-8.8240012834905901E-4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3">
        <v>4670200</v>
      </c>
      <c r="AC6" s="10">
        <v>124.66</v>
      </c>
      <c r="AD6" s="2">
        <f t="shared" si="0"/>
        <v>1.1500000000000057</v>
      </c>
      <c r="AE6" s="134">
        <f t="shared" si="1"/>
        <v>-2.0813320525135959E-3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154.77999999999975</v>
      </c>
      <c r="R7">
        <v>0</v>
      </c>
      <c r="W7" s="130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3">
        <v>3895400</v>
      </c>
      <c r="AC7" s="10">
        <v>124.92</v>
      </c>
      <c r="AD7" s="2">
        <f t="shared" si="0"/>
        <v>0.96999999999999886</v>
      </c>
      <c r="AE7" s="134">
        <f t="shared" si="1"/>
        <v>-5.8889065732929957E-3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3">
        <v>5231500</v>
      </c>
      <c r="AC8" s="10">
        <v>125.66</v>
      </c>
      <c r="AD8" s="2">
        <f t="shared" si="0"/>
        <v>1</v>
      </c>
      <c r="AE8" s="134">
        <f t="shared" si="1"/>
        <v>-1.1128775834657878E-3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3">
        <v>4989900</v>
      </c>
      <c r="AC9" s="10">
        <v>125.8</v>
      </c>
      <c r="AD9" s="2">
        <f t="shared" si="0"/>
        <v>0.98999999999999488</v>
      </c>
      <c r="AE9" s="134">
        <f t="shared" si="1"/>
        <v>2.5502072043352975E-3</v>
      </c>
    </row>
    <row r="10" spans="1:31" x14ac:dyDescent="0.25">
      <c r="G10" s="29"/>
      <c r="H10" s="70"/>
      <c r="O10" s="11" t="s">
        <v>209</v>
      </c>
      <c r="P10" s="33"/>
      <c r="Q10" s="2">
        <f>M74</f>
        <v>154.77999999999975</v>
      </c>
      <c r="W10" s="130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3">
        <v>6405700</v>
      </c>
      <c r="AC10" s="10">
        <v>125.48</v>
      </c>
      <c r="AD10" s="2">
        <f t="shared" si="0"/>
        <v>1.230000000000004</v>
      </c>
      <c r="AE10" s="134">
        <f t="shared" si="1"/>
        <v>-3.3359809372518479E-3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  <c r="W11" s="130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3">
        <v>8489100</v>
      </c>
      <c r="AC11" s="10">
        <v>125.9</v>
      </c>
      <c r="AD11" s="2">
        <f t="shared" si="0"/>
        <v>1.3400000000000034</v>
      </c>
      <c r="AE11" s="134">
        <f t="shared" si="1"/>
        <v>-2.8512593061935654E-3</v>
      </c>
    </row>
    <row r="12" spans="1:31" x14ac:dyDescent="0.25">
      <c r="G12" s="29"/>
      <c r="H12" s="70"/>
      <c r="W12" s="130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3">
        <v>10204600</v>
      </c>
      <c r="AC12" s="10">
        <v>126.26</v>
      </c>
      <c r="AD12" s="2">
        <f t="shared" si="0"/>
        <v>1.4400000000000119</v>
      </c>
      <c r="AE12" s="134">
        <f t="shared" si="1"/>
        <v>-7.7799607072691623E-3</v>
      </c>
    </row>
    <row r="13" spans="1:31" x14ac:dyDescent="0.25">
      <c r="G13" s="29"/>
      <c r="H13" s="70"/>
      <c r="W13" s="130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3">
        <v>7526800</v>
      </c>
      <c r="AC13" s="10">
        <v>127.25</v>
      </c>
      <c r="AD13" s="2">
        <f t="shared" si="0"/>
        <v>1.3099999999999881</v>
      </c>
      <c r="AE13" s="134">
        <f t="shared" si="1"/>
        <v>-6.4027484969156889E-3</v>
      </c>
    </row>
    <row r="14" spans="1:31" x14ac:dyDescent="0.25">
      <c r="G14" s="29"/>
      <c r="H14" s="70"/>
      <c r="W14" s="130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3">
        <v>5378100</v>
      </c>
      <c r="AC14" s="10">
        <v>128.07</v>
      </c>
      <c r="AD14" s="2">
        <f t="shared" si="0"/>
        <v>0.44999999999998863</v>
      </c>
      <c r="AE14" s="134">
        <f t="shared" si="1"/>
        <v>7.808839606426865E-5</v>
      </c>
    </row>
    <row r="15" spans="1:31" x14ac:dyDescent="0.25">
      <c r="G15" s="29"/>
      <c r="H15" s="70"/>
      <c r="W15" s="130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3">
        <v>13193000</v>
      </c>
      <c r="AC15" s="10">
        <v>128.06</v>
      </c>
      <c r="AD15" s="2">
        <f t="shared" si="0"/>
        <v>0.98999999999999488</v>
      </c>
      <c r="AE15" s="134">
        <f t="shared" si="1"/>
        <v>-3.1138097462245495E-3</v>
      </c>
    </row>
    <row r="16" spans="1:31" x14ac:dyDescent="0.25">
      <c r="G16" s="29"/>
      <c r="H16" s="70"/>
      <c r="W16" s="130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3">
        <v>7575200</v>
      </c>
      <c r="AC16" s="10">
        <v>128.46</v>
      </c>
      <c r="AD16" s="2">
        <f t="shared" si="0"/>
        <v>0.92999999999999261</v>
      </c>
      <c r="AE16" s="134">
        <f t="shared" si="1"/>
        <v>-3.8771712158809368E-3</v>
      </c>
    </row>
    <row r="17" spans="1:31" x14ac:dyDescent="0.25">
      <c r="G17" s="29"/>
      <c r="W17" s="130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3">
        <v>8207200</v>
      </c>
      <c r="AC17" s="10">
        <v>128.96</v>
      </c>
      <c r="AD17" s="2">
        <f t="shared" si="0"/>
        <v>2.4000000000000057</v>
      </c>
      <c r="AE17" s="134">
        <f t="shared" si="1"/>
        <v>1.5033451397087783E-2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3">
        <v>7598700</v>
      </c>
      <c r="AC18" s="10">
        <v>127.05</v>
      </c>
      <c r="AD18" s="2">
        <f t="shared" si="0"/>
        <v>0.98000000000000398</v>
      </c>
      <c r="AE18" s="134">
        <f t="shared" si="1"/>
        <v>2.9207451847172994E-3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3">
        <v>7002300</v>
      </c>
      <c r="AC19" s="10">
        <v>126.68</v>
      </c>
      <c r="AD19" s="2">
        <f t="shared" si="0"/>
        <v>1.1599999999999966</v>
      </c>
      <c r="AE19" s="134">
        <f t="shared" si="1"/>
        <v>3.723952143253495E-3</v>
      </c>
    </row>
    <row r="20" spans="1:31" x14ac:dyDescent="0.25">
      <c r="W20" s="130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3">
        <v>7388500</v>
      </c>
      <c r="AC20" s="10">
        <v>126.21</v>
      </c>
      <c r="AD20" s="2">
        <f t="shared" si="0"/>
        <v>0.94999999999998863</v>
      </c>
      <c r="AE20" s="134">
        <f t="shared" si="1"/>
        <v>2.0643112346168113E-3</v>
      </c>
    </row>
    <row r="21" spans="1:31" x14ac:dyDescent="0.25">
      <c r="W21" s="130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3">
        <v>8547100</v>
      </c>
      <c r="AC21" s="10">
        <v>125.95</v>
      </c>
      <c r="AD21" s="2">
        <f t="shared" si="0"/>
        <v>2.039999999999992</v>
      </c>
      <c r="AE21" s="134">
        <f t="shared" si="1"/>
        <v>1.4907332796132211E-2</v>
      </c>
    </row>
    <row r="22" spans="1:31" x14ac:dyDescent="0.25">
      <c r="W22" s="130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3">
        <v>7879100</v>
      </c>
      <c r="AC22" s="10">
        <v>124.1</v>
      </c>
      <c r="AD22" s="2">
        <f t="shared" si="0"/>
        <v>1.1800000000000068</v>
      </c>
      <c r="AE22" s="134">
        <f t="shared" si="1"/>
        <v>2.180408624727459E-3</v>
      </c>
    </row>
    <row r="23" spans="1:31" x14ac:dyDescent="0.25">
      <c r="W23" s="130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3">
        <v>6508200</v>
      </c>
      <c r="AC23" s="10">
        <v>123.83</v>
      </c>
      <c r="AD23" s="2">
        <f t="shared" si="0"/>
        <v>2.0699999999999932</v>
      </c>
      <c r="AE23" s="134">
        <f t="shared" si="1"/>
        <v>9.7001050844713887E-4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3">
        <v>6657000</v>
      </c>
      <c r="AC24" s="10">
        <v>123.71</v>
      </c>
      <c r="AD24" s="2">
        <f t="shared" si="0"/>
        <v>1.8300000000000125</v>
      </c>
      <c r="AE24" s="134">
        <f t="shared" si="1"/>
        <v>-6.4625575571541916E-4</v>
      </c>
    </row>
    <row r="25" spans="1:31" x14ac:dyDescent="0.25">
      <c r="A25" s="4"/>
      <c r="B25" s="153"/>
      <c r="C25" s="10"/>
      <c r="D25" s="39"/>
      <c r="E25" s="39"/>
      <c r="F25" s="39"/>
      <c r="G25" s="39"/>
      <c r="H25" s="226"/>
      <c r="I25" s="39"/>
      <c r="W25" s="130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3">
        <v>5585200</v>
      </c>
      <c r="AC25" s="10">
        <v>123.79</v>
      </c>
      <c r="AD25" s="2">
        <f t="shared" si="0"/>
        <v>0.70000000000000284</v>
      </c>
      <c r="AE25" s="134">
        <f t="shared" si="1"/>
        <v>1.2941842594840214E-3</v>
      </c>
    </row>
    <row r="26" spans="1:31" x14ac:dyDescent="0.25">
      <c r="A26" s="4"/>
      <c r="B26" s="153"/>
      <c r="C26" s="10"/>
      <c r="D26" s="39"/>
      <c r="E26" s="39"/>
      <c r="F26" s="39"/>
      <c r="G26" s="39"/>
      <c r="H26" s="226"/>
      <c r="I26" s="39"/>
      <c r="W26" s="130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3">
        <v>6950200</v>
      </c>
      <c r="AC26" s="10">
        <v>123.63</v>
      </c>
      <c r="AD26" s="2">
        <f t="shared" si="0"/>
        <v>1.3400000000000034</v>
      </c>
      <c r="AE26" s="134">
        <f t="shared" si="1"/>
        <v>-1.8569352494752778E-3</v>
      </c>
    </row>
    <row r="27" spans="1:31" x14ac:dyDescent="0.25">
      <c r="A27" s="4"/>
      <c r="B27" s="153"/>
      <c r="C27" s="10"/>
      <c r="D27" s="39"/>
      <c r="E27" s="39"/>
      <c r="F27" s="39"/>
      <c r="G27" s="39"/>
      <c r="H27" s="226"/>
      <c r="I27" s="39"/>
      <c r="W27" s="130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3">
        <v>9393900</v>
      </c>
      <c r="AC27" s="10">
        <v>123.86</v>
      </c>
      <c r="AD27" s="2">
        <f t="shared" si="0"/>
        <v>2.0300000000000011</v>
      </c>
      <c r="AE27" s="134">
        <f t="shared" si="1"/>
        <v>1.3501350135013634E-2</v>
      </c>
    </row>
    <row r="28" spans="1:31" x14ac:dyDescent="0.25">
      <c r="A28" s="4"/>
      <c r="B28" s="153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3">
        <v>8885500</v>
      </c>
      <c r="AC28" s="10">
        <v>122.21</v>
      </c>
      <c r="AD28" s="2">
        <f t="shared" si="0"/>
        <v>0.71000000000000796</v>
      </c>
      <c r="AE28" s="134">
        <f t="shared" si="1"/>
        <v>-1.5522875816994519E-3</v>
      </c>
    </row>
    <row r="29" spans="1:31" x14ac:dyDescent="0.25">
      <c r="A29" s="4"/>
      <c r="B29" s="153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3">
        <v>5946200</v>
      </c>
      <c r="AC29" s="10">
        <v>122.4</v>
      </c>
      <c r="AD29" s="2">
        <f t="shared" si="0"/>
        <v>0.78000000000000114</v>
      </c>
      <c r="AE29" s="134">
        <f t="shared" si="1"/>
        <v>-2.6888291371303108E-3</v>
      </c>
    </row>
    <row r="30" spans="1:31" x14ac:dyDescent="0.25">
      <c r="A30" s="4"/>
      <c r="B30" s="153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3">
        <v>10835000</v>
      </c>
      <c r="AC30" s="10">
        <v>122.73</v>
      </c>
      <c r="AD30" s="2">
        <f t="shared" si="0"/>
        <v>1.8399999999999892</v>
      </c>
      <c r="AE30" s="134" t="e">
        <f t="shared" si="1"/>
        <v>#DIV/0!</v>
      </c>
    </row>
    <row r="31" spans="1:31" x14ac:dyDescent="0.25">
      <c r="A31" s="4"/>
      <c r="B31" s="153"/>
      <c r="C31" s="10"/>
      <c r="D31" s="39"/>
      <c r="E31" s="39"/>
      <c r="F31" s="39"/>
      <c r="G31" s="39"/>
      <c r="H31" s="226"/>
      <c r="I31" s="39"/>
      <c r="W31" s="130">
        <v>42790</v>
      </c>
      <c r="X31" s="10" t="s">
        <v>274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A32" s="4"/>
      <c r="B32" s="153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3">
        <v>9980900</v>
      </c>
      <c r="AC32" s="10">
        <v>120.9</v>
      </c>
      <c r="AD32" s="2">
        <f t="shared" si="0"/>
        <v>2.4200000000000017</v>
      </c>
      <c r="AE32" s="134">
        <f t="shared" si="1"/>
        <v>1.8276762402088753E-2</v>
      </c>
    </row>
    <row r="33" spans="1:31" x14ac:dyDescent="0.25">
      <c r="A33" s="4"/>
      <c r="B33" s="153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3">
        <v>5103900</v>
      </c>
      <c r="AC33" s="10">
        <v>118.73</v>
      </c>
      <c r="AD33" s="2">
        <f t="shared" si="0"/>
        <v>0.51999999999999602</v>
      </c>
      <c r="AE33" s="134">
        <f t="shared" si="1"/>
        <v>-1.1777572137628978E-3</v>
      </c>
    </row>
    <row r="34" spans="1:31" x14ac:dyDescent="0.25">
      <c r="A34" s="4"/>
      <c r="B34" s="153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3">
        <v>8595100</v>
      </c>
      <c r="AC34" s="10">
        <v>118.87</v>
      </c>
      <c r="AD34" s="2">
        <f t="shared" si="0"/>
        <v>1.5700000000000074</v>
      </c>
      <c r="AE34" s="134">
        <f t="shared" si="1"/>
        <v>6.6903794037940223E-3</v>
      </c>
    </row>
    <row r="35" spans="1:31" x14ac:dyDescent="0.25">
      <c r="A35" s="4"/>
      <c r="B35" s="153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3">
        <v>8691400</v>
      </c>
      <c r="AC35" s="10">
        <v>118.08</v>
      </c>
      <c r="AD35" s="2">
        <f t="shared" si="0"/>
        <v>0.85000000000000853</v>
      </c>
      <c r="AE35" s="134">
        <f t="shared" si="1"/>
        <v>6.6496163682865372E-3</v>
      </c>
    </row>
    <row r="36" spans="1:31" x14ac:dyDescent="0.25">
      <c r="A36" s="4"/>
      <c r="B36" s="153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3">
        <v>7119300</v>
      </c>
      <c r="AC36" s="10">
        <v>117.3</v>
      </c>
      <c r="AD36" s="2">
        <f t="shared" si="0"/>
        <v>1.2800000000000011</v>
      </c>
      <c r="AE36" s="134">
        <f t="shared" si="1"/>
        <v>7.4723009533623763E-3</v>
      </c>
    </row>
    <row r="37" spans="1:31" x14ac:dyDescent="0.25">
      <c r="B37" s="153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3">
        <v>5979700</v>
      </c>
      <c r="AC37" s="10">
        <v>116.43</v>
      </c>
      <c r="AD37" s="2">
        <f t="shared" si="0"/>
        <v>1.8699999999999903</v>
      </c>
      <c r="AE37" s="134">
        <f t="shared" si="1"/>
        <v>7.1799307958477776E-3</v>
      </c>
    </row>
    <row r="38" spans="1:31" x14ac:dyDescent="0.25">
      <c r="B38" s="153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3">
        <v>5539100</v>
      </c>
      <c r="AC38" s="10">
        <v>115.6</v>
      </c>
      <c r="AD38" s="2">
        <f t="shared" si="0"/>
        <v>1.0800000000000125</v>
      </c>
      <c r="AE38" s="134">
        <f t="shared" si="1"/>
        <v>4.1695621959694229E-3</v>
      </c>
    </row>
    <row r="39" spans="1:31" x14ac:dyDescent="0.25">
      <c r="B39" s="153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3">
        <v>5710800</v>
      </c>
      <c r="AC39" s="10">
        <v>115.12</v>
      </c>
      <c r="AD39" s="2">
        <f t="shared" si="0"/>
        <v>0.90000000000000568</v>
      </c>
      <c r="AE39" s="134">
        <f t="shared" si="1"/>
        <v>5.5904961565338418E-3</v>
      </c>
    </row>
    <row r="40" spans="1:31" ht="20.25" thickBot="1" x14ac:dyDescent="0.35">
      <c r="B40" s="153"/>
      <c r="C40" s="10"/>
      <c r="D40" s="39"/>
      <c r="E40" s="39"/>
      <c r="F40" s="39"/>
      <c r="G40" s="39"/>
      <c r="H40" s="226"/>
      <c r="I40" s="39"/>
      <c r="O40" s="804" t="s">
        <v>78</v>
      </c>
      <c r="P40" s="804"/>
      <c r="W40" s="130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3">
        <v>6438500</v>
      </c>
      <c r="AC40" s="10">
        <v>114.48</v>
      </c>
      <c r="AD40" s="2">
        <f t="shared" si="0"/>
        <v>1.7599999999999909</v>
      </c>
      <c r="AE40" s="134">
        <f t="shared" si="1"/>
        <v>1.0147357275213986E-2</v>
      </c>
    </row>
    <row r="41" spans="1:31" ht="15.75" thickTop="1" x14ac:dyDescent="0.25">
      <c r="B41" s="153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142.483</v>
      </c>
      <c r="Q41" s="2"/>
      <c r="W41" s="130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3">
        <v>5854600</v>
      </c>
      <c r="AC41" s="10">
        <v>113.33</v>
      </c>
      <c r="AD41" s="2">
        <f t="shared" si="0"/>
        <v>1.25</v>
      </c>
      <c r="AE41" s="134">
        <f t="shared" si="1"/>
        <v>6.0363959165556924E-3</v>
      </c>
    </row>
    <row r="42" spans="1:31" ht="20.25" thickBot="1" x14ac:dyDescent="0.35">
      <c r="B42" s="153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141.18770000000001</v>
      </c>
      <c r="Q42" s="2"/>
      <c r="T42" s="89" t="s">
        <v>112</v>
      </c>
      <c r="W42" s="130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3">
        <v>5272000</v>
      </c>
      <c r="AC42" s="10">
        <v>112.65</v>
      </c>
      <c r="AD42" s="2">
        <f t="shared" si="0"/>
        <v>0.53999999999999204</v>
      </c>
      <c r="AE42" s="134">
        <f t="shared" si="1"/>
        <v>-7.096602501551752E-4</v>
      </c>
    </row>
    <row r="43" spans="1:31" ht="15.75" thickTop="1" x14ac:dyDescent="0.25">
      <c r="B43" s="153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139.89240000000001</v>
      </c>
      <c r="Q43" s="2"/>
      <c r="T43" s="125" t="s">
        <v>97</v>
      </c>
      <c r="U43" s="126">
        <v>124.68</v>
      </c>
      <c r="W43" s="130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3">
        <v>5507900</v>
      </c>
      <c r="AC43" s="10">
        <v>112.73</v>
      </c>
      <c r="AD43" s="2">
        <f t="shared" si="0"/>
        <v>0.57000000000000739</v>
      </c>
      <c r="AE43" s="134">
        <f t="shared" si="1"/>
        <v>7.1016422547720559E-4</v>
      </c>
    </row>
    <row r="44" spans="1:31" x14ac:dyDescent="0.25">
      <c r="B44" s="153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138.59710000000001</v>
      </c>
      <c r="Q44" s="2"/>
      <c r="T44" s="91" t="s">
        <v>98</v>
      </c>
      <c r="U44" s="127">
        <v>124.72</v>
      </c>
      <c r="W44" s="130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3">
        <v>6178400</v>
      </c>
      <c r="AC44" s="10">
        <v>112.65</v>
      </c>
      <c r="AD44" s="2">
        <f t="shared" si="0"/>
        <v>0.96999999999999886</v>
      </c>
      <c r="AE44" s="134">
        <f t="shared" si="1"/>
        <v>-2.1259633271325518E-3</v>
      </c>
    </row>
    <row r="45" spans="1:31" x14ac:dyDescent="0.25">
      <c r="B45" s="153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137.30180000000001</v>
      </c>
      <c r="Q45" s="2"/>
      <c r="T45" s="91" t="s">
        <v>99</v>
      </c>
      <c r="U45" s="127" t="s">
        <v>128</v>
      </c>
      <c r="W45" s="130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3">
        <v>7267600</v>
      </c>
      <c r="AC45" s="10">
        <v>112.89</v>
      </c>
      <c r="AD45" s="2">
        <f t="shared" si="0"/>
        <v>1</v>
      </c>
      <c r="AE45" s="134">
        <f t="shared" si="1"/>
        <v>6.2045736571536558E-4</v>
      </c>
    </row>
    <row r="46" spans="1:31" x14ac:dyDescent="0.25">
      <c r="B46" s="153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136.00650000000002</v>
      </c>
      <c r="Q46" s="2"/>
      <c r="T46" s="91" t="s">
        <v>100</v>
      </c>
      <c r="U46" s="127" t="s">
        <v>128</v>
      </c>
      <c r="W46" s="130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3">
        <v>7826300</v>
      </c>
      <c r="AC46" s="10">
        <v>112.82</v>
      </c>
      <c r="AD46" s="2">
        <f t="shared" si="0"/>
        <v>0.85000000000000853</v>
      </c>
      <c r="AE46" s="134">
        <f t="shared" si="1"/>
        <v>2.9335940972530228E-3</v>
      </c>
    </row>
    <row r="47" spans="1:31" x14ac:dyDescent="0.25">
      <c r="B47" s="153"/>
      <c r="C47" s="10"/>
      <c r="D47" s="39"/>
      <c r="E47" s="39"/>
      <c r="F47" s="39"/>
      <c r="G47" s="39"/>
      <c r="H47" s="226"/>
      <c r="I47" s="231"/>
      <c r="O47" s="81">
        <v>1.04</v>
      </c>
      <c r="P47" s="81">
        <f t="shared" si="2"/>
        <v>134.71120000000002</v>
      </c>
      <c r="Q47" s="2"/>
      <c r="T47" s="91" t="s">
        <v>101</v>
      </c>
      <c r="U47" s="127">
        <v>127.47</v>
      </c>
      <c r="W47" s="130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3">
        <v>7082300</v>
      </c>
      <c r="AC47" s="10">
        <v>112.49</v>
      </c>
      <c r="AD47" s="2">
        <f t="shared" si="0"/>
        <v>0.84999999999999432</v>
      </c>
      <c r="AE47" s="134">
        <f t="shared" si="1"/>
        <v>-1.7776197671326432E-4</v>
      </c>
    </row>
    <row r="48" spans="1:31" x14ac:dyDescent="0.25">
      <c r="B48" s="153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133.41589999999999</v>
      </c>
      <c r="Q48" s="2"/>
      <c r="T48" s="91" t="s">
        <v>102</v>
      </c>
      <c r="U48" s="127">
        <v>0.67624099999999998</v>
      </c>
      <c r="W48" s="130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3">
        <v>8713400</v>
      </c>
      <c r="AC48" s="10">
        <v>112.51</v>
      </c>
      <c r="AD48" s="2">
        <f t="shared" si="0"/>
        <v>0.96999999999999886</v>
      </c>
      <c r="AE48" s="134">
        <f t="shared" si="1"/>
        <v>1.0677106504137779E-3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132.1206</v>
      </c>
      <c r="Q49" s="2"/>
      <c r="T49" s="91" t="s">
        <v>103</v>
      </c>
      <c r="U49" s="127" t="s">
        <v>367</v>
      </c>
      <c r="W49" s="130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3">
        <v>6969400</v>
      </c>
      <c r="AC49" s="10">
        <v>112.39</v>
      </c>
      <c r="AD49" s="2">
        <f t="shared" si="0"/>
        <v>0.75</v>
      </c>
      <c r="AE49" s="134">
        <f t="shared" si="1"/>
        <v>-2.1308709935186076E-3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130.8253</v>
      </c>
      <c r="Q50" s="2"/>
      <c r="T50" s="91"/>
      <c r="U50" s="127"/>
      <c r="W50" s="130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3">
        <v>8886100</v>
      </c>
      <c r="AC50" s="10">
        <v>112.63</v>
      </c>
      <c r="AD50" s="2">
        <f t="shared" si="0"/>
        <v>1.6400000000000006</v>
      </c>
      <c r="AE50" s="134">
        <f t="shared" si="1"/>
        <v>1.3771377137713703E-2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129.53</v>
      </c>
      <c r="Q51" s="2"/>
      <c r="T51" s="91" t="s">
        <v>104</v>
      </c>
      <c r="U51" s="127" t="s">
        <v>626</v>
      </c>
      <c r="W51" s="130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3">
        <v>10164300</v>
      </c>
      <c r="AC51" s="10">
        <v>111.1</v>
      </c>
      <c r="AD51" s="2">
        <f t="shared" si="0"/>
        <v>1.2400000000000091</v>
      </c>
      <c r="AE51" s="134">
        <f t="shared" si="1"/>
        <v>-8.5668391932893773E-3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128.2347</v>
      </c>
      <c r="Q52" s="2"/>
      <c r="T52" s="91" t="s">
        <v>105</v>
      </c>
      <c r="U52" s="127" t="s">
        <v>627</v>
      </c>
      <c r="W52" s="130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3">
        <v>9385500</v>
      </c>
      <c r="AC52" s="10">
        <v>112.06</v>
      </c>
      <c r="AD52" s="2">
        <f t="shared" si="0"/>
        <v>2.039999999999992</v>
      </c>
      <c r="AE52" s="134">
        <f t="shared" si="1"/>
        <v>9.2767720435917855E-3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126.93939999999999</v>
      </c>
      <c r="Q53" s="2"/>
      <c r="T53" s="91" t="s">
        <v>106</v>
      </c>
      <c r="U53" s="128">
        <v>5646251</v>
      </c>
      <c r="W53" s="130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3">
        <v>12450300</v>
      </c>
      <c r="AC53" s="10">
        <v>111.03</v>
      </c>
      <c r="AD53" s="2">
        <f t="shared" si="0"/>
        <v>2.1499999999999915</v>
      </c>
      <c r="AE53" s="134">
        <f t="shared" si="1"/>
        <v>-1.8822905620360486E-2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125.64409999999999</v>
      </c>
      <c r="T54" s="91" t="s">
        <v>109</v>
      </c>
      <c r="U54" s="128">
        <v>7120690</v>
      </c>
      <c r="W54" s="130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3">
        <v>7989800</v>
      </c>
      <c r="AC54" s="10">
        <v>113.16</v>
      </c>
      <c r="AD54" s="2">
        <f t="shared" si="0"/>
        <v>0.96999999999999886</v>
      </c>
      <c r="AE54" s="134">
        <f t="shared" si="1"/>
        <v>-2.1164021164021829E-3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124.3488</v>
      </c>
      <c r="T55" s="91" t="s">
        <v>107</v>
      </c>
      <c r="U55" s="127" t="s">
        <v>628</v>
      </c>
      <c r="W55" s="130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3">
        <v>7502400</v>
      </c>
      <c r="AC55" s="10">
        <v>113.4</v>
      </c>
      <c r="AD55" s="2">
        <f t="shared" si="0"/>
        <v>0.95000000000000284</v>
      </c>
      <c r="AE55" s="134">
        <f t="shared" si="1"/>
        <v>-4.4072278536799736E-4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123.0535</v>
      </c>
      <c r="T56" s="91" t="s">
        <v>110</v>
      </c>
      <c r="U56" s="127">
        <v>21.04</v>
      </c>
      <c r="W56" s="130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3">
        <v>5540800</v>
      </c>
      <c r="AC56" s="10">
        <v>113.45</v>
      </c>
      <c r="AD56" s="2">
        <f t="shared" si="0"/>
        <v>0.98000000000000398</v>
      </c>
      <c r="AE56" s="134">
        <f t="shared" si="1"/>
        <v>-4.3878894251865308E-3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121.75819999999999</v>
      </c>
      <c r="T57" s="91" t="s">
        <v>111</v>
      </c>
      <c r="U57" s="127">
        <v>5.93</v>
      </c>
      <c r="W57" s="130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3">
        <v>5014600</v>
      </c>
      <c r="AC57" s="10">
        <v>113.95</v>
      </c>
      <c r="AD57" s="2">
        <f t="shared" si="0"/>
        <v>0.68999999999999773</v>
      </c>
      <c r="AE57" s="134">
        <f t="shared" si="1"/>
        <v>-1.4021558145648205E-3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120.4629</v>
      </c>
      <c r="T58" s="91" t="s">
        <v>108</v>
      </c>
      <c r="U58" s="127" t="s">
        <v>561</v>
      </c>
      <c r="W58" s="130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3">
        <v>6255400</v>
      </c>
      <c r="AC58" s="10">
        <v>114.11</v>
      </c>
      <c r="AD58" s="2">
        <f t="shared" si="0"/>
        <v>1.3799999999999955</v>
      </c>
      <c r="AE58" s="134">
        <f t="shared" si="1"/>
        <v>2.283706631532656E-3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119.16760000000001</v>
      </c>
      <c r="W59" s="130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3">
        <v>4935200</v>
      </c>
      <c r="AC59" s="10">
        <v>113.85</v>
      </c>
      <c r="AD59" s="2">
        <f t="shared" si="0"/>
        <v>0.57999999999999829</v>
      </c>
      <c r="AE59" s="134">
        <f t="shared" si="1"/>
        <v>-1.7563888644955838E-4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117.87230000000001</v>
      </c>
      <c r="W60" s="130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3">
        <v>6627300</v>
      </c>
      <c r="AC60" s="10">
        <v>113.87</v>
      </c>
      <c r="AD60" s="2">
        <f t="shared" si="0"/>
        <v>1.3599999999999994</v>
      </c>
      <c r="AE60" s="134">
        <f t="shared" si="1"/>
        <v>-9.6508159326191834E-4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116.577</v>
      </c>
      <c r="W61" s="130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3">
        <v>8887200</v>
      </c>
      <c r="AC61" s="10">
        <v>113.98</v>
      </c>
      <c r="AD61" s="2">
        <f t="shared" si="0"/>
        <v>2.230000000000004</v>
      </c>
      <c r="AE61" s="134">
        <f t="shared" si="1"/>
        <v>-1.2305025996533825E-2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3">
        <v>5312800</v>
      </c>
      <c r="AC62" s="10">
        <v>115.4</v>
      </c>
      <c r="AD62" s="2">
        <f t="shared" si="0"/>
        <v>1.1299999999999955</v>
      </c>
      <c r="AE62" s="134">
        <f t="shared" si="1"/>
        <v>-1.0387811634348099E-3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3">
        <v>5436600</v>
      </c>
      <c r="AC63" s="10">
        <v>115.52</v>
      </c>
      <c r="AD63" s="2">
        <f t="shared" si="0"/>
        <v>0.71999999999999886</v>
      </c>
      <c r="AE63" s="134">
        <f t="shared" si="1"/>
        <v>-1.7310022503036482E-4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3">
        <v>5221400</v>
      </c>
      <c r="AC64" s="10">
        <v>115.54</v>
      </c>
      <c r="AD64" s="2">
        <f t="shared" si="0"/>
        <v>1.2399999999999949</v>
      </c>
      <c r="AE64" s="134">
        <f t="shared" si="1"/>
        <v>-4.7377035059005257E-3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3">
        <v>6217200</v>
      </c>
      <c r="AC65" s="10">
        <v>116.09</v>
      </c>
      <c r="AD65" s="2">
        <f t="shared" si="0"/>
        <v>1.5300000000000011</v>
      </c>
      <c r="AE65" s="134">
        <f t="shared" si="1"/>
        <v>1.044477326138038E-2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3">
        <v>5828900</v>
      </c>
      <c r="AC66" s="10">
        <v>114.89</v>
      </c>
      <c r="AD66" s="2">
        <f t="shared" si="0"/>
        <v>0.92000000000000171</v>
      </c>
      <c r="AE66" s="134">
        <f t="shared" si="1"/>
        <v>-1.6510253736531366E-3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3">
        <v>5953000</v>
      </c>
      <c r="AC67" s="10">
        <v>115.08</v>
      </c>
      <c r="AD67" s="2">
        <f>Y67-Z67</f>
        <v>0.76999999999999602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3">
        <v>5506700</v>
      </c>
      <c r="AC68" s="10">
        <v>114.45</v>
      </c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77" t="s">
        <v>1</v>
      </c>
      <c r="B75" s="640" t="s">
        <v>2</v>
      </c>
      <c r="C75" s="377" t="s">
        <v>4</v>
      </c>
      <c r="D75" s="379" t="s">
        <v>5</v>
      </c>
      <c r="E75" s="379" t="s">
        <v>94</v>
      </c>
      <c r="F75" s="379" t="s">
        <v>60</v>
      </c>
      <c r="G75" s="377" t="s">
        <v>3</v>
      </c>
      <c r="H75" s="377" t="s">
        <v>6</v>
      </c>
      <c r="I75" s="379" t="s">
        <v>7</v>
      </c>
      <c r="J75" s="379" t="s">
        <v>95</v>
      </c>
      <c r="K75" s="379" t="s">
        <v>61</v>
      </c>
      <c r="L75" s="377" t="s">
        <v>37</v>
      </c>
      <c r="M75" s="377" t="s">
        <v>38</v>
      </c>
    </row>
    <row r="76" spans="1:31" x14ac:dyDescent="0.25">
      <c r="A76" s="380" t="s">
        <v>273</v>
      </c>
      <c r="B76" s="635">
        <v>42622</v>
      </c>
      <c r="C76" s="371">
        <v>15</v>
      </c>
      <c r="D76" s="372">
        <v>118.5</v>
      </c>
      <c r="E76" s="372">
        <v>0</v>
      </c>
      <c r="F76" s="372">
        <f>C76*D76+E76</f>
        <v>1777.5</v>
      </c>
      <c r="G76" s="635">
        <v>42760</v>
      </c>
      <c r="H76" s="375">
        <v>15</v>
      </c>
      <c r="I76" s="372">
        <v>112.7</v>
      </c>
      <c r="J76" s="372">
        <v>0.04</v>
      </c>
      <c r="K76" s="372">
        <f>H76*I76-J76</f>
        <v>1690.46</v>
      </c>
      <c r="L76" s="370">
        <v>42710</v>
      </c>
      <c r="M76" s="372">
        <v>16</v>
      </c>
    </row>
    <row r="77" spans="1:31" x14ac:dyDescent="0.25">
      <c r="A77" s="381" t="s">
        <v>71</v>
      </c>
      <c r="B77" s="635">
        <v>42622</v>
      </c>
      <c r="C77" s="371">
        <v>5</v>
      </c>
      <c r="D77" s="372">
        <v>118.5</v>
      </c>
      <c r="E77" s="372">
        <v>0</v>
      </c>
      <c r="F77" s="372">
        <f>C77*D77+E77</f>
        <v>592.5</v>
      </c>
      <c r="G77" s="635">
        <v>42776</v>
      </c>
      <c r="H77" s="375">
        <v>15</v>
      </c>
      <c r="I77" s="372">
        <v>115.18</v>
      </c>
      <c r="J77" s="372">
        <v>0.04</v>
      </c>
      <c r="K77" s="372">
        <f>H77*I77-J77</f>
        <v>1727.66</v>
      </c>
      <c r="L77" s="371"/>
      <c r="M77" s="371"/>
    </row>
    <row r="78" spans="1:31" x14ac:dyDescent="0.25">
      <c r="A78" s="371"/>
      <c r="B78" s="635">
        <v>42704</v>
      </c>
      <c r="C78" s="371">
        <v>10</v>
      </c>
      <c r="D78" s="372">
        <v>111.48</v>
      </c>
      <c r="E78" s="372">
        <v>0</v>
      </c>
      <c r="F78" s="372">
        <f>C78*D78+E78</f>
        <v>1114.8</v>
      </c>
      <c r="G78" s="635">
        <v>42796</v>
      </c>
      <c r="H78" s="375">
        <v>15</v>
      </c>
      <c r="I78" s="372">
        <v>124.08</v>
      </c>
      <c r="J78" s="372">
        <v>0.04</v>
      </c>
      <c r="K78" s="372">
        <f>H78*I78-J78</f>
        <v>1861.16</v>
      </c>
      <c r="L78" s="371"/>
      <c r="M78" s="371"/>
    </row>
    <row r="79" spans="1:31" x14ac:dyDescent="0.25">
      <c r="A79" s="371"/>
      <c r="B79" s="635">
        <v>42759</v>
      </c>
      <c r="C79" s="371">
        <v>15</v>
      </c>
      <c r="D79" s="372">
        <v>111.18</v>
      </c>
      <c r="E79" s="372">
        <v>0</v>
      </c>
      <c r="F79" s="372">
        <f>C79*D79+E79</f>
        <v>1667.7</v>
      </c>
      <c r="G79" s="635"/>
      <c r="H79" s="375"/>
      <c r="I79" s="372"/>
      <c r="J79" s="372"/>
      <c r="K79" s="372"/>
      <c r="L79" s="370">
        <v>42808</v>
      </c>
      <c r="M79" s="371">
        <v>12</v>
      </c>
    </row>
    <row r="80" spans="1:31" x14ac:dyDescent="0.25">
      <c r="A80" s="371"/>
      <c r="B80" s="635"/>
      <c r="C80" s="371"/>
      <c r="D80" s="372"/>
      <c r="E80" s="372"/>
      <c r="F80" s="372"/>
      <c r="G80" s="635"/>
      <c r="H80" s="375"/>
      <c r="I80" s="372"/>
      <c r="J80" s="372"/>
      <c r="K80" s="372"/>
      <c r="L80" s="371"/>
      <c r="M80" s="371"/>
    </row>
    <row r="81" spans="1:13" x14ac:dyDescent="0.25">
      <c r="A81" s="371"/>
      <c r="B81" s="635"/>
      <c r="C81" s="371"/>
      <c r="D81" s="372"/>
      <c r="E81" s="372"/>
      <c r="F81" s="372"/>
      <c r="G81" s="635"/>
      <c r="H81" s="375"/>
      <c r="I81" s="372"/>
      <c r="J81" s="372"/>
      <c r="K81" s="372"/>
      <c r="L81" s="371"/>
      <c r="M81" s="371"/>
    </row>
    <row r="82" spans="1:13" x14ac:dyDescent="0.25">
      <c r="A82" s="371"/>
      <c r="B82" s="635"/>
      <c r="C82" s="371"/>
      <c r="D82" s="372"/>
      <c r="E82" s="372"/>
      <c r="F82" s="372"/>
      <c r="G82" s="635"/>
      <c r="H82" s="375"/>
      <c r="I82" s="372"/>
      <c r="J82" s="372"/>
      <c r="K82" s="372"/>
      <c r="L82" s="371"/>
      <c r="M82" s="371"/>
    </row>
    <row r="83" spans="1:13" x14ac:dyDescent="0.25">
      <c r="A83" s="371"/>
      <c r="B83" s="635"/>
      <c r="C83" s="371"/>
      <c r="D83" s="372"/>
      <c r="E83" s="372"/>
      <c r="F83" s="372"/>
      <c r="G83" s="635"/>
      <c r="H83" s="375"/>
      <c r="I83" s="372"/>
      <c r="J83" s="372"/>
      <c r="K83" s="372"/>
      <c r="L83" s="371"/>
      <c r="M83" s="371"/>
    </row>
    <row r="84" spans="1:13" x14ac:dyDescent="0.25">
      <c r="A84" s="371"/>
      <c r="B84" s="635"/>
      <c r="C84" s="371"/>
      <c r="D84" s="372"/>
      <c r="E84" s="372"/>
      <c r="F84" s="372"/>
      <c r="G84" s="635"/>
      <c r="H84" s="375"/>
      <c r="I84" s="372"/>
      <c r="J84" s="372"/>
      <c r="K84" s="372"/>
      <c r="L84" s="371"/>
      <c r="M84" s="371"/>
    </row>
    <row r="85" spans="1:13" x14ac:dyDescent="0.25">
      <c r="A85" s="371"/>
      <c r="B85" s="635"/>
      <c r="C85" s="371"/>
      <c r="D85" s="372"/>
      <c r="E85" s="372"/>
      <c r="F85" s="372"/>
      <c r="G85" s="635"/>
      <c r="H85" s="375"/>
      <c r="I85" s="372"/>
      <c r="J85" s="372"/>
      <c r="K85" s="372"/>
      <c r="L85" s="371"/>
      <c r="M85" s="371"/>
    </row>
    <row r="86" spans="1:13" x14ac:dyDescent="0.25">
      <c r="A86" s="371"/>
      <c r="B86" s="635"/>
      <c r="C86" s="371"/>
      <c r="D86" s="372"/>
      <c r="E86" s="372"/>
      <c r="F86" s="372"/>
      <c r="G86" s="635"/>
      <c r="H86" s="375"/>
      <c r="I86" s="372"/>
      <c r="J86" s="372"/>
      <c r="K86" s="372"/>
      <c r="L86" s="371"/>
      <c r="M86" s="371"/>
    </row>
    <row r="87" spans="1:13" x14ac:dyDescent="0.25">
      <c r="A87" s="371"/>
      <c r="B87" s="635"/>
      <c r="C87" s="371"/>
      <c r="D87" s="372"/>
      <c r="E87" s="372"/>
      <c r="F87" s="372"/>
      <c r="G87" s="635"/>
      <c r="H87" s="375"/>
      <c r="I87" s="372"/>
      <c r="J87" s="372"/>
      <c r="K87" s="372"/>
      <c r="L87" s="371"/>
      <c r="M87" s="371"/>
    </row>
    <row r="88" spans="1:13" x14ac:dyDescent="0.25">
      <c r="A88" s="371"/>
      <c r="B88" s="635"/>
      <c r="C88" s="371"/>
      <c r="D88" s="372"/>
      <c r="E88" s="372"/>
      <c r="F88" s="372"/>
      <c r="G88" s="635"/>
      <c r="H88" s="375"/>
      <c r="I88" s="372"/>
      <c r="J88" s="372"/>
      <c r="K88" s="372"/>
      <c r="L88" s="371"/>
      <c r="M88" s="371"/>
    </row>
    <row r="89" spans="1:13" x14ac:dyDescent="0.25">
      <c r="A89" s="371"/>
      <c r="B89" s="635"/>
      <c r="C89" s="371"/>
      <c r="D89" s="372"/>
      <c r="E89" s="372"/>
      <c r="F89" s="372"/>
      <c r="G89" s="635"/>
      <c r="H89" s="375"/>
      <c r="I89" s="372"/>
      <c r="J89" s="372"/>
      <c r="K89" s="372"/>
      <c r="L89" s="371"/>
      <c r="M89" s="371"/>
    </row>
    <row r="90" spans="1:13" x14ac:dyDescent="0.25">
      <c r="A90" s="371"/>
      <c r="B90" s="635"/>
      <c r="C90" s="371"/>
      <c r="D90" s="372"/>
      <c r="E90" s="372"/>
      <c r="F90" s="372"/>
      <c r="G90" s="635"/>
      <c r="H90" s="375"/>
      <c r="I90" s="372"/>
      <c r="J90" s="372"/>
      <c r="K90" s="372"/>
      <c r="L90" s="371"/>
      <c r="M90" s="371"/>
    </row>
    <row r="91" spans="1:13" x14ac:dyDescent="0.25">
      <c r="A91" s="371"/>
      <c r="B91" s="635"/>
      <c r="C91" s="371"/>
      <c r="D91" s="372"/>
      <c r="E91" s="372"/>
      <c r="F91" s="372"/>
      <c r="G91" s="635"/>
      <c r="H91" s="371"/>
      <c r="I91" s="372"/>
      <c r="J91" s="372"/>
      <c r="K91" s="372"/>
      <c r="L91" s="371"/>
      <c r="M91" s="371"/>
    </row>
    <row r="92" spans="1:13" x14ac:dyDescent="0.25">
      <c r="A92" s="21" t="s">
        <v>81</v>
      </c>
      <c r="B92" s="641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55" t="s">
        <v>194</v>
      </c>
      <c r="B93" s="642"/>
      <c r="C93" s="457">
        <f>SumByColor($A$19,C76:C91)</f>
        <v>0</v>
      </c>
      <c r="D93" s="457"/>
      <c r="E93" s="457"/>
      <c r="F93" s="458">
        <f>SumByColor($A$19,F76:F91)</f>
        <v>0</v>
      </c>
      <c r="G93" s="457"/>
      <c r="H93" s="457">
        <f>SumByColor($A$19,H76:H91)</f>
        <v>0</v>
      </c>
      <c r="I93" s="457"/>
      <c r="J93" s="457"/>
      <c r="K93" s="458">
        <f>SumByColor($A$19,K76:K91)</f>
        <v>0</v>
      </c>
      <c r="L93" s="457"/>
      <c r="M93" s="458">
        <f>SumByColor($A$19,M76:M91)</f>
        <v>0</v>
      </c>
    </row>
    <row r="102" spans="1:12" x14ac:dyDescent="0.25">
      <c r="A102" s="371"/>
      <c r="B102" s="635"/>
      <c r="C102" s="371"/>
      <c r="D102" s="372"/>
      <c r="E102" s="372"/>
      <c r="F102" s="372"/>
      <c r="G102" s="371"/>
      <c r="H102" s="371"/>
      <c r="I102" s="372"/>
      <c r="J102" s="372"/>
      <c r="K102" s="372"/>
      <c r="L102" s="371"/>
    </row>
    <row r="103" spans="1:12" x14ac:dyDescent="0.25">
      <c r="A103" s="371"/>
      <c r="B103" s="635"/>
      <c r="C103" s="371"/>
      <c r="D103" s="372"/>
      <c r="E103" s="372"/>
      <c r="F103" s="372"/>
      <c r="G103" s="371"/>
      <c r="H103" s="371"/>
      <c r="I103" s="372"/>
      <c r="J103" s="372"/>
      <c r="K103" s="372"/>
      <c r="L103" s="371"/>
    </row>
    <row r="104" spans="1:12" x14ac:dyDescent="0.25">
      <c r="A104" s="371"/>
      <c r="B104" s="633" t="s">
        <v>113</v>
      </c>
      <c r="C104" s="498" t="s">
        <v>146</v>
      </c>
      <c r="D104" s="499" t="s">
        <v>145</v>
      </c>
      <c r="E104" s="500" t="s">
        <v>147</v>
      </c>
      <c r="F104" s="500" t="s">
        <v>65</v>
      </c>
      <c r="G104" s="502" t="s">
        <v>151</v>
      </c>
      <c r="H104" s="502" t="s">
        <v>88</v>
      </c>
      <c r="I104" s="502" t="s">
        <v>154</v>
      </c>
      <c r="J104" s="372"/>
      <c r="K104" s="372"/>
      <c r="L104" s="371"/>
    </row>
    <row r="105" spans="1:12" x14ac:dyDescent="0.25">
      <c r="A105" s="371"/>
      <c r="B105" s="635">
        <v>42622</v>
      </c>
      <c r="C105" s="371">
        <v>20</v>
      </c>
      <c r="D105" s="372">
        <v>118.5</v>
      </c>
      <c r="E105" s="372">
        <v>118.23</v>
      </c>
      <c r="F105" s="372">
        <f t="shared" ref="F105:F117" si="3">C105*(E105-D105)</f>
        <v>-5.3999999999999204</v>
      </c>
      <c r="G105" s="372">
        <f t="shared" ref="G105:G117" si="4">D105*C105</f>
        <v>2370</v>
      </c>
      <c r="H105" s="373">
        <f t="shared" ref="H105:H117" si="5">(E105-D105)/D105</f>
        <v>-2.2784810126581941E-3</v>
      </c>
      <c r="I105" s="372"/>
      <c r="J105" s="372"/>
      <c r="K105" s="372"/>
      <c r="L105" s="371"/>
    </row>
    <row r="106" spans="1:12" x14ac:dyDescent="0.25">
      <c r="A106" s="371"/>
      <c r="B106" s="635">
        <v>42627</v>
      </c>
      <c r="C106" s="371">
        <v>20</v>
      </c>
      <c r="D106" s="372">
        <v>118.5</v>
      </c>
      <c r="E106" s="372">
        <v>117.86</v>
      </c>
      <c r="F106" s="372">
        <f t="shared" si="3"/>
        <v>-12.800000000000011</v>
      </c>
      <c r="G106" s="372">
        <f t="shared" si="4"/>
        <v>2370</v>
      </c>
      <c r="H106" s="373">
        <f t="shared" si="5"/>
        <v>-5.400843881856545E-3</v>
      </c>
      <c r="I106" s="372"/>
      <c r="J106" s="372"/>
      <c r="K106" s="372"/>
      <c r="L106" s="371"/>
    </row>
    <row r="107" spans="1:12" x14ac:dyDescent="0.25">
      <c r="A107" s="371"/>
      <c r="B107" s="635">
        <v>42634</v>
      </c>
      <c r="C107" s="371">
        <v>20</v>
      </c>
      <c r="D107" s="372">
        <v>118.5</v>
      </c>
      <c r="E107" s="372">
        <v>118.91</v>
      </c>
      <c r="F107" s="372">
        <f t="shared" si="3"/>
        <v>8.1999999999999318</v>
      </c>
      <c r="G107" s="372">
        <f t="shared" si="4"/>
        <v>2370</v>
      </c>
      <c r="H107" s="373">
        <f t="shared" si="5"/>
        <v>3.4599156118143171E-3</v>
      </c>
      <c r="I107" s="372"/>
      <c r="J107" s="372"/>
      <c r="K107" s="372"/>
      <c r="L107" s="371"/>
    </row>
    <row r="108" spans="1:12" x14ac:dyDescent="0.25">
      <c r="A108" s="371"/>
      <c r="B108" s="635">
        <v>42651</v>
      </c>
      <c r="C108" s="371">
        <v>20</v>
      </c>
      <c r="D108" s="372">
        <v>118.5</v>
      </c>
      <c r="E108" s="372">
        <v>119.24</v>
      </c>
      <c r="F108" s="372">
        <f t="shared" si="3"/>
        <v>14.799999999999898</v>
      </c>
      <c r="G108" s="372">
        <f t="shared" si="4"/>
        <v>2370</v>
      </c>
      <c r="H108" s="373">
        <f t="shared" si="5"/>
        <v>6.2447257383965813E-3</v>
      </c>
      <c r="I108" s="372"/>
      <c r="J108" s="372"/>
      <c r="K108" s="372"/>
      <c r="L108" s="371"/>
    </row>
    <row r="109" spans="1:12" x14ac:dyDescent="0.25">
      <c r="A109" s="371"/>
      <c r="B109" s="635">
        <v>42664</v>
      </c>
      <c r="C109" s="371">
        <v>20</v>
      </c>
      <c r="D109" s="372">
        <v>118.5</v>
      </c>
      <c r="E109" s="372">
        <v>113.44</v>
      </c>
      <c r="F109" s="372">
        <f t="shared" si="3"/>
        <v>-101.20000000000005</v>
      </c>
      <c r="G109" s="372">
        <f t="shared" si="4"/>
        <v>2370</v>
      </c>
      <c r="H109" s="373">
        <f t="shared" si="5"/>
        <v>-4.2700421940928289E-2</v>
      </c>
      <c r="I109" s="372"/>
      <c r="J109" s="372"/>
      <c r="K109" s="372"/>
      <c r="L109" s="371"/>
    </row>
    <row r="110" spans="1:12" x14ac:dyDescent="0.25">
      <c r="A110" s="371"/>
      <c r="B110" s="635">
        <v>42674</v>
      </c>
      <c r="C110" s="371">
        <v>20</v>
      </c>
      <c r="D110" s="372">
        <v>118.5</v>
      </c>
      <c r="E110" s="372">
        <v>115.99</v>
      </c>
      <c r="F110" s="372">
        <f t="shared" si="3"/>
        <v>-50.200000000000102</v>
      </c>
      <c r="G110" s="372">
        <f t="shared" si="4"/>
        <v>2370</v>
      </c>
      <c r="H110" s="373">
        <f t="shared" si="5"/>
        <v>-2.1181434599156161E-2</v>
      </c>
      <c r="I110" s="372"/>
      <c r="J110" s="372"/>
      <c r="K110" s="372"/>
      <c r="L110" s="371"/>
    </row>
    <row r="111" spans="1:12" x14ac:dyDescent="0.25">
      <c r="A111" s="371"/>
      <c r="B111" s="635">
        <v>42702</v>
      </c>
      <c r="C111" s="371">
        <v>20</v>
      </c>
      <c r="D111" s="372">
        <v>118.5</v>
      </c>
      <c r="E111" s="372">
        <v>114.13</v>
      </c>
      <c r="F111" s="372">
        <f t="shared" si="3"/>
        <v>-87.400000000000091</v>
      </c>
      <c r="G111" s="372">
        <f t="shared" si="4"/>
        <v>2370</v>
      </c>
      <c r="H111" s="373">
        <f t="shared" si="5"/>
        <v>-3.6877637130801728E-2</v>
      </c>
      <c r="I111" s="372"/>
      <c r="J111" s="372"/>
      <c r="K111" s="372"/>
      <c r="L111" s="371"/>
    </row>
    <row r="112" spans="1:12" x14ac:dyDescent="0.25">
      <c r="A112" s="371"/>
      <c r="B112" s="635">
        <v>42704</v>
      </c>
      <c r="C112" s="371">
        <v>30</v>
      </c>
      <c r="D112" s="372">
        <v>116.16</v>
      </c>
      <c r="E112" s="372">
        <v>111.3</v>
      </c>
      <c r="F112" s="372">
        <f t="shared" si="3"/>
        <v>-145.79999999999998</v>
      </c>
      <c r="G112" s="372">
        <f t="shared" si="4"/>
        <v>3484.7999999999997</v>
      </c>
      <c r="H112" s="373">
        <f t="shared" si="5"/>
        <v>-4.1838842975206611E-2</v>
      </c>
      <c r="I112" s="372"/>
      <c r="J112" s="372"/>
      <c r="K112" s="372"/>
      <c r="L112" s="371"/>
    </row>
    <row r="113" spans="1:12" x14ac:dyDescent="0.25">
      <c r="A113" s="371"/>
      <c r="B113" s="635">
        <v>42711</v>
      </c>
      <c r="C113" s="371">
        <v>30</v>
      </c>
      <c r="D113" s="372">
        <v>115.6267</v>
      </c>
      <c r="E113" s="372">
        <v>111.1</v>
      </c>
      <c r="F113" s="372">
        <f t="shared" si="3"/>
        <v>-135.80100000000016</v>
      </c>
      <c r="G113" s="372">
        <f t="shared" si="4"/>
        <v>3468.8009999999999</v>
      </c>
      <c r="H113" s="373">
        <f t="shared" si="5"/>
        <v>-3.9149262237874169E-2</v>
      </c>
      <c r="I113" s="454"/>
      <c r="J113" s="372"/>
      <c r="K113" s="372"/>
      <c r="L113" s="371"/>
    </row>
    <row r="114" spans="1:12" x14ac:dyDescent="0.25">
      <c r="A114" s="371"/>
      <c r="B114" s="635">
        <v>42759</v>
      </c>
      <c r="C114" s="371">
        <v>45</v>
      </c>
      <c r="D114" s="372">
        <v>114.14530000000001</v>
      </c>
      <c r="E114" s="372">
        <v>111.89</v>
      </c>
      <c r="F114" s="372">
        <f t="shared" si="3"/>
        <v>-101.48850000000024</v>
      </c>
      <c r="G114" s="372">
        <f t="shared" si="4"/>
        <v>5136.5385000000006</v>
      </c>
      <c r="H114" s="373">
        <f t="shared" si="5"/>
        <v>-1.9758150357483011E-2</v>
      </c>
      <c r="I114" s="372">
        <v>110</v>
      </c>
      <c r="J114" s="372"/>
      <c r="K114" s="372"/>
      <c r="L114" s="371"/>
    </row>
    <row r="115" spans="1:12" x14ac:dyDescent="0.25">
      <c r="A115" s="371" t="s">
        <v>371</v>
      </c>
      <c r="B115" s="635">
        <v>42760</v>
      </c>
      <c r="C115" s="371">
        <v>30</v>
      </c>
      <c r="D115" s="372">
        <v>114.86799999999999</v>
      </c>
      <c r="E115" s="372">
        <v>112.8</v>
      </c>
      <c r="F115" s="372">
        <f t="shared" si="3"/>
        <v>-62.039999999999935</v>
      </c>
      <c r="G115" s="372">
        <f t="shared" si="4"/>
        <v>3446.04</v>
      </c>
      <c r="H115" s="373">
        <f t="shared" si="5"/>
        <v>-1.8003273322422242E-2</v>
      </c>
      <c r="I115" s="372"/>
      <c r="J115" s="372"/>
      <c r="K115" s="372"/>
      <c r="L115" s="371"/>
    </row>
    <row r="116" spans="1:12" x14ac:dyDescent="0.25">
      <c r="A116" s="371" t="s">
        <v>411</v>
      </c>
      <c r="B116" s="635">
        <v>42761</v>
      </c>
      <c r="C116" s="371">
        <v>30</v>
      </c>
      <c r="D116" s="372">
        <v>114.86799999999999</v>
      </c>
      <c r="E116" s="372">
        <v>113.64</v>
      </c>
      <c r="F116" s="372">
        <f t="shared" si="3"/>
        <v>-36.839999999999833</v>
      </c>
      <c r="G116" s="372">
        <f t="shared" si="4"/>
        <v>3446.04</v>
      </c>
      <c r="H116" s="373">
        <f t="shared" si="5"/>
        <v>-1.0690531740780674E-2</v>
      </c>
      <c r="I116" s="372"/>
      <c r="J116" s="372"/>
      <c r="K116" s="372"/>
      <c r="L116" s="371"/>
    </row>
    <row r="117" spans="1:12" x14ac:dyDescent="0.25">
      <c r="A117" s="371" t="s">
        <v>428</v>
      </c>
      <c r="B117" s="635">
        <v>42776</v>
      </c>
      <c r="C117" s="371">
        <v>15</v>
      </c>
      <c r="D117" s="372">
        <v>114.5587</v>
      </c>
      <c r="E117" s="372">
        <v>115.24</v>
      </c>
      <c r="F117" s="372">
        <f t="shared" si="3"/>
        <v>10.219499999999897</v>
      </c>
      <c r="G117" s="372">
        <f t="shared" si="4"/>
        <v>1718.3805</v>
      </c>
      <c r="H117" s="373">
        <f t="shared" si="5"/>
        <v>5.9471694423906098E-3</v>
      </c>
      <c r="I117" s="372"/>
      <c r="J117" s="372"/>
      <c r="K117" s="372"/>
      <c r="L117" s="371"/>
    </row>
    <row r="118" spans="1:12" x14ac:dyDescent="0.25">
      <c r="A118" s="371"/>
      <c r="B118" s="635">
        <v>42796</v>
      </c>
      <c r="C118" s="371">
        <v>0</v>
      </c>
      <c r="D118" s="372"/>
      <c r="E118" s="372"/>
      <c r="F118" s="372">
        <v>142.78</v>
      </c>
      <c r="G118" s="372"/>
      <c r="H118" s="373"/>
      <c r="I118" s="372"/>
      <c r="J118" s="372"/>
      <c r="K118" s="372"/>
      <c r="L118" s="371"/>
    </row>
    <row r="119" spans="1:12" x14ac:dyDescent="0.25">
      <c r="A119" s="371"/>
      <c r="B119" s="635"/>
      <c r="C119" s="371"/>
      <c r="D119" s="372"/>
      <c r="E119" s="372"/>
      <c r="F119" s="372"/>
      <c r="G119" s="372"/>
      <c r="H119" s="373"/>
      <c r="I119" s="372"/>
      <c r="J119" s="372"/>
      <c r="K119" s="372"/>
      <c r="L119" s="371"/>
    </row>
    <row r="120" spans="1:12" x14ac:dyDescent="0.25">
      <c r="A120" s="371"/>
      <c r="B120" s="635"/>
      <c r="C120" s="371"/>
      <c r="D120" s="372"/>
      <c r="E120" s="372"/>
      <c r="F120" s="372"/>
      <c r="G120" s="372"/>
      <c r="H120" s="373"/>
      <c r="I120" s="372"/>
      <c r="J120" s="372"/>
      <c r="K120" s="372"/>
      <c r="L120" s="371"/>
    </row>
    <row r="121" spans="1:12" x14ac:dyDescent="0.25">
      <c r="A121" s="371"/>
      <c r="B121" s="635"/>
      <c r="C121" s="371"/>
      <c r="D121" s="372"/>
      <c r="E121" s="372"/>
      <c r="F121" s="372"/>
      <c r="G121" s="372"/>
      <c r="H121" s="373"/>
      <c r="I121" s="372"/>
      <c r="J121" s="372"/>
      <c r="K121" s="372"/>
      <c r="L121" s="371"/>
    </row>
    <row r="122" spans="1:12" x14ac:dyDescent="0.25">
      <c r="A122" s="371"/>
      <c r="B122" s="635"/>
      <c r="C122" s="371"/>
      <c r="D122" s="372"/>
      <c r="E122" s="372"/>
      <c r="F122" s="372"/>
      <c r="G122" s="372"/>
      <c r="H122" s="373"/>
      <c r="I122" s="372"/>
      <c r="J122" s="372"/>
      <c r="K122" s="372"/>
      <c r="L122" s="371"/>
    </row>
    <row r="123" spans="1:12" x14ac:dyDescent="0.25">
      <c r="A123" s="371"/>
      <c r="B123" s="635"/>
      <c r="C123" s="371"/>
      <c r="D123" s="372"/>
      <c r="E123" s="372"/>
      <c r="F123" s="372"/>
      <c r="G123" s="372"/>
      <c r="H123" s="373"/>
      <c r="I123" s="372"/>
      <c r="J123" s="372"/>
      <c r="K123" s="372"/>
      <c r="L123" s="371"/>
    </row>
    <row r="124" spans="1:12" x14ac:dyDescent="0.25">
      <c r="A124" s="371"/>
      <c r="B124" s="635"/>
      <c r="C124" s="371"/>
      <c r="D124" s="372"/>
      <c r="E124" s="372"/>
      <c r="F124" s="372"/>
      <c r="G124" s="372"/>
      <c r="H124" s="373"/>
      <c r="I124" s="372"/>
      <c r="J124" s="372"/>
      <c r="K124" s="372"/>
      <c r="L124" s="371"/>
    </row>
    <row r="125" spans="1:12" x14ac:dyDescent="0.25">
      <c r="A125" s="371"/>
      <c r="B125" s="635"/>
      <c r="C125" s="371"/>
      <c r="D125" s="372"/>
      <c r="E125" s="372"/>
      <c r="F125" s="372"/>
      <c r="G125" s="372"/>
      <c r="H125" s="373"/>
      <c r="I125" s="372"/>
      <c r="J125" s="372"/>
      <c r="K125" s="372"/>
      <c r="L125" s="371"/>
    </row>
    <row r="126" spans="1:12" x14ac:dyDescent="0.25">
      <c r="A126" s="371"/>
      <c r="B126" s="635"/>
      <c r="C126" s="371"/>
      <c r="D126" s="372"/>
      <c r="E126" s="372"/>
      <c r="F126" s="372"/>
      <c r="G126" s="372"/>
      <c r="H126" s="373"/>
      <c r="I126" s="372"/>
      <c r="J126" s="372"/>
      <c r="K126" s="372"/>
      <c r="L126" s="371"/>
    </row>
    <row r="127" spans="1:12" x14ac:dyDescent="0.25">
      <c r="A127" s="371"/>
      <c r="B127" s="635"/>
      <c r="C127" s="371"/>
      <c r="D127" s="372"/>
      <c r="E127" s="372"/>
      <c r="F127" s="372"/>
      <c r="G127" s="372"/>
      <c r="H127" s="373"/>
      <c r="I127" s="454"/>
      <c r="J127" s="372"/>
      <c r="K127" s="372"/>
      <c r="L127" s="371"/>
    </row>
    <row r="128" spans="1:12" x14ac:dyDescent="0.25">
      <c r="A128" s="371"/>
      <c r="B128" s="635"/>
      <c r="C128" s="371"/>
      <c r="D128" s="372"/>
      <c r="E128" s="372"/>
      <c r="F128" s="372"/>
      <c r="G128" s="372"/>
      <c r="H128" s="373"/>
      <c r="I128" s="372"/>
      <c r="J128" s="372"/>
      <c r="K128" s="372"/>
      <c r="L128" s="371"/>
    </row>
    <row r="129" spans="1:12" x14ac:dyDescent="0.25">
      <c r="A129" s="371"/>
      <c r="B129" s="635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</row>
    <row r="130" spans="1:12" x14ac:dyDescent="0.25">
      <c r="A130" s="371"/>
      <c r="B130" s="635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</row>
    <row r="131" spans="1:12" x14ac:dyDescent="0.25">
      <c r="A131" s="371"/>
      <c r="B131" s="635"/>
      <c r="C131" s="371"/>
      <c r="D131" s="372"/>
      <c r="E131" s="372"/>
      <c r="F131" s="372"/>
      <c r="G131" s="372"/>
      <c r="H131" s="373"/>
      <c r="I131" s="372"/>
      <c r="J131" s="372"/>
      <c r="K131" s="372"/>
      <c r="L131" s="371"/>
    </row>
    <row r="132" spans="1:12" x14ac:dyDescent="0.25">
      <c r="A132" s="371"/>
      <c r="B132" s="635"/>
      <c r="C132" s="371"/>
      <c r="D132" s="372"/>
      <c r="E132" s="372"/>
      <c r="F132" s="372"/>
      <c r="G132" s="372"/>
      <c r="H132" s="373"/>
      <c r="I132" s="372"/>
      <c r="J132" s="372"/>
      <c r="K132" s="372"/>
      <c r="L132" s="371"/>
    </row>
    <row r="133" spans="1:12" x14ac:dyDescent="0.25">
      <c r="A133" s="371"/>
      <c r="B133" s="635"/>
      <c r="C133" s="371"/>
      <c r="D133" s="372"/>
      <c r="E133" s="372"/>
      <c r="F133" s="372"/>
      <c r="G133" s="372"/>
      <c r="H133" s="373"/>
      <c r="I133" s="372"/>
      <c r="J133" s="372"/>
      <c r="K133" s="372"/>
      <c r="L133" s="371"/>
    </row>
    <row r="134" spans="1:12" x14ac:dyDescent="0.25">
      <c r="A134" s="371"/>
      <c r="B134" s="635"/>
      <c r="C134" s="371"/>
      <c r="D134" s="372"/>
      <c r="E134" s="372"/>
      <c r="F134" s="372"/>
      <c r="G134" s="372"/>
      <c r="H134" s="373"/>
      <c r="I134" s="372"/>
      <c r="J134" s="372"/>
      <c r="K134" s="372"/>
      <c r="L134" s="371"/>
    </row>
    <row r="135" spans="1:12" x14ac:dyDescent="0.25">
      <c r="A135" s="371"/>
      <c r="B135" s="635"/>
      <c r="C135" s="371"/>
      <c r="D135" s="372"/>
      <c r="E135" s="372"/>
      <c r="F135" s="372"/>
      <c r="G135" s="372"/>
      <c r="H135" s="373"/>
      <c r="I135" s="372"/>
      <c r="J135" s="372"/>
      <c r="K135" s="372"/>
      <c r="L135" s="371"/>
    </row>
    <row r="136" spans="1:12" x14ac:dyDescent="0.25">
      <c r="A136" s="371"/>
      <c r="B136" s="635"/>
      <c r="C136" s="371"/>
      <c r="D136" s="372"/>
      <c r="E136" s="372"/>
      <c r="F136" s="372"/>
      <c r="G136" s="372"/>
      <c r="H136" s="373"/>
      <c r="I136" s="372"/>
      <c r="J136" s="372"/>
      <c r="K136" s="372"/>
      <c r="L136" s="371"/>
    </row>
    <row r="137" spans="1:12" x14ac:dyDescent="0.25">
      <c r="A137" s="371"/>
      <c r="B137" s="635"/>
      <c r="C137" s="371"/>
      <c r="D137" s="372"/>
      <c r="E137" s="372"/>
      <c r="F137" s="372"/>
      <c r="G137" s="372"/>
      <c r="H137" s="373"/>
      <c r="I137" s="372"/>
      <c r="J137" s="372"/>
      <c r="K137" s="372"/>
      <c r="L137" s="371"/>
    </row>
    <row r="138" spans="1:12" x14ac:dyDescent="0.25">
      <c r="A138" s="371"/>
      <c r="B138" s="635"/>
      <c r="C138" s="371"/>
      <c r="D138" s="372"/>
      <c r="E138" s="372"/>
      <c r="F138" s="372"/>
      <c r="G138" s="372"/>
      <c r="H138" s="373"/>
      <c r="I138" s="372"/>
      <c r="J138" s="372"/>
      <c r="K138" s="372"/>
      <c r="L138" s="371"/>
    </row>
    <row r="139" spans="1:12" x14ac:dyDescent="0.25">
      <c r="A139" s="371"/>
      <c r="B139" s="635"/>
      <c r="C139" s="371"/>
      <c r="D139" s="372"/>
      <c r="E139" s="372"/>
      <c r="F139" s="372"/>
      <c r="G139" s="372"/>
      <c r="H139" s="373"/>
      <c r="I139" s="372"/>
      <c r="J139" s="372"/>
      <c r="K139" s="372"/>
      <c r="L139" s="371"/>
    </row>
    <row r="140" spans="1:12" x14ac:dyDescent="0.25">
      <c r="A140" s="371"/>
      <c r="B140" s="635"/>
      <c r="C140" s="371"/>
      <c r="D140" s="372"/>
      <c r="E140" s="372"/>
      <c r="F140" s="372"/>
      <c r="G140" s="372"/>
      <c r="H140" s="373"/>
      <c r="I140" s="372"/>
      <c r="J140" s="372"/>
      <c r="K140" s="372"/>
      <c r="L140" s="371"/>
    </row>
    <row r="141" spans="1:12" x14ac:dyDescent="0.25">
      <c r="A141" s="371"/>
      <c r="B141" s="635"/>
      <c r="C141" s="371"/>
      <c r="D141" s="372"/>
      <c r="E141" s="372"/>
      <c r="F141" s="372"/>
      <c r="G141" s="372"/>
      <c r="H141" s="373"/>
      <c r="I141" s="372"/>
      <c r="J141" s="372"/>
      <c r="K141" s="372"/>
      <c r="L141" s="371"/>
    </row>
    <row r="142" spans="1:12" x14ac:dyDescent="0.25">
      <c r="A142" s="371"/>
      <c r="B142" s="635"/>
      <c r="C142" s="371"/>
      <c r="D142" s="372"/>
      <c r="E142" s="372"/>
      <c r="F142" s="372"/>
      <c r="G142" s="372"/>
      <c r="H142" s="373"/>
      <c r="I142" s="372"/>
      <c r="J142" s="372"/>
      <c r="K142" s="372"/>
      <c r="L142" s="371"/>
    </row>
    <row r="143" spans="1:12" x14ac:dyDescent="0.25">
      <c r="A143" s="371"/>
      <c r="B143" s="635"/>
      <c r="C143" s="371"/>
      <c r="D143" s="372"/>
      <c r="E143" s="372"/>
      <c r="F143" s="372"/>
      <c r="G143" s="372"/>
      <c r="H143" s="373"/>
      <c r="I143" s="372"/>
      <c r="J143" s="372"/>
      <c r="K143" s="372"/>
      <c r="L143" s="371"/>
    </row>
    <row r="144" spans="1:12" x14ac:dyDescent="0.25">
      <c r="A144" s="371"/>
      <c r="B144" s="635"/>
      <c r="C144" s="371"/>
      <c r="D144" s="372"/>
      <c r="E144" s="372"/>
      <c r="F144" s="372"/>
      <c r="G144" s="372"/>
      <c r="H144" s="373"/>
      <c r="I144" s="372"/>
      <c r="J144" s="372"/>
      <c r="K144" s="372"/>
      <c r="L144" s="371"/>
    </row>
    <row r="145" spans="1:12" x14ac:dyDescent="0.25">
      <c r="A145" s="371"/>
      <c r="B145" s="635"/>
      <c r="C145" s="371"/>
      <c r="D145" s="372"/>
      <c r="E145" s="372"/>
      <c r="F145" s="372"/>
      <c r="G145" s="372"/>
      <c r="H145" s="373"/>
      <c r="I145" s="372"/>
      <c r="J145" s="372"/>
      <c r="K145" s="372"/>
      <c r="L145" s="371"/>
    </row>
    <row r="146" spans="1:12" x14ac:dyDescent="0.25">
      <c r="A146" s="371"/>
      <c r="B146" s="635"/>
      <c r="C146" s="371"/>
      <c r="D146" s="372"/>
      <c r="E146" s="372"/>
      <c r="F146" s="372"/>
      <c r="G146" s="372"/>
      <c r="H146" s="373"/>
      <c r="I146" s="372"/>
      <c r="J146" s="372"/>
      <c r="K146" s="372"/>
      <c r="L146" s="371"/>
    </row>
    <row r="147" spans="1:12" x14ac:dyDescent="0.25">
      <c r="A147" s="371"/>
      <c r="B147" s="635"/>
      <c r="C147" s="371"/>
      <c r="D147" s="372"/>
      <c r="E147" s="372"/>
      <c r="F147" s="372"/>
      <c r="G147" s="372"/>
      <c r="H147" s="373"/>
      <c r="I147" s="372"/>
      <c r="J147" s="372"/>
      <c r="K147" s="372"/>
      <c r="L147" s="371"/>
    </row>
    <row r="148" spans="1:12" x14ac:dyDescent="0.25">
      <c r="A148" s="371"/>
      <c r="B148" s="635"/>
      <c r="C148" s="371"/>
      <c r="D148" s="372"/>
      <c r="E148" s="372"/>
      <c r="F148" s="372"/>
      <c r="G148" s="372"/>
      <c r="H148" s="373"/>
      <c r="I148" s="372"/>
      <c r="J148" s="372"/>
      <c r="K148" s="372"/>
      <c r="L148" s="371"/>
    </row>
    <row r="149" spans="1:12" x14ac:dyDescent="0.25">
      <c r="A149" s="371"/>
      <c r="B149" s="635"/>
      <c r="C149" s="371"/>
      <c r="D149" s="372"/>
      <c r="E149" s="372"/>
      <c r="F149" s="372"/>
      <c r="G149" s="372"/>
      <c r="H149" s="373"/>
      <c r="I149" s="372"/>
      <c r="J149" s="372"/>
      <c r="K149" s="372"/>
      <c r="L149" s="371"/>
    </row>
    <row r="150" spans="1:12" x14ac:dyDescent="0.25">
      <c r="A150" s="371"/>
      <c r="B150" s="635"/>
      <c r="C150" s="371"/>
      <c r="D150" s="372"/>
      <c r="E150" s="372"/>
      <c r="F150" s="372"/>
      <c r="G150" s="371"/>
      <c r="H150" s="371"/>
      <c r="I150" s="372"/>
      <c r="J150" s="372"/>
      <c r="K150" s="372"/>
      <c r="L150" s="371"/>
    </row>
    <row r="151" spans="1:12" x14ac:dyDescent="0.25">
      <c r="A151" s="371"/>
      <c r="B151" s="635"/>
      <c r="C151" s="371"/>
      <c r="D151" s="372"/>
      <c r="E151" s="372"/>
      <c r="F151" s="372"/>
      <c r="G151" s="371"/>
      <c r="H151" s="371"/>
      <c r="I151" s="372"/>
      <c r="J151" s="372"/>
      <c r="K151" s="372"/>
      <c r="L151" s="371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1409" priority="19">
      <formula>F25&gt;0</formula>
    </cfRule>
    <cfRule type="expression" dxfId="1408" priority="20">
      <formula>F25&lt;0</formula>
    </cfRule>
  </conditionalFormatting>
  <conditionalFormatting sqref="Q7">
    <cfRule type="expression" dxfId="1407" priority="17">
      <formula>Q7&gt;0</formula>
    </cfRule>
    <cfRule type="expression" dxfId="1406" priority="18">
      <formula>Q7&lt;0</formula>
    </cfRule>
  </conditionalFormatting>
  <conditionalFormatting sqref="Q8">
    <cfRule type="expression" dxfId="1405" priority="15">
      <formula>Q8&gt;0</formula>
    </cfRule>
    <cfRule type="expression" dxfId="1404" priority="16">
      <formula>Q8&lt;0</formula>
    </cfRule>
  </conditionalFormatting>
  <conditionalFormatting sqref="M74">
    <cfRule type="expression" dxfId="1403" priority="9">
      <formula>M74&gt;0</formula>
    </cfRule>
    <cfRule type="expression" dxfId="1402" priority="10">
      <formula>M74&lt;0</formula>
    </cfRule>
  </conditionalFormatting>
  <conditionalFormatting sqref="F113:F149 H113:H149">
    <cfRule type="expression" dxfId="1401" priority="7">
      <formula>F113&gt;0</formula>
    </cfRule>
    <cfRule type="expression" dxfId="1400" priority="8">
      <formula>F113&lt;0</formula>
    </cfRule>
  </conditionalFormatting>
  <conditionalFormatting sqref="F105:F112">
    <cfRule type="expression" dxfId="1399" priority="5">
      <formula>F105&gt;0</formula>
    </cfRule>
    <cfRule type="expression" dxfId="1398" priority="6">
      <formula>F105&lt;0</formula>
    </cfRule>
  </conditionalFormatting>
  <conditionalFormatting sqref="H105:H112">
    <cfRule type="expression" dxfId="1397" priority="3">
      <formula>H105&gt;0</formula>
    </cfRule>
    <cfRule type="expression" dxfId="1396" priority="4">
      <formula>H105&lt;0</formula>
    </cfRule>
  </conditionalFormatting>
  <conditionalFormatting sqref="Q10">
    <cfRule type="expression" dxfId="1395" priority="1">
      <formula>Q10&gt;0</formula>
    </cfRule>
    <cfRule type="expression" dxfId="1394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741</v>
      </c>
      <c r="B2" s="445">
        <v>43020</v>
      </c>
      <c r="C2" s="7">
        <v>10</v>
      </c>
      <c r="D2" s="43">
        <v>190.16</v>
      </c>
      <c r="E2" s="43">
        <v>0</v>
      </c>
      <c r="F2" s="43">
        <f t="shared" ref="F2:F10" si="0">C2*D2+E2</f>
        <v>1901.6</v>
      </c>
      <c r="G2" s="445">
        <v>43103</v>
      </c>
      <c r="H2" s="7">
        <v>10</v>
      </c>
      <c r="I2" s="43">
        <v>238</v>
      </c>
      <c r="J2" s="43">
        <v>0.05</v>
      </c>
      <c r="K2" s="43">
        <f>H2*I2-J2</f>
        <v>2379.9499999999998</v>
      </c>
      <c r="L2" s="72"/>
      <c r="M2" s="3"/>
      <c r="O2" s="11" t="s">
        <v>57</v>
      </c>
      <c r="Q2">
        <f>C18-H18</f>
        <v>55</v>
      </c>
      <c r="T2" s="1">
        <v>43080</v>
      </c>
      <c r="U2" t="s">
        <v>874</v>
      </c>
    </row>
    <row r="3" spans="1:21" x14ac:dyDescent="0.25">
      <c r="A3" s="22" t="s">
        <v>71</v>
      </c>
      <c r="B3" s="445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45">
        <v>43112</v>
      </c>
      <c r="H3" s="80">
        <v>15</v>
      </c>
      <c r="I3" s="43">
        <v>234.88</v>
      </c>
      <c r="J3" s="43">
        <v>0.08</v>
      </c>
      <c r="K3" s="43">
        <f>H3*I3-J3</f>
        <v>3523.12</v>
      </c>
      <c r="L3" s="4"/>
      <c r="M3" s="4"/>
      <c r="O3" s="11" t="s">
        <v>58</v>
      </c>
      <c r="Q3" s="225">
        <f>IF(Q2=0, Q4, (F18-K18-M18)/Q2)</f>
        <v>195.88545454545462</v>
      </c>
      <c r="T3" s="1"/>
    </row>
    <row r="4" spans="1:21" x14ac:dyDescent="0.25">
      <c r="B4" s="445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45">
        <v>43140</v>
      </c>
      <c r="H4" s="80">
        <v>55</v>
      </c>
      <c r="I4" s="43">
        <v>216.28</v>
      </c>
      <c r="J4" s="43">
        <v>0.27</v>
      </c>
      <c r="K4" s="43">
        <f>H4*I4-J4</f>
        <v>11895.13</v>
      </c>
      <c r="L4" s="4"/>
      <c r="M4" s="4"/>
      <c r="O4" s="11" t="s">
        <v>66</v>
      </c>
      <c r="Q4" s="54">
        <v>218.55</v>
      </c>
      <c r="R4" s="509">
        <v>4.5199999999999997E-2</v>
      </c>
      <c r="T4" s="792">
        <v>43103</v>
      </c>
      <c r="U4" s="30" t="s">
        <v>899</v>
      </c>
    </row>
    <row r="5" spans="1:21" x14ac:dyDescent="0.25">
      <c r="B5" s="445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12020.25</v>
      </c>
    </row>
    <row r="6" spans="1:21" x14ac:dyDescent="0.25">
      <c r="B6" s="486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10773.700000000004</v>
      </c>
    </row>
    <row r="7" spans="1:21" x14ac:dyDescent="0.25">
      <c r="B7" s="486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1471.3199999999961</v>
      </c>
      <c r="R7" s="29">
        <v>43168</v>
      </c>
    </row>
    <row r="8" spans="1:21" x14ac:dyDescent="0.25">
      <c r="B8" s="486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1246.5499999999956</v>
      </c>
    </row>
    <row r="9" spans="1:21" x14ac:dyDescent="0.25">
      <c r="B9" s="486">
        <v>43137</v>
      </c>
      <c r="C9" s="4">
        <v>45</v>
      </c>
      <c r="D9" s="3">
        <v>207.88</v>
      </c>
      <c r="E9" s="3">
        <v>0</v>
      </c>
      <c r="F9" s="3">
        <f t="shared" si="0"/>
        <v>9354.6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0.11570305466088671</v>
      </c>
      <c r="T9" s="159">
        <v>43174</v>
      </c>
      <c r="U9" t="s">
        <v>82</v>
      </c>
    </row>
    <row r="10" spans="1:21" x14ac:dyDescent="0.25">
      <c r="B10" s="486">
        <v>43140</v>
      </c>
      <c r="C10" s="4">
        <v>10</v>
      </c>
      <c r="D10" s="2">
        <v>205.8</v>
      </c>
      <c r="E10" s="2">
        <v>0</v>
      </c>
      <c r="F10" s="2">
        <f t="shared" si="0"/>
        <v>2058</v>
      </c>
      <c r="H10" s="70"/>
      <c r="O10" s="11" t="s">
        <v>209</v>
      </c>
      <c r="P10" s="33"/>
      <c r="Q10" s="2">
        <f>M66</f>
        <v>224.77000000000044</v>
      </c>
    </row>
    <row r="11" spans="1:21" x14ac:dyDescent="0.25">
      <c r="H11" s="70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SUM(C2:C10)</f>
        <v>135</v>
      </c>
      <c r="D18" s="18"/>
      <c r="E18" s="18"/>
      <c r="F18" s="18">
        <f>SUM(F2:F10)</f>
        <v>28571.9</v>
      </c>
      <c r="G18" s="14"/>
      <c r="H18" s="71">
        <f>SUM(H2:H5)</f>
        <v>80</v>
      </c>
      <c r="I18" s="18"/>
      <c r="J18" s="18"/>
      <c r="K18" s="18">
        <f>SUM(K2:K5)</f>
        <v>17798.199999999997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25</v>
      </c>
      <c r="D19" s="349"/>
      <c r="E19" s="349"/>
      <c r="F19" s="350">
        <f>SumByColor($A$19,F2:F17)</f>
        <v>5385</v>
      </c>
      <c r="G19" s="349"/>
      <c r="H19" s="349">
        <f>SumByColor($A$19,H2:H17)</f>
        <v>25</v>
      </c>
      <c r="I19" s="349"/>
      <c r="J19" s="349"/>
      <c r="K19" s="350">
        <f>SumByColor($A$19,K2:K17)</f>
        <v>17798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43021</v>
      </c>
      <c r="C25" s="10">
        <v>30</v>
      </c>
      <c r="D25" s="39">
        <v>189.32</v>
      </c>
      <c r="E25" s="39">
        <v>198.58</v>
      </c>
      <c r="F25" s="39">
        <f t="shared" ref="F25" si="1">C25*(E25-D25)</f>
        <v>277.80000000000058</v>
      </c>
      <c r="G25" s="39">
        <f t="shared" ref="G25" si="2">D25*C25</f>
        <v>5679.5999999999995</v>
      </c>
      <c r="H25" s="226">
        <f t="shared" ref="H25" si="3">(E25-D25)/D25</f>
        <v>4.8911895203887702E-2</v>
      </c>
      <c r="I25" s="39"/>
      <c r="J25" s="39"/>
      <c r="K25" s="39"/>
      <c r="L25" s="39"/>
    </row>
    <row r="26" spans="1:13" x14ac:dyDescent="0.25">
      <c r="B26" s="188">
        <v>43031</v>
      </c>
      <c r="C26" s="10">
        <v>30</v>
      </c>
      <c r="D26" s="39">
        <v>189.32</v>
      </c>
      <c r="E26" s="39">
        <v>202.36</v>
      </c>
      <c r="F26" s="39">
        <f t="shared" ref="F26" si="4">C26*(E26-D26)</f>
        <v>391.20000000000061</v>
      </c>
      <c r="G26" s="39">
        <f t="shared" ref="G26" si="5">D26*C26</f>
        <v>5679.5999999999995</v>
      </c>
      <c r="H26" s="226">
        <f t="shared" ref="H26" si="6">(E26-D26)/D26</f>
        <v>6.8878090006338585E-2</v>
      </c>
      <c r="I26" s="39"/>
      <c r="J26" s="39"/>
      <c r="K26" s="39"/>
      <c r="L26" s="39"/>
    </row>
    <row r="27" spans="1:13" x14ac:dyDescent="0.25">
      <c r="B27" s="188">
        <v>43102</v>
      </c>
      <c r="C27" s="10">
        <v>30</v>
      </c>
      <c r="D27" s="39">
        <v>189.32</v>
      </c>
      <c r="E27" s="39">
        <v>229.63</v>
      </c>
      <c r="F27" s="39">
        <f t="shared" ref="F27" si="7">C27*(E27-D27)</f>
        <v>1209.3000000000002</v>
      </c>
      <c r="G27" s="39">
        <f t="shared" ref="G27" si="8">D27*C27</f>
        <v>5679.5999999999995</v>
      </c>
      <c r="H27" s="226">
        <f t="shared" ref="H27" si="9">(E27-D27)/D27</f>
        <v>0.21291992393830553</v>
      </c>
      <c r="I27" s="39"/>
      <c r="J27" s="39">
        <f>F27+$M$66</f>
        <v>1434.0700000000006</v>
      </c>
      <c r="K27" s="39"/>
      <c r="L27" s="158"/>
    </row>
    <row r="28" spans="1:13" x14ac:dyDescent="0.25">
      <c r="B28" s="188">
        <v>43103</v>
      </c>
      <c r="C28" s="10">
        <v>20</v>
      </c>
      <c r="D28" s="39">
        <v>164.98249999999999</v>
      </c>
      <c r="E28" s="39">
        <v>245.12</v>
      </c>
      <c r="F28" s="39">
        <f t="shared" ref="F28" si="10">C28*(E28-D28)</f>
        <v>1602.7500000000005</v>
      </c>
      <c r="G28" s="39">
        <f t="shared" ref="G28" si="11">D28*C28</f>
        <v>3299.6499999999996</v>
      </c>
      <c r="H28" s="226">
        <f t="shared" ref="H28" si="12">(E28-D28)/D28</f>
        <v>0.4857333353537498</v>
      </c>
      <c r="I28" s="39"/>
      <c r="J28" s="39">
        <f>F28+$M$66</f>
        <v>1827.5200000000009</v>
      </c>
      <c r="K28" s="39"/>
      <c r="L28" s="158"/>
    </row>
    <row r="29" spans="1:13" x14ac:dyDescent="0.25">
      <c r="B29" s="188">
        <v>43105</v>
      </c>
      <c r="C29" s="10">
        <v>20</v>
      </c>
      <c r="D29" s="39">
        <v>164.98249999999999</v>
      </c>
      <c r="E29" s="39">
        <v>237.96</v>
      </c>
      <c r="F29" s="39">
        <f t="shared" ref="F29:F33" si="13">C29*(E29-D29)</f>
        <v>1459.5500000000004</v>
      </c>
      <c r="G29" s="39">
        <f t="shared" ref="G29:G33" si="14">D29*C29</f>
        <v>3299.6499999999996</v>
      </c>
      <c r="H29" s="226">
        <f t="shared" ref="H29:H33" si="15">(E29-D29)/D29</f>
        <v>0.44233479308411516</v>
      </c>
      <c r="I29" s="39"/>
      <c r="J29" s="39">
        <f>F29+$M$66</f>
        <v>1684.3200000000008</v>
      </c>
      <c r="K29" s="39"/>
      <c r="L29" s="158"/>
    </row>
    <row r="30" spans="1:13" x14ac:dyDescent="0.25">
      <c r="A30">
        <v>20</v>
      </c>
      <c r="B30" s="188">
        <v>43108</v>
      </c>
      <c r="C30" s="10">
        <v>35</v>
      </c>
      <c r="D30" s="39">
        <v>193.78139999999999</v>
      </c>
      <c r="E30" s="39">
        <v>231.14</v>
      </c>
      <c r="F30" s="39">
        <f t="shared" si="13"/>
        <v>1307.5509999999999</v>
      </c>
      <c r="G30" s="39">
        <f t="shared" si="14"/>
        <v>6782.3489999999993</v>
      </c>
      <c r="H30" s="226">
        <f t="shared" si="15"/>
        <v>0.19278733665872988</v>
      </c>
      <c r="I30" s="39"/>
      <c r="J30" s="39">
        <v>1532</v>
      </c>
      <c r="K30" s="39"/>
      <c r="L30" s="158"/>
    </row>
    <row r="31" spans="1:13" x14ac:dyDescent="0.25">
      <c r="B31" s="188">
        <v>43112</v>
      </c>
      <c r="C31" s="10">
        <v>20</v>
      </c>
      <c r="D31" s="39">
        <v>162.9615</v>
      </c>
      <c r="E31" s="39">
        <v>237.35</v>
      </c>
      <c r="F31" s="39">
        <f t="shared" si="13"/>
        <v>1487.77</v>
      </c>
      <c r="G31" s="39">
        <f t="shared" si="14"/>
        <v>3259.23</v>
      </c>
      <c r="H31" s="226">
        <f t="shared" si="15"/>
        <v>0.45647898429997263</v>
      </c>
      <c r="I31" s="39"/>
      <c r="J31" s="39">
        <v>1712.54</v>
      </c>
      <c r="K31" s="39"/>
      <c r="L31" s="158"/>
    </row>
    <row r="32" spans="1:13" x14ac:dyDescent="0.25">
      <c r="A32">
        <v>5</v>
      </c>
      <c r="B32" s="188">
        <v>43122</v>
      </c>
      <c r="C32" s="10">
        <v>35</v>
      </c>
      <c r="D32" s="39">
        <v>193.35509999999999</v>
      </c>
      <c r="E32" s="39">
        <v>235.01</v>
      </c>
      <c r="F32" s="39">
        <f t="shared" si="13"/>
        <v>1457.9214999999999</v>
      </c>
      <c r="G32" s="39">
        <f t="shared" si="14"/>
        <v>6767.4285</v>
      </c>
      <c r="H32" s="226">
        <f t="shared" si="15"/>
        <v>0.21543212462458969</v>
      </c>
      <c r="I32" s="39"/>
      <c r="J32" s="39">
        <v>1683</v>
      </c>
      <c r="K32" s="39"/>
      <c r="L32" s="158"/>
    </row>
    <row r="33" spans="1:17" x14ac:dyDescent="0.25">
      <c r="A33">
        <v>5</v>
      </c>
      <c r="B33" s="188">
        <v>43123</v>
      </c>
      <c r="C33" s="10">
        <v>45</v>
      </c>
      <c r="D33" s="39">
        <v>201.24959999999999</v>
      </c>
      <c r="E33" s="39">
        <v>228.79</v>
      </c>
      <c r="F33" s="39">
        <f t="shared" si="13"/>
        <v>1239.3180000000002</v>
      </c>
      <c r="G33" s="39">
        <f t="shared" si="14"/>
        <v>9056.232</v>
      </c>
      <c r="H33" s="226">
        <f t="shared" si="15"/>
        <v>0.13684698006853185</v>
      </c>
      <c r="I33" s="39"/>
      <c r="J33" s="39">
        <v>1464</v>
      </c>
      <c r="K33" s="39"/>
      <c r="L33" s="158"/>
    </row>
    <row r="34" spans="1:17" x14ac:dyDescent="0.25">
      <c r="B34" s="188">
        <v>43124</v>
      </c>
      <c r="C34" s="10">
        <v>45</v>
      </c>
      <c r="D34" s="39">
        <v>201.24959999999999</v>
      </c>
      <c r="E34" s="39">
        <v>224.31</v>
      </c>
      <c r="F34" s="39">
        <f t="shared" ref="F34:F38" si="16">C34*(E34-D34)</f>
        <v>1037.7180000000008</v>
      </c>
      <c r="G34" s="39">
        <f t="shared" ref="G34:G38" si="17">D34*C34</f>
        <v>9056.232</v>
      </c>
      <c r="H34" s="226">
        <f t="shared" ref="H34:H38" si="18">(E34-D34)/D34</f>
        <v>0.11458606625801998</v>
      </c>
      <c r="I34" s="39"/>
      <c r="J34" s="39">
        <v>1262</v>
      </c>
      <c r="K34" s="39"/>
      <c r="L34" s="158"/>
    </row>
    <row r="35" spans="1:17" x14ac:dyDescent="0.25">
      <c r="A35">
        <v>5</v>
      </c>
      <c r="B35" s="188">
        <v>43132</v>
      </c>
      <c r="C35" s="7">
        <v>55</v>
      </c>
      <c r="D35" s="43">
        <v>204.66</v>
      </c>
      <c r="E35" s="39">
        <v>219.4</v>
      </c>
      <c r="F35" s="39">
        <f t="shared" si="16"/>
        <v>810.7000000000005</v>
      </c>
      <c r="G35" s="39">
        <f t="shared" si="17"/>
        <v>11256.3</v>
      </c>
      <c r="H35" s="226">
        <f t="shared" si="18"/>
        <v>7.2021889963842511E-2</v>
      </c>
      <c r="I35" s="39"/>
      <c r="J35" s="39">
        <v>1036</v>
      </c>
      <c r="K35" s="39"/>
      <c r="L35" s="158"/>
    </row>
    <row r="36" spans="1:17" x14ac:dyDescent="0.25">
      <c r="A36">
        <v>5</v>
      </c>
      <c r="B36" s="188">
        <v>43137</v>
      </c>
      <c r="C36" s="10">
        <v>100</v>
      </c>
      <c r="D36" s="39">
        <v>206.1</v>
      </c>
      <c r="E36" s="39">
        <v>218.59</v>
      </c>
      <c r="F36" s="39">
        <f t="shared" si="16"/>
        <v>1249.0000000000009</v>
      </c>
      <c r="G36" s="39">
        <f t="shared" si="17"/>
        <v>20610</v>
      </c>
      <c r="H36" s="226">
        <f t="shared" si="18"/>
        <v>6.060164968461916E-2</v>
      </c>
      <c r="I36" s="39"/>
      <c r="J36" s="39">
        <v>1473</v>
      </c>
      <c r="K36" s="39"/>
      <c r="L36" s="39"/>
    </row>
    <row r="37" spans="1:17" x14ac:dyDescent="0.25">
      <c r="B37" s="188">
        <v>43140</v>
      </c>
      <c r="C37" s="10">
        <v>110</v>
      </c>
      <c r="D37" s="39">
        <v>206.08</v>
      </c>
      <c r="E37" s="39">
        <v>218.55</v>
      </c>
      <c r="F37" s="39">
        <f t="shared" si="16"/>
        <v>1371.6999999999998</v>
      </c>
      <c r="G37" s="39">
        <f t="shared" si="17"/>
        <v>22668.800000000003</v>
      </c>
      <c r="H37" s="226">
        <f t="shared" si="18"/>
        <v>6.0510481366459618E-2</v>
      </c>
      <c r="I37" s="39"/>
      <c r="J37" s="39"/>
      <c r="K37" s="39"/>
      <c r="L37" s="39"/>
    </row>
    <row r="38" spans="1:17" x14ac:dyDescent="0.25">
      <c r="A38">
        <v>0</v>
      </c>
      <c r="B38" s="188">
        <v>43140</v>
      </c>
      <c r="C38" s="7">
        <v>55</v>
      </c>
      <c r="D38" s="43">
        <v>195.89</v>
      </c>
      <c r="E38" s="39">
        <v>218.55</v>
      </c>
      <c r="F38" s="39">
        <f t="shared" si="16"/>
        <v>1246.3000000000013</v>
      </c>
      <c r="G38" s="39">
        <f t="shared" si="17"/>
        <v>10773.949999999999</v>
      </c>
      <c r="H38" s="226">
        <f t="shared" si="18"/>
        <v>0.11567716575629193</v>
      </c>
      <c r="I38" s="39"/>
      <c r="J38" s="39">
        <v>1471</v>
      </c>
      <c r="K38" s="39"/>
      <c r="L38" s="39"/>
    </row>
    <row r="39" spans="1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1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</row>
    <row r="41" spans="1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240.40500000000003</v>
      </c>
      <c r="Q41" s="2"/>
    </row>
    <row r="42" spans="1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9">O42*$Q$4</f>
        <v>238.21950000000004</v>
      </c>
      <c r="Q42" s="2"/>
    </row>
    <row r="43" spans="1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9"/>
        <v>236.03400000000002</v>
      </c>
      <c r="Q43" s="2"/>
    </row>
    <row r="44" spans="1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9"/>
        <v>233.84850000000003</v>
      </c>
      <c r="Q44" s="2"/>
    </row>
    <row r="45" spans="1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9"/>
        <v>231.66300000000001</v>
      </c>
      <c r="Q45" s="2"/>
    </row>
    <row r="46" spans="1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9"/>
        <v>229.47750000000002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9"/>
        <v>227.29200000000003</v>
      </c>
      <c r="Q47" s="2"/>
    </row>
    <row r="48" spans="1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9"/>
        <v>225.10650000000001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9"/>
        <v>222.92100000000002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9"/>
        <v>220.7355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9"/>
        <v>218.55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9"/>
        <v>216.36450000000002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9"/>
        <v>214.179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9"/>
        <v>211.99350000000001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9"/>
        <v>209.80799999999999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9"/>
        <v>207.6225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9"/>
        <v>205.43700000000001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9"/>
        <v>203.25150000000002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9"/>
        <v>201.06600000000003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9"/>
        <v>198.88050000000001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9"/>
        <v>196.69500000000002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224.77000000000044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741</v>
      </c>
      <c r="B68" s="581">
        <v>42972</v>
      </c>
      <c r="C68" s="578">
        <v>15</v>
      </c>
      <c r="D68" s="579">
        <v>210.01</v>
      </c>
      <c r="E68" s="579">
        <v>0</v>
      </c>
      <c r="F68" s="579">
        <f>C68*D68+E68</f>
        <v>3150.1499999999996</v>
      </c>
      <c r="G68" s="581">
        <v>43005</v>
      </c>
      <c r="H68" s="578">
        <v>15</v>
      </c>
      <c r="I68" s="579">
        <v>225</v>
      </c>
      <c r="J68" s="579">
        <v>0.08</v>
      </c>
      <c r="K68" s="579">
        <f>H68*I68-J68</f>
        <v>3374.92</v>
      </c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15</v>
      </c>
      <c r="D84" s="707"/>
      <c r="E84" s="707"/>
      <c r="F84" s="707">
        <f>SUM(F68:F72)</f>
        <v>3150.1499999999996</v>
      </c>
      <c r="G84" s="706"/>
      <c r="H84" s="708">
        <f>SUM(H68:H71)</f>
        <v>15</v>
      </c>
      <c r="I84" s="707"/>
      <c r="J84" s="707"/>
      <c r="K84" s="707">
        <f>SUM(K68:K71)</f>
        <v>3374.92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>
        <v>42972</v>
      </c>
      <c r="C89" s="10">
        <v>15</v>
      </c>
      <c r="D89" s="39">
        <v>210.01</v>
      </c>
      <c r="E89" s="39">
        <v>212.36</v>
      </c>
      <c r="F89" s="39">
        <f t="shared" ref="F89:F90" si="20">C89*(E89-D89)</f>
        <v>35.250000000000341</v>
      </c>
      <c r="G89" s="39">
        <f t="shared" ref="G89:G90" si="21">D89*C89</f>
        <v>3150.1499999999996</v>
      </c>
      <c r="H89" s="226">
        <f t="shared" ref="H89:H90" si="22">(E89-D89)/D89</f>
        <v>1.1189943336031726E-2</v>
      </c>
      <c r="I89" s="39"/>
      <c r="J89" s="39"/>
      <c r="K89" s="39"/>
      <c r="L89" s="39"/>
    </row>
    <row r="90" spans="1:13" x14ac:dyDescent="0.25">
      <c r="B90" s="188">
        <v>42983</v>
      </c>
      <c r="C90" s="10">
        <v>15</v>
      </c>
      <c r="D90" s="39">
        <v>210.01</v>
      </c>
      <c r="E90" s="39">
        <v>223.9</v>
      </c>
      <c r="F90" s="39">
        <f t="shared" si="20"/>
        <v>208.35000000000022</v>
      </c>
      <c r="G90" s="39">
        <f t="shared" si="21"/>
        <v>3150.1499999999996</v>
      </c>
      <c r="H90" s="226">
        <f t="shared" si="22"/>
        <v>6.6139707632969932E-2</v>
      </c>
      <c r="I90" s="39"/>
      <c r="J90" s="39"/>
      <c r="K90" s="39"/>
      <c r="L90" s="39"/>
    </row>
    <row r="91" spans="1:13" x14ac:dyDescent="0.25">
      <c r="B91" s="188">
        <v>43005</v>
      </c>
      <c r="C91" s="10">
        <v>0</v>
      </c>
      <c r="D91" s="39"/>
      <c r="E91" s="39"/>
      <c r="F91" s="39">
        <v>224.77</v>
      </c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93" priority="35">
      <formula>F47&gt;0</formula>
    </cfRule>
    <cfRule type="expression" dxfId="1392" priority="36">
      <formula>F47&lt;0</formula>
    </cfRule>
  </conditionalFormatting>
  <conditionalFormatting sqref="Q7">
    <cfRule type="expression" dxfId="1391" priority="33">
      <formula>Q7&gt;0</formula>
    </cfRule>
    <cfRule type="expression" dxfId="1390" priority="34">
      <formula>Q7&lt;0</formula>
    </cfRule>
  </conditionalFormatting>
  <conditionalFormatting sqref="Q8">
    <cfRule type="expression" dxfId="1389" priority="31">
      <formula>Q8&gt;0</formula>
    </cfRule>
    <cfRule type="expression" dxfId="1388" priority="32">
      <formula>Q8&lt;0</formula>
    </cfRule>
  </conditionalFormatting>
  <conditionalFormatting sqref="F30:F46">
    <cfRule type="expression" dxfId="1387" priority="29">
      <formula>F30&gt;0</formula>
    </cfRule>
    <cfRule type="expression" dxfId="1386" priority="30">
      <formula>F30&lt;0</formula>
    </cfRule>
  </conditionalFormatting>
  <conditionalFormatting sqref="H30:H46">
    <cfRule type="expression" dxfId="1385" priority="27">
      <formula>H30&gt;0</formula>
    </cfRule>
    <cfRule type="expression" dxfId="1384" priority="28">
      <formula>H30&lt;0</formula>
    </cfRule>
  </conditionalFormatting>
  <conditionalFormatting sqref="Q10">
    <cfRule type="expression" dxfId="1383" priority="21">
      <formula>Q10&gt;0</formula>
    </cfRule>
    <cfRule type="expression" dxfId="1382" priority="22">
      <formula>Q10&lt;0</formula>
    </cfRule>
  </conditionalFormatting>
  <conditionalFormatting sqref="J25:J38">
    <cfRule type="expression" dxfId="1381" priority="19">
      <formula>J25&gt;0</formula>
    </cfRule>
    <cfRule type="expression" dxfId="1380" priority="20">
      <formula>J25&lt;0</formula>
    </cfRule>
  </conditionalFormatting>
  <conditionalFormatting sqref="K25:K38">
    <cfRule type="expression" dxfId="1379" priority="17">
      <formula>K25&gt;0</formula>
    </cfRule>
    <cfRule type="expression" dxfId="1378" priority="18">
      <formula>K25&lt;0</formula>
    </cfRule>
  </conditionalFormatting>
  <conditionalFormatting sqref="L25:L38">
    <cfRule type="expression" dxfId="1377" priority="15">
      <formula>L25&gt;0</formula>
    </cfRule>
    <cfRule type="expression" dxfId="1376" priority="16">
      <formula>L25&lt;0</formula>
    </cfRule>
  </conditionalFormatting>
  <conditionalFormatting sqref="F89:F110">
    <cfRule type="expression" dxfId="1375" priority="13">
      <formula>F89&gt;0</formula>
    </cfRule>
    <cfRule type="expression" dxfId="1374" priority="14">
      <formula>F89&lt;0</formula>
    </cfRule>
  </conditionalFormatting>
  <conditionalFormatting sqref="H89:H110">
    <cfRule type="expression" dxfId="1373" priority="11">
      <formula>H89&gt;0</formula>
    </cfRule>
    <cfRule type="expression" dxfId="1372" priority="12">
      <formula>H89&lt;0</formula>
    </cfRule>
  </conditionalFormatting>
  <conditionalFormatting sqref="J89:J102">
    <cfRule type="expression" dxfId="1371" priority="9">
      <formula>J89&gt;0</formula>
    </cfRule>
    <cfRule type="expression" dxfId="1370" priority="10">
      <formula>J89&lt;0</formula>
    </cfRule>
  </conditionalFormatting>
  <conditionalFormatting sqref="K89:K102">
    <cfRule type="expression" dxfId="1369" priority="7">
      <formula>K89&gt;0</formula>
    </cfRule>
    <cfRule type="expression" dxfId="1368" priority="8">
      <formula>K89&lt;0</formula>
    </cfRule>
  </conditionalFormatting>
  <conditionalFormatting sqref="L89:L102">
    <cfRule type="expression" dxfId="1367" priority="5">
      <formula>L89&gt;0</formula>
    </cfRule>
    <cfRule type="expression" dxfId="1366" priority="6">
      <formula>L89&lt;0</formula>
    </cfRule>
  </conditionalFormatting>
  <conditionalFormatting sqref="F25:F29">
    <cfRule type="expression" dxfId="1365" priority="3">
      <formula>F25&gt;0</formula>
    </cfRule>
    <cfRule type="expression" dxfId="1364" priority="4">
      <formula>F25&lt;0</formula>
    </cfRule>
  </conditionalFormatting>
  <conditionalFormatting sqref="H25:H29">
    <cfRule type="expression" dxfId="1363" priority="1">
      <formula>H25&gt;0</formula>
    </cfRule>
    <cfRule type="expression" dxfId="13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885</v>
      </c>
      <c r="B2" s="72">
        <v>43102</v>
      </c>
      <c r="C2" s="4">
        <v>30</v>
      </c>
      <c r="D2" s="3">
        <v>85.18</v>
      </c>
      <c r="E2" s="3">
        <v>0</v>
      </c>
      <c r="F2" s="3">
        <f>C2*D2+E2</f>
        <v>2555.4</v>
      </c>
      <c r="G2" s="72"/>
      <c r="H2" s="4"/>
      <c r="I2" s="3"/>
      <c r="J2" s="3"/>
      <c r="K2" s="3"/>
      <c r="L2" s="72" t="s">
        <v>963</v>
      </c>
      <c r="M2" s="3">
        <v>10.199999999999999</v>
      </c>
      <c r="O2" s="11" t="s">
        <v>57</v>
      </c>
      <c r="Q2">
        <f>C18-H18</f>
        <v>60</v>
      </c>
      <c r="T2" s="1">
        <v>43119</v>
      </c>
      <c r="U2" t="s">
        <v>966</v>
      </c>
      <c r="W2" s="134"/>
    </row>
    <row r="3" spans="1:23" x14ac:dyDescent="0.25">
      <c r="A3" s="22" t="s">
        <v>71</v>
      </c>
      <c r="B3" s="486">
        <v>43116</v>
      </c>
      <c r="C3" s="4">
        <v>30</v>
      </c>
      <c r="D3" s="3">
        <v>87.4</v>
      </c>
      <c r="E3" s="3">
        <v>0</v>
      </c>
      <c r="F3" s="3">
        <f>C3*D3+E3</f>
        <v>2622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86.11999999999999</v>
      </c>
      <c r="T3" s="1"/>
      <c r="U3" t="s">
        <v>967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89.58</v>
      </c>
      <c r="R4" s="509">
        <v>9.1000000000000004E-3</v>
      </c>
      <c r="T4" s="1"/>
      <c r="U4" t="s">
        <v>968</v>
      </c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5374.8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5167.2</v>
      </c>
      <c r="U6" t="s">
        <v>969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207.60000000000036</v>
      </c>
      <c r="R7">
        <v>30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207.60000000000036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4.0176497909893243E-2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7.5909801294931911E-3</v>
      </c>
      <c r="R11">
        <v>0.17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04" t="s">
        <v>78</v>
      </c>
      <c r="P15" s="804"/>
      <c r="W15" s="134"/>
    </row>
    <row r="16" spans="1:23" ht="15.75" thickTop="1" x14ac:dyDescent="0.25">
      <c r="H16" s="70"/>
      <c r="O16" s="81">
        <v>1.1000000000000001</v>
      </c>
      <c r="P16" s="81">
        <f>O16*$Q$4</f>
        <v>98.538000000000011</v>
      </c>
      <c r="W16" s="134"/>
    </row>
    <row r="17" spans="1:23" x14ac:dyDescent="0.25">
      <c r="O17" s="81">
        <v>1.0900000000000001</v>
      </c>
      <c r="P17" s="81">
        <f t="shared" ref="P17:P36" si="0">O17*$Q$4</f>
        <v>97.642200000000003</v>
      </c>
      <c r="W17" s="134"/>
    </row>
    <row r="18" spans="1:23" x14ac:dyDescent="0.25">
      <c r="A18" s="31" t="s">
        <v>81</v>
      </c>
      <c r="B18" s="14"/>
      <c r="C18" s="14">
        <f>SUM(C2:C6)</f>
        <v>60</v>
      </c>
      <c r="D18" s="18"/>
      <c r="E18" s="18"/>
      <c r="F18" s="18">
        <f>SUM(F2:F6)</f>
        <v>5177.3999999999996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10.199999999999999</v>
      </c>
      <c r="O18" s="81">
        <v>1.08</v>
      </c>
      <c r="P18" s="81">
        <f t="shared" si="0"/>
        <v>96.746400000000008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1.07</v>
      </c>
      <c r="P19" s="81">
        <f t="shared" si="0"/>
        <v>95.8506</v>
      </c>
      <c r="W19" s="134"/>
    </row>
    <row r="20" spans="1:23" x14ac:dyDescent="0.25">
      <c r="O20" s="81">
        <v>1.06</v>
      </c>
      <c r="P20" s="81">
        <f t="shared" si="0"/>
        <v>94.954800000000006</v>
      </c>
      <c r="W20" s="134"/>
    </row>
    <row r="21" spans="1:23" x14ac:dyDescent="0.25">
      <c r="O21" s="81">
        <v>1.05</v>
      </c>
      <c r="P21" s="81">
        <f t="shared" si="0"/>
        <v>94.058999999999997</v>
      </c>
      <c r="W21" s="134"/>
    </row>
    <row r="22" spans="1:23" x14ac:dyDescent="0.25">
      <c r="O22" s="81">
        <v>1.04</v>
      </c>
      <c r="P22" s="81">
        <f t="shared" si="0"/>
        <v>93.163200000000003</v>
      </c>
      <c r="W22" s="134"/>
    </row>
    <row r="23" spans="1:23" x14ac:dyDescent="0.25">
      <c r="O23" s="81">
        <v>1.03</v>
      </c>
      <c r="P23" s="81">
        <f t="shared" si="0"/>
        <v>92.267399999999995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1.02</v>
      </c>
      <c r="P24" s="81">
        <f t="shared" si="0"/>
        <v>91.371600000000001</v>
      </c>
      <c r="W24" s="134"/>
    </row>
    <row r="25" spans="1:23" x14ac:dyDescent="0.25">
      <c r="B25" s="188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6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90.475799999999992</v>
      </c>
      <c r="W25" s="134"/>
    </row>
    <row r="26" spans="1:23" x14ac:dyDescent="0.25">
      <c r="B26" s="188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6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89.58</v>
      </c>
      <c r="W26" s="134"/>
    </row>
    <row r="27" spans="1:23" x14ac:dyDescent="0.25">
      <c r="B27" s="188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6">
        <f t="shared" ref="H27" si="9">(E27-D27)/D27</f>
        <v>1.1704716653146261E-2</v>
      </c>
      <c r="I27" s="39">
        <v>85.5</v>
      </c>
      <c r="J27" s="39"/>
      <c r="K27" s="39"/>
      <c r="L27" s="158"/>
      <c r="O27" s="81">
        <v>0.99</v>
      </c>
      <c r="P27" s="81">
        <f t="shared" si="0"/>
        <v>88.684200000000004</v>
      </c>
      <c r="W27" s="134"/>
    </row>
    <row r="28" spans="1:23" x14ac:dyDescent="0.25">
      <c r="B28" s="188">
        <v>43117</v>
      </c>
      <c r="C28" s="10">
        <v>60</v>
      </c>
      <c r="D28" s="39">
        <v>86.29</v>
      </c>
      <c r="E28" s="39">
        <v>88.4</v>
      </c>
      <c r="F28" s="39">
        <f t="shared" ref="F28" si="10">C28*(E28-D28)</f>
        <v>126.59999999999997</v>
      </c>
      <c r="G28" s="39">
        <f t="shared" ref="G28:G29" si="11">D28*C28</f>
        <v>5177.4000000000005</v>
      </c>
      <c r="H28" s="226">
        <f t="shared" ref="H28" si="12">(E28-D28)/D28</f>
        <v>2.445242785954339E-2</v>
      </c>
      <c r="I28" s="39"/>
      <c r="J28" s="39"/>
      <c r="K28" s="39"/>
      <c r="L28" s="158"/>
      <c r="O28" s="81">
        <v>0.98</v>
      </c>
      <c r="P28" s="81">
        <f t="shared" si="0"/>
        <v>87.788399999999996</v>
      </c>
      <c r="W28" s="134"/>
    </row>
    <row r="29" spans="1:23" x14ac:dyDescent="0.25">
      <c r="B29" s="188">
        <v>43140</v>
      </c>
      <c r="C29" s="10">
        <v>60</v>
      </c>
      <c r="D29" s="39">
        <v>86.12</v>
      </c>
      <c r="E29" s="39"/>
      <c r="F29" s="39"/>
      <c r="G29" s="39">
        <f t="shared" si="11"/>
        <v>5167.2000000000007</v>
      </c>
      <c r="H29" s="226"/>
      <c r="I29" s="39"/>
      <c r="J29" s="39"/>
      <c r="K29" s="39" t="s">
        <v>185</v>
      </c>
      <c r="L29" s="158"/>
      <c r="O29" s="81">
        <v>0.97</v>
      </c>
      <c r="P29" s="81">
        <f t="shared" si="0"/>
        <v>86.892600000000002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0.96</v>
      </c>
      <c r="P30" s="81">
        <f t="shared" si="0"/>
        <v>85.996799999999993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0.95</v>
      </c>
      <c r="P31" s="81">
        <f t="shared" si="0"/>
        <v>85.100999999999999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0.94</v>
      </c>
      <c r="P32" s="81">
        <f t="shared" si="0"/>
        <v>84.205199999999991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0.93</v>
      </c>
      <c r="P33" s="81">
        <f t="shared" si="0"/>
        <v>83.309399999999997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0.92</v>
      </c>
      <c r="P34" s="81">
        <f t="shared" si="0"/>
        <v>82.413600000000002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0.91</v>
      </c>
      <c r="P35" s="81">
        <f t="shared" si="0"/>
        <v>81.517800000000008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</v>
      </c>
      <c r="P36" s="81">
        <f t="shared" si="0"/>
        <v>80.622</v>
      </c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61" priority="21">
      <formula>F47&gt;0</formula>
    </cfRule>
    <cfRule type="expression" dxfId="1360" priority="22">
      <formula>F47&lt;0</formula>
    </cfRule>
  </conditionalFormatting>
  <conditionalFormatting sqref="Q7">
    <cfRule type="expression" dxfId="1359" priority="19">
      <formula>Q7&gt;0</formula>
    </cfRule>
    <cfRule type="expression" dxfId="1358" priority="20">
      <formula>Q7&lt;0</formula>
    </cfRule>
  </conditionalFormatting>
  <conditionalFormatting sqref="Q8">
    <cfRule type="expression" dxfId="1357" priority="17">
      <formula>Q8&gt;0</formula>
    </cfRule>
    <cfRule type="expression" dxfId="1356" priority="18">
      <formula>Q8&lt;0</formula>
    </cfRule>
  </conditionalFormatting>
  <conditionalFormatting sqref="F25:F46">
    <cfRule type="expression" dxfId="1355" priority="15">
      <formula>F25&gt;0</formula>
    </cfRule>
    <cfRule type="expression" dxfId="1354" priority="16">
      <formula>F25&lt;0</formula>
    </cfRule>
  </conditionalFormatting>
  <conditionalFormatting sqref="H25:H46">
    <cfRule type="expression" dxfId="1353" priority="13">
      <formula>H25&gt;0</formula>
    </cfRule>
    <cfRule type="expression" dxfId="1352" priority="14">
      <formula>H25&lt;0</formula>
    </cfRule>
  </conditionalFormatting>
  <conditionalFormatting sqref="F89:F110">
    <cfRule type="expression" dxfId="1351" priority="11">
      <formula>F89&gt;0</formula>
    </cfRule>
    <cfRule type="expression" dxfId="1350" priority="12">
      <formula>F89&lt;0</formula>
    </cfRule>
  </conditionalFormatting>
  <conditionalFormatting sqref="H89:H110">
    <cfRule type="expression" dxfId="1349" priority="9">
      <formula>H89&gt;0</formula>
    </cfRule>
    <cfRule type="expression" dxfId="1348" priority="10">
      <formula>H89&lt;0</formula>
    </cfRule>
  </conditionalFormatting>
  <conditionalFormatting sqref="Q10">
    <cfRule type="expression" dxfId="1347" priority="7">
      <formula>Q10&gt;0</formula>
    </cfRule>
    <cfRule type="expression" dxfId="1346" priority="8">
      <formula>Q10&lt;0</formula>
    </cfRule>
  </conditionalFormatting>
  <conditionalFormatting sqref="J25:J38">
    <cfRule type="expression" dxfId="1345" priority="5">
      <formula>J25&gt;0</formula>
    </cfRule>
    <cfRule type="expression" dxfId="1344" priority="6">
      <formula>J25&lt;0</formula>
    </cfRule>
  </conditionalFormatting>
  <conditionalFormatting sqref="K25:K38">
    <cfRule type="expression" dxfId="1343" priority="3">
      <formula>K25&gt;0</formula>
    </cfRule>
    <cfRule type="expression" dxfId="1342" priority="4">
      <formula>K25&lt;0</formula>
    </cfRule>
  </conditionalFormatting>
  <conditionalFormatting sqref="L25:L38">
    <cfRule type="expression" dxfId="1341" priority="1">
      <formula>L25&gt;0</formula>
    </cfRule>
    <cfRule type="expression" dxfId="134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8" max="18" width="9.7109375" bestFit="1" customWidth="1"/>
    <col min="20" max="20" width="13.7109375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724</v>
      </c>
      <c r="B2" s="445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45">
        <v>42963</v>
      </c>
      <c r="H2" s="7">
        <v>50</v>
      </c>
      <c r="I2" s="43">
        <v>92.48</v>
      </c>
      <c r="J2" s="43">
        <v>0.11</v>
      </c>
      <c r="K2" s="43">
        <f t="shared" ref="K2:K7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60</v>
      </c>
      <c r="T2" s="1">
        <v>43100</v>
      </c>
      <c r="U2" t="s">
        <v>883</v>
      </c>
    </row>
    <row r="3" spans="1:21" x14ac:dyDescent="0.25">
      <c r="A3" s="22" t="s">
        <v>71</v>
      </c>
      <c r="B3" s="445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45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5">
        <f>IF(Q2=0, Q4, (F18-K18-M18)/Q2)</f>
        <v>85.350333333333339</v>
      </c>
    </row>
    <row r="4" spans="1:21" x14ac:dyDescent="0.25">
      <c r="B4" s="445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45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109.14</v>
      </c>
      <c r="R4" s="509">
        <v>-4.4999999999999997E-3</v>
      </c>
      <c r="T4" s="1">
        <v>42738</v>
      </c>
      <c r="U4" t="s">
        <v>882</v>
      </c>
    </row>
    <row r="5" spans="1:21" x14ac:dyDescent="0.25">
      <c r="B5" s="445">
        <v>42962</v>
      </c>
      <c r="C5" s="4">
        <v>50</v>
      </c>
      <c r="D5" s="3">
        <v>90</v>
      </c>
      <c r="E5" s="3">
        <v>0</v>
      </c>
      <c r="F5" s="3">
        <f t="shared" si="0"/>
        <v>4500</v>
      </c>
      <c r="G5" s="445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4"/>
      <c r="M5" s="4"/>
      <c r="O5" s="11" t="s">
        <v>67</v>
      </c>
      <c r="Q5" s="3">
        <f>Q4*Q2</f>
        <v>6548.4</v>
      </c>
      <c r="T5" s="1">
        <v>43105</v>
      </c>
      <c r="U5" t="s">
        <v>911</v>
      </c>
    </row>
    <row r="6" spans="1:21" x14ac:dyDescent="0.25">
      <c r="B6" s="445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45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5121.0200000000004</v>
      </c>
    </row>
    <row r="7" spans="1:21" x14ac:dyDescent="0.25">
      <c r="B7" s="445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45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1427.3799999999992</v>
      </c>
      <c r="R7">
        <v>50</v>
      </c>
      <c r="T7" s="1">
        <v>43112</v>
      </c>
      <c r="U7" t="s">
        <v>917</v>
      </c>
    </row>
    <row r="8" spans="1:21" x14ac:dyDescent="0.25">
      <c r="B8" s="445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1427.3799999999992</v>
      </c>
    </row>
    <row r="9" spans="1:21" x14ac:dyDescent="0.25">
      <c r="B9" s="72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0.27872962808190538</v>
      </c>
      <c r="T9" s="1">
        <v>43114</v>
      </c>
      <c r="U9" t="s">
        <v>939</v>
      </c>
    </row>
    <row r="10" spans="1:21" x14ac:dyDescent="0.25">
      <c r="B10" s="486">
        <v>43130</v>
      </c>
      <c r="C10" s="4">
        <v>10</v>
      </c>
      <c r="D10" s="3">
        <v>118</v>
      </c>
      <c r="E10" s="3">
        <v>0</v>
      </c>
      <c r="F10" s="3">
        <f>C10*D10+E10</f>
        <v>1180</v>
      </c>
      <c r="H10" s="70"/>
      <c r="O10" s="11" t="s">
        <v>209</v>
      </c>
      <c r="P10" s="33"/>
      <c r="Q10" s="2">
        <f>M66</f>
        <v>0</v>
      </c>
      <c r="U10" t="s">
        <v>940</v>
      </c>
    </row>
    <row r="11" spans="1:21" x14ac:dyDescent="0.25">
      <c r="C11" s="4"/>
      <c r="D11" s="3"/>
      <c r="E11" s="3"/>
      <c r="F11" s="3"/>
      <c r="H11" s="70"/>
      <c r="O11" s="11" t="s">
        <v>176</v>
      </c>
      <c r="P11" s="33"/>
      <c r="Q11" s="134">
        <v>2.8E-3</v>
      </c>
      <c r="R11">
        <v>0.06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04" t="s">
        <v>78</v>
      </c>
      <c r="P17" s="804"/>
    </row>
    <row r="18" spans="1:17" ht="15.75" thickTop="1" x14ac:dyDescent="0.25">
      <c r="A18" s="31" t="s">
        <v>81</v>
      </c>
      <c r="B18" s="14"/>
      <c r="C18" s="14">
        <f>SUM(C2:C11)</f>
        <v>260</v>
      </c>
      <c r="D18" s="18"/>
      <c r="E18" s="18"/>
      <c r="F18" s="18">
        <f>SUM(F2:F11)</f>
        <v>25154.600000000002</v>
      </c>
      <c r="G18" s="14"/>
      <c r="H18" s="71">
        <f>SUM(H2:H7)</f>
        <v>200</v>
      </c>
      <c r="I18" s="18"/>
      <c r="J18" s="18"/>
      <c r="K18" s="18">
        <f>SUM(K2:K7)</f>
        <v>20021.580000000002</v>
      </c>
      <c r="L18" s="14"/>
      <c r="M18" s="18">
        <f>SUM(M2:M10)</f>
        <v>12</v>
      </c>
      <c r="O18" s="81">
        <v>1.1000000000000001</v>
      </c>
      <c r="P18" s="81">
        <f>O18*$Q$4</f>
        <v>120.05400000000002</v>
      </c>
      <c r="Q18" s="2"/>
    </row>
    <row r="19" spans="1:17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19474</v>
      </c>
      <c r="G19" s="349"/>
      <c r="H19" s="349">
        <f>SumByColor($A$19,H2:H17)</f>
        <v>200</v>
      </c>
      <c r="I19" s="349"/>
      <c r="J19" s="349"/>
      <c r="K19" s="350">
        <f>SumByColor($A$19,K2:K17)</f>
        <v>20021</v>
      </c>
      <c r="L19" s="349"/>
      <c r="M19" s="350">
        <f>SumByColor($A$19,M2:M17)</f>
        <v>12</v>
      </c>
      <c r="O19" s="81">
        <v>1.0900000000000001</v>
      </c>
      <c r="P19" s="81">
        <f t="shared" ref="P19:P38" si="3">O19*$Q$4</f>
        <v>118.96260000000001</v>
      </c>
      <c r="Q19" s="2"/>
    </row>
    <row r="20" spans="1:17" x14ac:dyDescent="0.25">
      <c r="O20" s="81">
        <v>1.08</v>
      </c>
      <c r="P20" s="81">
        <f t="shared" si="3"/>
        <v>117.8712</v>
      </c>
      <c r="Q20" s="2"/>
    </row>
    <row r="21" spans="1:17" x14ac:dyDescent="0.25">
      <c r="O21" s="81">
        <v>1.07</v>
      </c>
      <c r="P21" s="81">
        <f t="shared" si="3"/>
        <v>116.77980000000001</v>
      </c>
      <c r="Q21" s="2"/>
    </row>
    <row r="22" spans="1:17" x14ac:dyDescent="0.25">
      <c r="O22" s="81">
        <v>1.06</v>
      </c>
      <c r="P22" s="81">
        <f t="shared" si="3"/>
        <v>115.6884</v>
      </c>
      <c r="Q22" s="2"/>
    </row>
    <row r="23" spans="1:17" x14ac:dyDescent="0.25">
      <c r="O23" s="81">
        <v>1.05</v>
      </c>
      <c r="P23" s="81">
        <f t="shared" si="3"/>
        <v>114.59700000000001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514</v>
      </c>
      <c r="O24" s="81">
        <v>1.04</v>
      </c>
      <c r="P24" s="81">
        <f t="shared" si="3"/>
        <v>113.5056</v>
      </c>
      <c r="Q24" s="2"/>
    </row>
    <row r="25" spans="1:17" x14ac:dyDescent="0.25">
      <c r="B25" s="188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6">
        <f t="shared" ref="H25" si="6">(E25-D25)/D25</f>
        <v>-1.1890427453341242E-2</v>
      </c>
      <c r="I25" s="39"/>
      <c r="J25" s="39"/>
      <c r="K25" s="39"/>
      <c r="L25" s="39"/>
      <c r="O25" s="81">
        <v>1.03</v>
      </c>
      <c r="P25" s="81">
        <f t="shared" si="3"/>
        <v>112.41420000000001</v>
      </c>
      <c r="Q25" s="2"/>
    </row>
    <row r="26" spans="1:17" x14ac:dyDescent="0.25">
      <c r="B26" s="188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6">
        <f>(E26-D26)/D26</f>
        <v>-0.12715044719268856</v>
      </c>
      <c r="I26" s="39"/>
      <c r="J26" s="39"/>
      <c r="K26" s="39"/>
      <c r="L26" s="39"/>
      <c r="O26" s="81">
        <v>1.02</v>
      </c>
      <c r="P26" s="81">
        <f t="shared" si="3"/>
        <v>111.3228</v>
      </c>
      <c r="Q26" s="2"/>
    </row>
    <row r="27" spans="1:17" x14ac:dyDescent="0.25">
      <c r="B27" s="188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6">
        <f t="shared" ref="H27" si="11">(E27-D27)/D27</f>
        <v>-3.1233864348524015E-2</v>
      </c>
      <c r="I27" s="39"/>
      <c r="J27" s="39"/>
      <c r="K27" s="39"/>
      <c r="L27" s="158"/>
      <c r="O27" s="81">
        <v>1.01</v>
      </c>
      <c r="P27" s="81">
        <f t="shared" si="3"/>
        <v>110.23140000000001</v>
      </c>
      <c r="Q27" s="2"/>
    </row>
    <row r="28" spans="1:17" x14ac:dyDescent="0.25">
      <c r="B28" s="188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6">
        <f t="shared" ref="H28" si="14">(E28-D28)/D28</f>
        <v>-0.17360077743022867</v>
      </c>
      <c r="I28" s="39"/>
      <c r="J28" s="39"/>
      <c r="K28" s="39"/>
      <c r="L28" s="158"/>
      <c r="O28" s="81">
        <v>1</v>
      </c>
      <c r="P28" s="81">
        <f t="shared" si="3"/>
        <v>109.14</v>
      </c>
      <c r="Q28" s="2"/>
    </row>
    <row r="29" spans="1:17" x14ac:dyDescent="0.25">
      <c r="B29" s="188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6">
        <f t="shared" ref="H29" si="17">(E29-D29)/D29</f>
        <v>-0.23593928226726332</v>
      </c>
      <c r="I29" s="39"/>
      <c r="J29" s="39"/>
      <c r="K29" s="39"/>
      <c r="L29" s="158"/>
      <c r="O29" s="81">
        <v>0.99</v>
      </c>
      <c r="P29" s="81">
        <f t="shared" si="3"/>
        <v>108.04859999999999</v>
      </c>
      <c r="Q29" s="2"/>
    </row>
    <row r="30" spans="1:17" x14ac:dyDescent="0.25">
      <c r="A30">
        <v>25</v>
      </c>
      <c r="B30" s="188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6">
        <f t="shared" ref="H30" si="20">(E30-D30)/D30</f>
        <v>-0.15942791962797229</v>
      </c>
      <c r="I30" s="39"/>
      <c r="J30" s="39"/>
      <c r="K30" s="39"/>
      <c r="L30" s="158"/>
      <c r="O30" s="81">
        <v>0.98</v>
      </c>
      <c r="P30" s="81">
        <f t="shared" si="3"/>
        <v>106.9572</v>
      </c>
      <c r="Q30" s="2"/>
    </row>
    <row r="31" spans="1:17" x14ac:dyDescent="0.25">
      <c r="A31">
        <v>25</v>
      </c>
      <c r="B31" s="188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6">
        <f t="shared" ref="H31:H35" si="23">(E31-D31)/D31</f>
        <v>-0.15126787751162582</v>
      </c>
      <c r="I31" s="39">
        <v>110</v>
      </c>
      <c r="J31" s="39"/>
      <c r="K31" s="39"/>
      <c r="L31" s="158"/>
      <c r="O31" s="81">
        <v>0.97</v>
      </c>
      <c r="P31" s="81">
        <f t="shared" si="3"/>
        <v>105.86579999999999</v>
      </c>
    </row>
    <row r="32" spans="1:17" x14ac:dyDescent="0.25">
      <c r="B32" s="188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6">
        <f t="shared" si="23"/>
        <v>-0.17495832236553477</v>
      </c>
      <c r="I32" s="39">
        <v>110</v>
      </c>
      <c r="J32" s="39"/>
      <c r="K32" s="39"/>
      <c r="L32" s="158"/>
      <c r="O32" s="81">
        <v>0.96</v>
      </c>
      <c r="P32" s="81">
        <f t="shared" si="3"/>
        <v>104.7744</v>
      </c>
    </row>
    <row r="33" spans="1:16" x14ac:dyDescent="0.25">
      <c r="A33">
        <v>75</v>
      </c>
      <c r="B33" s="188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6">
        <f t="shared" si="23"/>
        <v>-0.12959168900451432</v>
      </c>
      <c r="I33" s="39">
        <v>110</v>
      </c>
      <c r="J33" s="39"/>
      <c r="K33" s="39"/>
      <c r="L33" s="158"/>
      <c r="O33" s="81">
        <v>0.95</v>
      </c>
      <c r="P33" s="81">
        <f t="shared" si="3"/>
        <v>103.68299999999999</v>
      </c>
    </row>
    <row r="34" spans="1:16" x14ac:dyDescent="0.25">
      <c r="A34">
        <v>75</v>
      </c>
      <c r="B34" s="188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6">
        <f t="shared" si="23"/>
        <v>-0.13276615427663727</v>
      </c>
      <c r="I34" s="39">
        <v>100</v>
      </c>
      <c r="J34" s="39"/>
      <c r="K34" s="39"/>
      <c r="L34" s="158"/>
      <c r="O34" s="81">
        <v>0.94</v>
      </c>
      <c r="P34" s="81">
        <f t="shared" si="3"/>
        <v>102.5916</v>
      </c>
    </row>
    <row r="35" spans="1:16" x14ac:dyDescent="0.25">
      <c r="A35">
        <v>75</v>
      </c>
      <c r="B35" s="188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6">
        <f t="shared" si="23"/>
        <v>-0.13833545370585282</v>
      </c>
      <c r="I35" s="39">
        <v>100</v>
      </c>
      <c r="J35" s="39"/>
      <c r="K35" s="39"/>
      <c r="L35" s="39"/>
      <c r="O35" s="81">
        <v>0.93</v>
      </c>
      <c r="P35" s="81">
        <f t="shared" si="3"/>
        <v>101.50020000000001</v>
      </c>
    </row>
    <row r="36" spans="1:16" x14ac:dyDescent="0.25">
      <c r="A36">
        <v>75</v>
      </c>
      <c r="B36" s="188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6">
        <f t="shared" ref="H36" si="26">(E36-D36)/D36</f>
        <v>-0.16252630877912563</v>
      </c>
      <c r="I36" s="39"/>
      <c r="J36" s="39"/>
      <c r="K36" s="39"/>
      <c r="L36" s="39">
        <v>26.5</v>
      </c>
      <c r="O36" s="81">
        <v>0.92</v>
      </c>
      <c r="P36" s="81">
        <f t="shared" si="3"/>
        <v>100.4088</v>
      </c>
    </row>
    <row r="37" spans="1:16" x14ac:dyDescent="0.25">
      <c r="A37">
        <v>75</v>
      </c>
      <c r="B37" s="188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6">
        <f t="shared" ref="H37" si="29">(E37-D37)/D37</f>
        <v>-0.15008809584671415</v>
      </c>
      <c r="I37" s="39"/>
      <c r="J37" s="39"/>
      <c r="K37" s="39"/>
      <c r="L37" s="39">
        <v>33.119999999999997</v>
      </c>
      <c r="O37" s="81">
        <v>0.91</v>
      </c>
      <c r="P37" s="81">
        <f t="shared" si="3"/>
        <v>99.317400000000006</v>
      </c>
    </row>
    <row r="38" spans="1:16" x14ac:dyDescent="0.25">
      <c r="A38">
        <v>75</v>
      </c>
      <c r="B38" s="188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6">
        <f t="shared" ref="H38:H41" si="32">(E38-D38)/D38</f>
        <v>-0.15860876139883862</v>
      </c>
      <c r="I38" s="39"/>
      <c r="J38" s="39"/>
      <c r="K38" s="39"/>
      <c r="L38" s="39"/>
      <c r="O38" s="81">
        <v>0.9</v>
      </c>
      <c r="P38" s="81">
        <f t="shared" si="3"/>
        <v>98.225999999999999</v>
      </c>
    </row>
    <row r="39" spans="1:16" x14ac:dyDescent="0.25">
      <c r="A39">
        <v>75</v>
      </c>
      <c r="B39" s="188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6">
        <f t="shared" si="32"/>
        <v>-0.19886156073128855</v>
      </c>
      <c r="I39" s="39">
        <v>100</v>
      </c>
      <c r="J39" s="39"/>
      <c r="K39" s="39"/>
      <c r="L39" s="39">
        <v>32.200000000000003</v>
      </c>
    </row>
    <row r="40" spans="1:16" x14ac:dyDescent="0.25">
      <c r="A40">
        <v>75</v>
      </c>
      <c r="B40" s="188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6">
        <f t="shared" si="32"/>
        <v>-0.16556387246185031</v>
      </c>
      <c r="I40" s="39"/>
      <c r="J40" s="39"/>
      <c r="K40" s="39"/>
      <c r="L40" s="39"/>
    </row>
    <row r="41" spans="1:16" x14ac:dyDescent="0.25">
      <c r="A41">
        <v>75</v>
      </c>
      <c r="B41" s="188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6">
        <f t="shared" si="32"/>
        <v>-2.3364962758902215E-2</v>
      </c>
      <c r="I41" s="39"/>
      <c r="J41" s="39"/>
      <c r="K41" s="39"/>
      <c r="L41" s="39"/>
    </row>
    <row r="42" spans="1:16" x14ac:dyDescent="0.25">
      <c r="A42">
        <v>75</v>
      </c>
      <c r="B42" s="188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6">
        <f t="shared" ref="H42:H44" si="35">(E42-D42)/D42</f>
        <v>-8.9174574023058964E-2</v>
      </c>
      <c r="I42" s="39"/>
      <c r="J42" s="39"/>
      <c r="K42" s="39"/>
      <c r="L42" s="39">
        <v>55.15</v>
      </c>
    </row>
    <row r="43" spans="1:16" x14ac:dyDescent="0.25">
      <c r="A43">
        <v>50</v>
      </c>
      <c r="B43" s="188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6">
        <f t="shared" si="35"/>
        <v>1.9325153374233135E-2</v>
      </c>
      <c r="I43" s="39">
        <v>97.3</v>
      </c>
      <c r="J43" s="39"/>
      <c r="K43" s="39"/>
      <c r="L43" s="39"/>
    </row>
    <row r="44" spans="1:16" x14ac:dyDescent="0.25">
      <c r="A44">
        <v>100</v>
      </c>
      <c r="B44" s="188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6">
        <f t="shared" si="35"/>
        <v>8.4764826175869182E-2</v>
      </c>
      <c r="I44" s="39"/>
      <c r="J44" s="39"/>
      <c r="K44" s="39"/>
      <c r="L44" s="39"/>
    </row>
    <row r="45" spans="1:16" x14ac:dyDescent="0.25">
      <c r="B45" s="188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6">
        <f t="shared" ref="H45" si="38">(E45-D45)/D45</f>
        <v>0.13912502591747877</v>
      </c>
      <c r="I45" s="39"/>
      <c r="J45" s="39"/>
      <c r="K45" s="39"/>
      <c r="L45" s="39"/>
    </row>
    <row r="46" spans="1:16" x14ac:dyDescent="0.25">
      <c r="A46">
        <v>90</v>
      </c>
      <c r="B46" s="188">
        <v>43105</v>
      </c>
      <c r="C46" s="10">
        <v>90</v>
      </c>
      <c r="D46" s="39">
        <v>96.3934</v>
      </c>
      <c r="E46" s="39">
        <v>112.18</v>
      </c>
      <c r="F46" s="39">
        <f t="shared" ref="F46:F49" si="39">C46*(E46-D46)</f>
        <v>1420.7940000000006</v>
      </c>
      <c r="G46" s="39">
        <f t="shared" ref="G46:G49" si="40">D46*C46</f>
        <v>8675.4060000000009</v>
      </c>
      <c r="H46" s="226">
        <f t="shared" ref="H46:H49" si="41">(E46-D46)/D46</f>
        <v>0.16377262343687438</v>
      </c>
      <c r="I46" s="39"/>
      <c r="J46" s="39"/>
      <c r="K46" s="39"/>
      <c r="L46" s="39"/>
    </row>
    <row r="47" spans="1:16" x14ac:dyDescent="0.25">
      <c r="A47">
        <v>75</v>
      </c>
      <c r="B47" s="188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6">
        <f t="shared" si="41"/>
        <v>0.25106962460357785</v>
      </c>
      <c r="I47" s="197" t="s">
        <v>916</v>
      </c>
      <c r="J47" s="39"/>
      <c r="K47" s="39"/>
      <c r="L47" s="39">
        <v>74.34</v>
      </c>
      <c r="M47" t="s">
        <v>938</v>
      </c>
    </row>
    <row r="48" spans="1:16" x14ac:dyDescent="0.25">
      <c r="B48" s="188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6">
        <f t="shared" si="41"/>
        <v>0.53501649327581835</v>
      </c>
      <c r="I48" s="39"/>
      <c r="J48" s="39"/>
      <c r="K48" s="39"/>
      <c r="L48" s="39"/>
    </row>
    <row r="49" spans="1:12" x14ac:dyDescent="0.25">
      <c r="A49">
        <v>50</v>
      </c>
      <c r="B49" s="188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6">
        <f t="shared" si="41"/>
        <v>0.39742237844171063</v>
      </c>
      <c r="I49" s="39"/>
      <c r="J49" s="39"/>
      <c r="K49" s="39"/>
      <c r="L49" s="39"/>
    </row>
    <row r="50" spans="1:1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</row>
    <row r="51" spans="1:1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</row>
    <row r="52" spans="1:1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</row>
    <row r="53" spans="1:1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</row>
    <row r="54" spans="1:1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</row>
    <row r="55" spans="1:12" x14ac:dyDescent="0.25">
      <c r="A55" s="4"/>
      <c r="B55" s="188"/>
      <c r="C55" s="10"/>
      <c r="D55" s="39"/>
      <c r="E55" s="39"/>
      <c r="F55" s="39"/>
      <c r="G55" s="39"/>
      <c r="H55" s="226"/>
      <c r="I55" s="39"/>
      <c r="J55" s="39"/>
      <c r="K55" s="39"/>
      <c r="L55" s="39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</row>
    <row r="68" spans="1:13" x14ac:dyDescent="0.25">
      <c r="A68" s="527"/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</row>
    <row r="69" spans="1:13" x14ac:dyDescent="0.25">
      <c r="A69" s="529"/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</row>
    <row r="70" spans="1:1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1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1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1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1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1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1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1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1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1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1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17:P17"/>
  </mergeCells>
  <conditionalFormatting sqref="O18:O3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6:F63 H56:H63">
    <cfRule type="expression" dxfId="1339" priority="23">
      <formula>F56&gt;0</formula>
    </cfRule>
    <cfRule type="expression" dxfId="1338" priority="24">
      <formula>F56&lt;0</formula>
    </cfRule>
  </conditionalFormatting>
  <conditionalFormatting sqref="Q7">
    <cfRule type="expression" dxfId="1337" priority="21">
      <formula>Q7&gt;0</formula>
    </cfRule>
    <cfRule type="expression" dxfId="1336" priority="22">
      <formula>Q7&lt;0</formula>
    </cfRule>
  </conditionalFormatting>
  <conditionalFormatting sqref="Q8">
    <cfRule type="expression" dxfId="1335" priority="19">
      <formula>Q8&gt;0</formula>
    </cfRule>
    <cfRule type="expression" dxfId="1334" priority="20">
      <formula>Q8&lt;0</formula>
    </cfRule>
  </conditionalFormatting>
  <conditionalFormatting sqref="F25:F55">
    <cfRule type="expression" dxfId="1333" priority="17">
      <formula>F25&gt;0</formula>
    </cfRule>
    <cfRule type="expression" dxfId="1332" priority="18">
      <formula>F25&lt;0</formula>
    </cfRule>
  </conditionalFormatting>
  <conditionalFormatting sqref="H25:H55">
    <cfRule type="expression" dxfId="1331" priority="15">
      <formula>H25&gt;0</formula>
    </cfRule>
    <cfRule type="expression" dxfId="1330" priority="16">
      <formula>H25&lt;0</formula>
    </cfRule>
  </conditionalFormatting>
  <conditionalFormatting sqref="F89:F110">
    <cfRule type="expression" dxfId="1329" priority="13">
      <formula>F89&gt;0</formula>
    </cfRule>
    <cfRule type="expression" dxfId="1328" priority="14">
      <formula>F89&lt;0</formula>
    </cfRule>
  </conditionalFormatting>
  <conditionalFormatting sqref="H89:H110">
    <cfRule type="expression" dxfId="1327" priority="11">
      <formula>H89&gt;0</formula>
    </cfRule>
    <cfRule type="expression" dxfId="1326" priority="12">
      <formula>H89&lt;0</formula>
    </cfRule>
  </conditionalFormatting>
  <conditionalFormatting sqref="Q10">
    <cfRule type="expression" dxfId="1325" priority="9">
      <formula>Q10&gt;0</formula>
    </cfRule>
    <cfRule type="expression" dxfId="1324" priority="10">
      <formula>Q10&lt;0</formula>
    </cfRule>
  </conditionalFormatting>
  <conditionalFormatting sqref="J25:J38">
    <cfRule type="expression" dxfId="1323" priority="7">
      <formula>J25&gt;0</formula>
    </cfRule>
    <cfRule type="expression" dxfId="1322" priority="8">
      <formula>J25&lt;0</formula>
    </cfRule>
  </conditionalFormatting>
  <conditionalFormatting sqref="K25:K38">
    <cfRule type="expression" dxfId="1321" priority="5">
      <formula>K25&gt;0</formula>
    </cfRule>
    <cfRule type="expression" dxfId="1320" priority="6">
      <formula>K25&lt;0</formula>
    </cfRule>
  </conditionalFormatting>
  <conditionalFormatting sqref="L25:L34">
    <cfRule type="expression" dxfId="1319" priority="3">
      <formula>L25&gt;0</formula>
    </cfRule>
    <cfRule type="expression" dxfId="1318" priority="4">
      <formula>L25&lt;0</formula>
    </cfRule>
  </conditionalFormatting>
  <conditionalFormatting sqref="J43">
    <cfRule type="expression" dxfId="1317" priority="1">
      <formula>J43&gt;0</formula>
    </cfRule>
    <cfRule type="expression" dxfId="1316" priority="2">
      <formula>J43&lt;0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984</v>
      </c>
      <c r="B2" s="486">
        <v>43136</v>
      </c>
      <c r="C2" s="4">
        <v>100</v>
      </c>
      <c r="D2" s="3">
        <v>36.58</v>
      </c>
      <c r="E2" s="3">
        <v>0</v>
      </c>
      <c r="F2" s="3">
        <f t="shared" ref="F2" si="0">C2*D2+E2</f>
        <v>3658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>
        <v>43080</v>
      </c>
      <c r="U2" t="s">
        <v>874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36.58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36.049999999999997</v>
      </c>
      <c r="R4" s="509">
        <v>1.32E-2</v>
      </c>
      <c r="T4" s="792">
        <v>43103</v>
      </c>
      <c r="U4" s="30" t="s">
        <v>899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3604.9999999999995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3658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-53.000000000000455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-53.000000000000455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-1.4488791689447909E-2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3658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43136</v>
      </c>
      <c r="C25" s="10">
        <v>100</v>
      </c>
      <c r="D25" s="39">
        <v>36.58</v>
      </c>
      <c r="E25" s="39">
        <v>254.93</v>
      </c>
      <c r="F25" s="39">
        <f t="shared" ref="F25" si="1">C25*(E25-D25)</f>
        <v>21835.000000000004</v>
      </c>
      <c r="G25" s="39">
        <f t="shared" ref="G25" si="2">D25*C25</f>
        <v>3658</v>
      </c>
      <c r="H25" s="226">
        <f t="shared" ref="H25" si="3">(E25-D25)/D25</f>
        <v>5.9691088026243859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39.655000000000001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39.294499999999999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38.933999999999997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38.573499999999996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38.213000000000001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37.852499999999999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37.491999999999997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37.131499999999996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36.771000000000001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36.410499999999999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36.049999999999997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35.689499999999995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35.328999999999994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34.968499999999999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34.607999999999997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34.247499999999995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33.886999999999993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33.526499999999999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33.165999999999997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32.805499999999995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32.445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984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15" priority="31">
      <formula>F47&gt;0</formula>
    </cfRule>
    <cfRule type="expression" dxfId="1314" priority="32">
      <formula>F47&lt;0</formula>
    </cfRule>
  </conditionalFormatting>
  <conditionalFormatting sqref="Q7">
    <cfRule type="expression" dxfId="1313" priority="29">
      <formula>Q7&gt;0</formula>
    </cfRule>
    <cfRule type="expression" dxfId="1312" priority="30">
      <formula>Q7&lt;0</formula>
    </cfRule>
  </conditionalFormatting>
  <conditionalFormatting sqref="Q8">
    <cfRule type="expression" dxfId="1311" priority="27">
      <formula>Q8&gt;0</formula>
    </cfRule>
    <cfRule type="expression" dxfId="1310" priority="28">
      <formula>Q8&lt;0</formula>
    </cfRule>
  </conditionalFormatting>
  <conditionalFormatting sqref="F30:F46">
    <cfRule type="expression" dxfId="1309" priority="25">
      <formula>F30&gt;0</formula>
    </cfRule>
    <cfRule type="expression" dxfId="1308" priority="26">
      <formula>F30&lt;0</formula>
    </cfRule>
  </conditionalFormatting>
  <conditionalFormatting sqref="H30:H46">
    <cfRule type="expression" dxfId="1307" priority="23">
      <formula>H30&gt;0</formula>
    </cfRule>
    <cfRule type="expression" dxfId="1306" priority="24">
      <formula>H30&lt;0</formula>
    </cfRule>
  </conditionalFormatting>
  <conditionalFormatting sqref="Q10">
    <cfRule type="expression" dxfId="1305" priority="21">
      <formula>Q10&gt;0</formula>
    </cfRule>
    <cfRule type="expression" dxfId="1304" priority="22">
      <formula>Q10&lt;0</formula>
    </cfRule>
  </conditionalFormatting>
  <conditionalFormatting sqref="J25:J38">
    <cfRule type="expression" dxfId="1303" priority="19">
      <formula>J25&gt;0</formula>
    </cfRule>
    <cfRule type="expression" dxfId="1302" priority="20">
      <formula>J25&lt;0</formula>
    </cfRule>
  </conditionalFormatting>
  <conditionalFormatting sqref="K25:K38">
    <cfRule type="expression" dxfId="1301" priority="17">
      <formula>K25&gt;0</formula>
    </cfRule>
    <cfRule type="expression" dxfId="1300" priority="18">
      <formula>K25&lt;0</formula>
    </cfRule>
  </conditionalFormatting>
  <conditionalFormatting sqref="L25:L38">
    <cfRule type="expression" dxfId="1299" priority="15">
      <formula>L25&gt;0</formula>
    </cfRule>
    <cfRule type="expression" dxfId="1298" priority="16">
      <formula>L25&lt;0</formula>
    </cfRule>
  </conditionalFormatting>
  <conditionalFormatting sqref="F89:F110">
    <cfRule type="expression" dxfId="1297" priority="13">
      <formula>F89&gt;0</formula>
    </cfRule>
    <cfRule type="expression" dxfId="1296" priority="14">
      <formula>F89&lt;0</formula>
    </cfRule>
  </conditionalFormatting>
  <conditionalFormatting sqref="H89:H110">
    <cfRule type="expression" dxfId="1295" priority="11">
      <formula>H89&gt;0</formula>
    </cfRule>
    <cfRule type="expression" dxfId="1294" priority="12">
      <formula>H89&lt;0</formula>
    </cfRule>
  </conditionalFormatting>
  <conditionalFormatting sqref="J89:J102">
    <cfRule type="expression" dxfId="1293" priority="9">
      <formula>J89&gt;0</formula>
    </cfRule>
    <cfRule type="expression" dxfId="1292" priority="10">
      <formula>J89&lt;0</formula>
    </cfRule>
  </conditionalFormatting>
  <conditionalFormatting sqref="K89:K102">
    <cfRule type="expression" dxfId="1291" priority="7">
      <formula>K89&gt;0</formula>
    </cfRule>
    <cfRule type="expression" dxfId="1290" priority="8">
      <formula>K89&lt;0</formula>
    </cfRule>
  </conditionalFormatting>
  <conditionalFormatting sqref="L89:L102">
    <cfRule type="expression" dxfId="1289" priority="5">
      <formula>L89&gt;0</formula>
    </cfRule>
    <cfRule type="expression" dxfId="1288" priority="6">
      <formula>L89&lt;0</formula>
    </cfRule>
  </conditionalFormatting>
  <conditionalFormatting sqref="F25:F29">
    <cfRule type="expression" dxfId="1287" priority="3">
      <formula>F25&gt;0</formula>
    </cfRule>
    <cfRule type="expression" dxfId="1286" priority="4">
      <formula>F25&lt;0</formula>
    </cfRule>
  </conditionalFormatting>
  <conditionalFormatting sqref="H25:H29">
    <cfRule type="expression" dxfId="1285" priority="1">
      <formula>H25&gt;0</formula>
    </cfRule>
    <cfRule type="expression" dxfId="128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726</v>
      </c>
      <c r="B2" s="445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45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72">
        <v>43014</v>
      </c>
      <c r="C3" s="4">
        <v>20</v>
      </c>
      <c r="D3" s="3">
        <v>157.02000000000001</v>
      </c>
      <c r="E3" s="3">
        <v>0</v>
      </c>
      <c r="F3" s="3">
        <f>C3*D3+E3</f>
        <v>3140.4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149.05549999999999</v>
      </c>
      <c r="T3" s="1"/>
      <c r="W3" s="134"/>
    </row>
    <row r="4" spans="1:23" x14ac:dyDescent="0.25">
      <c r="G4" s="72"/>
      <c r="H4" s="180"/>
      <c r="I4" s="3"/>
      <c r="J4" s="3"/>
      <c r="K4" s="3"/>
      <c r="L4" s="4"/>
      <c r="M4" s="4"/>
      <c r="O4" s="11" t="s">
        <v>66</v>
      </c>
      <c r="Q4" s="54">
        <v>180.72</v>
      </c>
      <c r="R4" s="509">
        <v>1.18E-2</v>
      </c>
      <c r="T4" s="159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3614.4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2981.1099999999997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776.32000000000062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633.29000000000042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0.21243429460838428</v>
      </c>
      <c r="W9" s="134"/>
    </row>
    <row r="10" spans="1:23" x14ac:dyDescent="0.25">
      <c r="H10" s="70"/>
      <c r="O10" s="11" t="s">
        <v>209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2.7667109340416113E-3</v>
      </c>
      <c r="S11">
        <v>0.5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O16" s="694" t="s">
        <v>113</v>
      </c>
      <c r="P16" s="694" t="s">
        <v>734</v>
      </c>
      <c r="Q16" s="694" t="s">
        <v>735</v>
      </c>
      <c r="R16" s="692" t="s">
        <v>728</v>
      </c>
      <c r="S16" s="692" t="s">
        <v>729</v>
      </c>
      <c r="T16" s="694" t="s">
        <v>731</v>
      </c>
      <c r="U16" s="694" t="s">
        <v>732</v>
      </c>
      <c r="V16" s="692" t="s">
        <v>730</v>
      </c>
      <c r="W16" s="693" t="s">
        <v>733</v>
      </c>
    </row>
    <row r="17" spans="1:23" x14ac:dyDescent="0.25">
      <c r="O17" s="695">
        <v>43013</v>
      </c>
      <c r="P17" s="691" t="s">
        <v>805</v>
      </c>
      <c r="Q17" s="691" t="s">
        <v>806</v>
      </c>
      <c r="R17" s="690">
        <v>2.02</v>
      </c>
      <c r="S17" s="688">
        <v>2.08</v>
      </c>
      <c r="T17" s="691">
        <v>41.55</v>
      </c>
      <c r="U17" s="691">
        <v>42.3</v>
      </c>
      <c r="V17" s="688"/>
      <c r="W17" s="689">
        <v>-0.03</v>
      </c>
    </row>
    <row r="18" spans="1:23" x14ac:dyDescent="0.25">
      <c r="A18" s="31" t="s">
        <v>81</v>
      </c>
      <c r="B18" s="14"/>
      <c r="C18" s="14">
        <f>SUM(C2:C6)</f>
        <v>50</v>
      </c>
      <c r="D18" s="18"/>
      <c r="E18" s="18"/>
      <c r="F18" s="18">
        <f>SUM(F2:F6)</f>
        <v>7805.4</v>
      </c>
      <c r="G18" s="14"/>
      <c r="H18" s="71">
        <f>SUM(H2:H5)</f>
        <v>30</v>
      </c>
      <c r="I18" s="18"/>
      <c r="J18" s="18"/>
      <c r="K18" s="18">
        <f>SUM(K2:K5)</f>
        <v>4814.29</v>
      </c>
      <c r="L18" s="14"/>
      <c r="M18" s="18">
        <f>SUM(M2:M10)</f>
        <v>10</v>
      </c>
      <c r="O18" s="695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348"/>
      <c r="C19" s="349">
        <f>SumByColor($A$19,C2:C17)</f>
        <v>30</v>
      </c>
      <c r="D19" s="349"/>
      <c r="E19" s="349"/>
      <c r="F19" s="350">
        <f>SumByColor($A$19,F2:F17)</f>
        <v>4665</v>
      </c>
      <c r="G19" s="349"/>
      <c r="H19" s="349">
        <f>SumByColor($A$19,H2:H17)</f>
        <v>30</v>
      </c>
      <c r="I19" s="349"/>
      <c r="J19" s="349"/>
      <c r="K19" s="350">
        <f>SumByColor($A$19,K3:K17)</f>
        <v>0</v>
      </c>
      <c r="L19" s="349"/>
      <c r="M19" s="350">
        <f>SumByColor($A$19,M2:M17)</f>
        <v>10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88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6">
        <f t="shared" ref="H25" si="2">(E25-D25)/D25</f>
        <v>1.1258278145694536E-3</v>
      </c>
      <c r="I25" s="39"/>
      <c r="J25" s="39"/>
      <c r="K25" s="39"/>
      <c r="L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88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6">
        <f t="shared" ref="H26" si="5">(E26-D26)/D26</f>
        <v>5.0256750041411155E-2</v>
      </c>
      <c r="I26" s="39"/>
      <c r="J26" s="39"/>
      <c r="K26" s="39"/>
      <c r="L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88">
        <v>42981</v>
      </c>
      <c r="C27" s="10">
        <v>20</v>
      </c>
      <c r="D27" s="39">
        <v>150.42500000000001</v>
      </c>
      <c r="E27" s="39">
        <v>158.51</v>
      </c>
      <c r="F27" s="39">
        <f t="shared" ref="F27" si="6">C27*(E27-D27)</f>
        <v>161.69999999999959</v>
      </c>
      <c r="G27" s="39">
        <f t="shared" ref="G27" si="7">D27*C27</f>
        <v>3008.5</v>
      </c>
      <c r="H27" s="226">
        <f t="shared" ref="H27" si="8">(E27-D27)/D27</f>
        <v>5.3747714808043738E-2</v>
      </c>
      <c r="I27" s="39">
        <v>148</v>
      </c>
      <c r="J27" s="39"/>
      <c r="K27" s="39"/>
      <c r="L27" s="158"/>
      <c r="O27" s="696"/>
      <c r="P27" s="691"/>
      <c r="Q27" s="691"/>
      <c r="R27" s="688"/>
      <c r="S27" s="688"/>
      <c r="T27" s="691"/>
      <c r="U27" s="691"/>
      <c r="V27" s="688"/>
      <c r="W27" s="689"/>
    </row>
    <row r="28" spans="1:23" x14ac:dyDescent="0.25">
      <c r="B28" s="188">
        <v>42986</v>
      </c>
      <c r="C28" s="7">
        <v>50</v>
      </c>
      <c r="D28" s="43">
        <v>153.47</v>
      </c>
      <c r="E28" s="39">
        <v>155.5</v>
      </c>
      <c r="F28" s="39">
        <f t="shared" ref="F28:F32" si="9">C28*(E28-D28)</f>
        <v>101.50000000000006</v>
      </c>
      <c r="G28" s="39">
        <f t="shared" ref="G28:G32" si="10">D28*C28</f>
        <v>7673.5</v>
      </c>
      <c r="H28" s="226">
        <f t="shared" ref="H28:H32" si="11">(E28-D28)/D28</f>
        <v>1.3227340848374283E-2</v>
      </c>
      <c r="I28" s="39"/>
      <c r="J28" s="39"/>
      <c r="K28" s="39"/>
      <c r="L28" s="158"/>
      <c r="W28" s="134"/>
    </row>
    <row r="29" spans="1:23" x14ac:dyDescent="0.25">
      <c r="B29" s="188">
        <v>42986</v>
      </c>
      <c r="C29" s="10">
        <v>30</v>
      </c>
      <c r="D29" s="39">
        <v>150.7277</v>
      </c>
      <c r="E29" s="39">
        <v>157</v>
      </c>
      <c r="F29" s="39">
        <f t="shared" si="9"/>
        <v>188.16900000000004</v>
      </c>
      <c r="G29" s="39">
        <f t="shared" si="10"/>
        <v>4521.8310000000001</v>
      </c>
      <c r="H29" s="226">
        <f t="shared" si="11"/>
        <v>4.1613452603602399E-2</v>
      </c>
      <c r="I29" s="39"/>
      <c r="J29" s="39"/>
      <c r="K29" s="39"/>
      <c r="L29" s="158"/>
      <c r="W29" s="134"/>
    </row>
    <row r="30" spans="1:23" x14ac:dyDescent="0.25">
      <c r="B30" s="188">
        <v>43014</v>
      </c>
      <c r="C30" s="10">
        <v>50</v>
      </c>
      <c r="D30" s="39">
        <v>153.2474</v>
      </c>
      <c r="E30" s="39">
        <v>157.02000000000001</v>
      </c>
      <c r="F30" s="39">
        <f t="shared" si="9"/>
        <v>188.63000000000056</v>
      </c>
      <c r="G30" s="39">
        <f t="shared" si="10"/>
        <v>7662.37</v>
      </c>
      <c r="H30" s="226">
        <f t="shared" si="11"/>
        <v>2.461770966424234E-2</v>
      </c>
      <c r="I30" s="39"/>
      <c r="J30" s="39"/>
      <c r="K30" s="39"/>
      <c r="L30" s="158"/>
      <c r="W30" s="134"/>
    </row>
    <row r="31" spans="1:23" x14ac:dyDescent="0.25">
      <c r="B31" s="188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9"/>
        <v>218.4899999999999</v>
      </c>
      <c r="G31" s="39">
        <f t="shared" si="10"/>
        <v>2991.1099999999997</v>
      </c>
      <c r="H31" s="226">
        <f t="shared" si="11"/>
        <v>7.3046461012801239E-2</v>
      </c>
      <c r="I31" s="39"/>
      <c r="J31" s="39">
        <v>362</v>
      </c>
      <c r="K31" s="39"/>
      <c r="L31" s="158"/>
      <c r="W31" s="134"/>
    </row>
    <row r="32" spans="1:23" x14ac:dyDescent="0.25">
      <c r="A32">
        <v>20</v>
      </c>
      <c r="B32" s="188">
        <v>43072</v>
      </c>
      <c r="C32" s="10">
        <v>20</v>
      </c>
      <c r="D32" s="39">
        <v>149.05549999999999</v>
      </c>
      <c r="E32" s="39">
        <v>185.13</v>
      </c>
      <c r="F32" s="39">
        <f t="shared" si="9"/>
        <v>721.49</v>
      </c>
      <c r="G32" s="39">
        <f t="shared" si="10"/>
        <v>2981.1099999999997</v>
      </c>
      <c r="H32" s="226">
        <f t="shared" si="11"/>
        <v>0.24202058964613854</v>
      </c>
      <c r="I32" s="39"/>
      <c r="J32" s="39">
        <v>865</v>
      </c>
      <c r="K32" s="39"/>
      <c r="L32" s="158"/>
      <c r="P32">
        <f>2124.08*2-2500</f>
        <v>1748.1599999999999</v>
      </c>
      <c r="W32" s="134"/>
    </row>
    <row r="33" spans="1:23" x14ac:dyDescent="0.25">
      <c r="A33">
        <v>20</v>
      </c>
      <c r="B33" s="188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2">C33*(E33-D33)</f>
        <v>773.8900000000001</v>
      </c>
      <c r="G33" s="39">
        <f t="shared" ref="G33:G34" si="13">D33*C33</f>
        <v>2981.1099999999997</v>
      </c>
      <c r="H33" s="226">
        <f t="shared" ref="H33:H34" si="14">(E33-D33)/D33</f>
        <v>0.25959793499736677</v>
      </c>
      <c r="I33" s="39"/>
      <c r="J33" s="39">
        <v>866</v>
      </c>
      <c r="K33" s="39"/>
      <c r="L33" s="158"/>
      <c r="W33" s="134"/>
    </row>
    <row r="34" spans="1:23" x14ac:dyDescent="0.25">
      <c r="A34">
        <v>20</v>
      </c>
      <c r="B34" s="188">
        <v>43117</v>
      </c>
      <c r="C34" s="10">
        <v>20</v>
      </c>
      <c r="D34" s="39">
        <v>149.06</v>
      </c>
      <c r="E34" s="39">
        <v>192.29</v>
      </c>
      <c r="F34" s="39">
        <f t="shared" si="12"/>
        <v>864.5999999999998</v>
      </c>
      <c r="G34" s="39">
        <f t="shared" si="13"/>
        <v>2981.2</v>
      </c>
      <c r="H34" s="226">
        <f t="shared" si="14"/>
        <v>0.29001744264054735</v>
      </c>
      <c r="I34" s="39"/>
      <c r="J34" s="39">
        <v>1008</v>
      </c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  <c r="W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198.792</v>
      </c>
      <c r="Q41" s="2"/>
      <c r="W41" s="134"/>
    </row>
    <row r="42" spans="1:23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5">O42*$Q$4</f>
        <v>196.98480000000001</v>
      </c>
      <c r="Q42" s="2"/>
      <c r="T42" s="89"/>
      <c r="W42" s="134"/>
    </row>
    <row r="43" spans="1:23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5"/>
        <v>195.17760000000001</v>
      </c>
      <c r="Q43" s="2"/>
      <c r="T43" s="125"/>
      <c r="U43" s="126"/>
      <c r="W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5"/>
        <v>193.37040000000002</v>
      </c>
      <c r="Q44" s="2"/>
      <c r="T44" s="91"/>
      <c r="U44" s="127"/>
      <c r="W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5"/>
        <v>191.56319999999999</v>
      </c>
      <c r="Q45" s="2"/>
      <c r="T45" s="91"/>
      <c r="U45" s="127"/>
      <c r="W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5"/>
        <v>189.756</v>
      </c>
      <c r="Q46" s="2"/>
      <c r="T46" s="91"/>
      <c r="U46" s="127"/>
      <c r="W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5"/>
        <v>187.94880000000001</v>
      </c>
      <c r="Q47" s="2"/>
      <c r="T47" s="91"/>
      <c r="U47" s="127"/>
      <c r="W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5"/>
        <v>186.14160000000001</v>
      </c>
      <c r="Q48" s="2"/>
      <c r="T48" s="91"/>
      <c r="U48" s="127"/>
      <c r="W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5"/>
        <v>184.33439999999999</v>
      </c>
      <c r="Q49" s="2"/>
      <c r="T49" s="91"/>
      <c r="U49" s="127"/>
      <c r="W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5"/>
        <v>182.52719999999999</v>
      </c>
      <c r="Q50" s="2"/>
      <c r="T50" s="91"/>
      <c r="U50" s="127"/>
      <c r="W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5"/>
        <v>180.72</v>
      </c>
      <c r="Q51" s="2"/>
      <c r="T51" s="91"/>
      <c r="U51" s="127"/>
      <c r="W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5"/>
        <v>178.9128</v>
      </c>
      <c r="Q52" s="2"/>
      <c r="T52" s="91"/>
      <c r="U52" s="127"/>
      <c r="W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5"/>
        <v>177.10560000000001</v>
      </c>
      <c r="Q53" s="2"/>
      <c r="T53" s="91"/>
      <c r="U53" s="128"/>
      <c r="W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5"/>
        <v>175.29839999999999</v>
      </c>
      <c r="T54" s="91"/>
      <c r="U54" s="128"/>
      <c r="W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5"/>
        <v>173.49119999999999</v>
      </c>
      <c r="T55" s="91"/>
      <c r="U55" s="127"/>
      <c r="W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5"/>
        <v>171.684</v>
      </c>
      <c r="T56" s="91"/>
      <c r="U56" s="127"/>
      <c r="W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5"/>
        <v>169.8768</v>
      </c>
      <c r="T57" s="91"/>
      <c r="U57" s="127"/>
      <c r="W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5"/>
        <v>168.06960000000001</v>
      </c>
      <c r="T58" s="91"/>
      <c r="U58" s="127"/>
      <c r="W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5"/>
        <v>166.26240000000001</v>
      </c>
      <c r="W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5"/>
        <v>164.45519999999999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5"/>
        <v>162.648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  <c r="W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31" x14ac:dyDescent="0.25">
      <c r="A68" s="527"/>
      <c r="B68" s="445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45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  <c r="W68" s="134"/>
    </row>
    <row r="69" spans="1:31" x14ac:dyDescent="0.25">
      <c r="A69" s="529"/>
      <c r="B69" s="486"/>
      <c r="C69" s="4"/>
      <c r="D69" s="3"/>
      <c r="E69" s="3"/>
      <c r="F69" s="3"/>
      <c r="G69" s="72"/>
      <c r="H69" s="180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20</v>
      </c>
      <c r="D84" s="532"/>
      <c r="E84" s="532"/>
      <c r="F84" s="532">
        <f>SUM(F68:F72)</f>
        <v>3020</v>
      </c>
      <c r="G84" s="531"/>
      <c r="H84" s="553">
        <f>SUM(H68:H71)</f>
        <v>20</v>
      </c>
      <c r="I84" s="532"/>
      <c r="J84" s="532"/>
      <c r="K84" s="532">
        <f>SUM(K68:K71)</f>
        <v>3151.53</v>
      </c>
      <c r="L84" s="531"/>
      <c r="M84" s="532">
        <f>SUM(M68:M76)</f>
        <v>11.5</v>
      </c>
    </row>
    <row r="85" spans="1:13" ht="15.75" thickBot="1" x14ac:dyDescent="0.3">
      <c r="A85" s="533" t="s">
        <v>194</v>
      </c>
      <c r="B85" s="534"/>
      <c r="C85" s="535">
        <f>SumByColor($A$19,C68:C83)</f>
        <v>20</v>
      </c>
      <c r="D85" s="535"/>
      <c r="E85" s="535"/>
      <c r="F85" s="536">
        <f>SumByColor($A$19,F68:F83)</f>
        <v>3020</v>
      </c>
      <c r="G85" s="535"/>
      <c r="H85" s="535">
        <f>SumByColor($A$19,H68:H83)</f>
        <v>20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676" t="s">
        <v>113</v>
      </c>
      <c r="C88" s="676" t="s">
        <v>146</v>
      </c>
      <c r="D88" s="677" t="s">
        <v>145</v>
      </c>
      <c r="E88" s="678" t="s">
        <v>147</v>
      </c>
      <c r="F88" s="678" t="s">
        <v>65</v>
      </c>
      <c r="G88" s="679" t="s">
        <v>151</v>
      </c>
      <c r="H88" s="679" t="s">
        <v>88</v>
      </c>
      <c r="I88" s="679" t="s">
        <v>154</v>
      </c>
    </row>
    <row r="89" spans="1:13" x14ac:dyDescent="0.25">
      <c r="B89" s="581"/>
      <c r="C89" s="578"/>
      <c r="D89" s="579"/>
      <c r="E89" s="579"/>
      <c r="F89" s="579"/>
      <c r="G89" s="579"/>
      <c r="H89" s="680"/>
      <c r="I89" s="579"/>
    </row>
    <row r="90" spans="1:13" x14ac:dyDescent="0.25">
      <c r="B90" s="581"/>
      <c r="C90" s="578"/>
      <c r="D90" s="579"/>
      <c r="E90" s="579"/>
      <c r="F90" s="579"/>
      <c r="G90" s="579"/>
      <c r="H90" s="680"/>
      <c r="I90" s="579"/>
    </row>
    <row r="91" spans="1:13" x14ac:dyDescent="0.25">
      <c r="B91" s="581"/>
      <c r="C91" s="578"/>
      <c r="D91" s="579"/>
      <c r="E91" s="579"/>
      <c r="F91" s="579"/>
      <c r="G91" s="579"/>
      <c r="H91" s="680"/>
      <c r="I91" s="579"/>
    </row>
    <row r="92" spans="1:13" x14ac:dyDescent="0.25">
      <c r="B92" s="581"/>
      <c r="C92" s="578"/>
      <c r="D92" s="579"/>
      <c r="E92" s="579"/>
      <c r="F92" s="579"/>
      <c r="G92" s="579"/>
      <c r="H92" s="680"/>
      <c r="I92" s="579"/>
    </row>
    <row r="93" spans="1:13" x14ac:dyDescent="0.25">
      <c r="B93" s="581"/>
      <c r="C93" s="578"/>
      <c r="D93" s="579"/>
      <c r="E93" s="579"/>
      <c r="F93" s="579"/>
      <c r="G93" s="579"/>
      <c r="H93" s="680"/>
      <c r="I93" s="579"/>
    </row>
    <row r="94" spans="1:13" x14ac:dyDescent="0.25">
      <c r="B94" s="581"/>
      <c r="C94" s="578"/>
      <c r="D94" s="579"/>
      <c r="E94" s="579"/>
      <c r="F94" s="579"/>
      <c r="G94" s="579"/>
      <c r="H94" s="680"/>
      <c r="I94" s="579"/>
    </row>
    <row r="95" spans="1:13" x14ac:dyDescent="0.25">
      <c r="B95" s="581"/>
      <c r="C95" s="578"/>
      <c r="D95" s="579"/>
      <c r="E95" s="579"/>
      <c r="F95" s="579"/>
      <c r="G95" s="579"/>
      <c r="H95" s="680"/>
      <c r="I95" s="579"/>
    </row>
    <row r="96" spans="1:13" x14ac:dyDescent="0.25">
      <c r="B96" s="581"/>
      <c r="C96" s="578"/>
      <c r="D96" s="579"/>
      <c r="E96" s="579"/>
      <c r="F96" s="579"/>
      <c r="G96" s="579"/>
      <c r="H96" s="680"/>
      <c r="I96" s="579"/>
    </row>
    <row r="97" spans="2:9" x14ac:dyDescent="0.25">
      <c r="B97" s="581"/>
      <c r="C97" s="578"/>
      <c r="D97" s="579"/>
      <c r="E97" s="579"/>
      <c r="F97" s="579"/>
      <c r="G97" s="579"/>
      <c r="H97" s="680"/>
      <c r="I97" s="579"/>
    </row>
    <row r="98" spans="2:9" x14ac:dyDescent="0.25">
      <c r="B98" s="581"/>
      <c r="C98" s="578"/>
      <c r="D98" s="579"/>
      <c r="E98" s="579"/>
      <c r="F98" s="579"/>
      <c r="G98" s="579"/>
      <c r="H98" s="680"/>
      <c r="I98" s="579"/>
    </row>
    <row r="99" spans="2:9" x14ac:dyDescent="0.25">
      <c r="B99" s="581"/>
      <c r="C99" s="578"/>
      <c r="D99" s="579"/>
      <c r="E99" s="579"/>
      <c r="F99" s="579"/>
      <c r="G99" s="579"/>
      <c r="H99" s="680"/>
      <c r="I99" s="579"/>
    </row>
    <row r="100" spans="2:9" x14ac:dyDescent="0.25">
      <c r="B100" s="581"/>
      <c r="C100" s="578"/>
      <c r="D100" s="579"/>
      <c r="E100" s="579"/>
      <c r="F100" s="579"/>
      <c r="G100" s="579"/>
      <c r="H100" s="680"/>
      <c r="I100" s="579"/>
    </row>
    <row r="101" spans="2:9" x14ac:dyDescent="0.25">
      <c r="B101" s="581"/>
      <c r="C101" s="578"/>
      <c r="D101" s="579"/>
      <c r="E101" s="579"/>
      <c r="F101" s="579"/>
      <c r="G101" s="579"/>
      <c r="H101" s="680"/>
      <c r="I101" s="579"/>
    </row>
    <row r="102" spans="2:9" x14ac:dyDescent="0.25">
      <c r="B102" s="581"/>
      <c r="C102" s="578"/>
      <c r="D102" s="579"/>
      <c r="E102" s="579"/>
      <c r="F102" s="579"/>
      <c r="G102" s="579"/>
      <c r="H102" s="680"/>
      <c r="I102" s="579"/>
    </row>
    <row r="103" spans="2:9" x14ac:dyDescent="0.25">
      <c r="B103" s="581"/>
      <c r="C103" s="578"/>
      <c r="D103" s="579"/>
      <c r="E103" s="579"/>
      <c r="F103" s="579"/>
      <c r="G103" s="579"/>
      <c r="H103" s="680"/>
      <c r="I103" s="579"/>
    </row>
    <row r="104" spans="2:9" x14ac:dyDescent="0.25">
      <c r="B104" s="581"/>
      <c r="C104" s="578"/>
      <c r="D104" s="579"/>
      <c r="E104" s="579"/>
      <c r="F104" s="579"/>
      <c r="G104" s="579"/>
      <c r="H104" s="680"/>
      <c r="I104" s="579"/>
    </row>
    <row r="105" spans="2:9" x14ac:dyDescent="0.25">
      <c r="B105" s="581"/>
      <c r="C105" s="578"/>
      <c r="D105" s="579"/>
      <c r="E105" s="579"/>
      <c r="F105" s="579"/>
      <c r="G105" s="579"/>
      <c r="H105" s="680"/>
      <c r="I105" s="579"/>
    </row>
    <row r="106" spans="2:9" x14ac:dyDescent="0.25">
      <c r="B106" s="581"/>
      <c r="C106" s="578"/>
      <c r="D106" s="579"/>
      <c r="E106" s="579"/>
      <c r="F106" s="579"/>
      <c r="G106" s="579"/>
      <c r="H106" s="680"/>
      <c r="I106" s="579"/>
    </row>
    <row r="107" spans="2:9" x14ac:dyDescent="0.25">
      <c r="B107" s="581"/>
      <c r="C107" s="578"/>
      <c r="D107" s="579"/>
      <c r="E107" s="579"/>
      <c r="F107" s="579"/>
      <c r="G107" s="579"/>
      <c r="H107" s="680"/>
      <c r="I107" s="579"/>
    </row>
    <row r="108" spans="2:9" x14ac:dyDescent="0.25">
      <c r="B108" s="581"/>
      <c r="C108" s="578"/>
      <c r="D108" s="579"/>
      <c r="E108" s="579"/>
      <c r="F108" s="579"/>
      <c r="G108" s="579"/>
      <c r="H108" s="680"/>
      <c r="I108" s="579"/>
    </row>
    <row r="109" spans="2:9" x14ac:dyDescent="0.25">
      <c r="B109" s="581"/>
      <c r="C109" s="578"/>
      <c r="D109" s="579"/>
      <c r="E109" s="579"/>
      <c r="F109" s="579"/>
      <c r="G109" s="579"/>
      <c r="H109" s="680"/>
      <c r="I109" s="579"/>
    </row>
    <row r="110" spans="2:9" x14ac:dyDescent="0.25">
      <c r="B110" s="581"/>
      <c r="C110" s="578"/>
      <c r="D110" s="579"/>
      <c r="E110" s="579"/>
      <c r="F110" s="579"/>
      <c r="G110" s="579"/>
      <c r="H110" s="680"/>
      <c r="I110" s="579"/>
    </row>
  </sheetData>
  <mergeCells count="1">
    <mergeCell ref="O40:P40"/>
  </mergeCells>
  <conditionalFormatting sqref="O41:O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8:W68 AE69 W1:W15">
    <cfRule type="iconSet" priority="24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283" priority="22">
      <formula>F47&gt;0</formula>
    </cfRule>
    <cfRule type="expression" dxfId="1282" priority="23">
      <formula>F47&lt;0</formula>
    </cfRule>
  </conditionalFormatting>
  <conditionalFormatting sqref="Q7">
    <cfRule type="expression" dxfId="1281" priority="20">
      <formula>Q7&gt;0</formula>
    </cfRule>
    <cfRule type="expression" dxfId="1280" priority="21">
      <formula>Q7&lt;0</formula>
    </cfRule>
  </conditionalFormatting>
  <conditionalFormatting sqref="Q8">
    <cfRule type="expression" dxfId="1279" priority="18">
      <formula>Q8&gt;0</formula>
    </cfRule>
    <cfRule type="expression" dxfId="1278" priority="19">
      <formula>Q8&lt;0</formula>
    </cfRule>
  </conditionalFormatting>
  <conditionalFormatting sqref="F25:F46">
    <cfRule type="expression" dxfId="1277" priority="16">
      <formula>F25&gt;0</formula>
    </cfRule>
    <cfRule type="expression" dxfId="1276" priority="17">
      <formula>F25&lt;0</formula>
    </cfRule>
  </conditionalFormatting>
  <conditionalFormatting sqref="H25:H46">
    <cfRule type="expression" dxfId="1275" priority="14">
      <formula>H25&gt;0</formula>
    </cfRule>
    <cfRule type="expression" dxfId="1274" priority="15">
      <formula>H25&lt;0</formula>
    </cfRule>
  </conditionalFormatting>
  <conditionalFormatting sqref="F89:F110">
    <cfRule type="expression" dxfId="1273" priority="12">
      <formula>F89&gt;0</formula>
    </cfRule>
    <cfRule type="expression" dxfId="1272" priority="13">
      <formula>F89&lt;0</formula>
    </cfRule>
  </conditionalFormatting>
  <conditionalFormatting sqref="H89:H110">
    <cfRule type="expression" dxfId="1271" priority="10">
      <formula>H89&gt;0</formula>
    </cfRule>
    <cfRule type="expression" dxfId="1270" priority="11">
      <formula>H89&lt;0</formula>
    </cfRule>
  </conditionalFormatting>
  <conditionalFormatting sqref="Q10">
    <cfRule type="expression" dxfId="1269" priority="8">
      <formula>Q10&gt;0</formula>
    </cfRule>
    <cfRule type="expression" dxfId="1268" priority="9">
      <formula>Q10&lt;0</formula>
    </cfRule>
  </conditionalFormatting>
  <conditionalFormatting sqref="J25:J38">
    <cfRule type="expression" dxfId="1267" priority="6">
      <formula>J25&gt;0</formula>
    </cfRule>
    <cfRule type="expression" dxfId="1266" priority="7">
      <formula>J25&lt;0</formula>
    </cfRule>
  </conditionalFormatting>
  <conditionalFormatting sqref="K25:K38">
    <cfRule type="expression" dxfId="1265" priority="4">
      <formula>K25&gt;0</formula>
    </cfRule>
    <cfRule type="expression" dxfId="1264" priority="5">
      <formula>K25&lt;0</formula>
    </cfRule>
  </conditionalFormatting>
  <conditionalFormatting sqref="L25:L38">
    <cfRule type="expression" dxfId="1263" priority="2">
      <formula>L25&gt;0</formula>
    </cfRule>
    <cfRule type="expression" dxfId="1262" priority="3">
      <formula>L25&lt;0</formula>
    </cfRule>
  </conditionalFormatting>
  <conditionalFormatting sqref="AD69">
    <cfRule type="dataBar" priority="6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W16:W27">
    <cfRule type="iconSet" priority="618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45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45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4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45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45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78">
        <f>IF(Q2=0, Q4, (F118-K118)/Q2)</f>
        <v>15.1</v>
      </c>
      <c r="T3" s="159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30"/>
      <c r="AL3" s="229"/>
      <c r="AO3" s="229"/>
    </row>
    <row r="4" spans="1:42" x14ac:dyDescent="0.25">
      <c r="B4" s="445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45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15.1</v>
      </c>
      <c r="R4" s="487">
        <v>2E-3</v>
      </c>
      <c r="T4" s="1" t="s">
        <v>471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9"/>
      <c r="AO4" s="229"/>
    </row>
    <row r="5" spans="1:42" x14ac:dyDescent="0.25">
      <c r="B5" s="445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45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9"/>
      <c r="AO5" s="229"/>
    </row>
    <row r="6" spans="1:42" x14ac:dyDescent="0.25">
      <c r="B6" s="445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45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472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9"/>
      <c r="AO6" s="229"/>
    </row>
    <row r="7" spans="1:42" x14ac:dyDescent="0.25">
      <c r="B7" s="445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45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9"/>
      <c r="AO7" s="229"/>
    </row>
    <row r="8" spans="1:42" x14ac:dyDescent="0.25">
      <c r="B8" s="445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45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62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9"/>
      <c r="AO8" s="229"/>
    </row>
    <row r="9" spans="1:42" x14ac:dyDescent="0.25">
      <c r="B9" s="445">
        <v>42187</v>
      </c>
      <c r="C9" s="4">
        <v>1000</v>
      </c>
      <c r="D9" s="235">
        <v>18.45</v>
      </c>
      <c r="E9" s="3">
        <v>0</v>
      </c>
      <c r="F9" s="3">
        <f t="shared" si="0"/>
        <v>18450</v>
      </c>
      <c r="G9" s="445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210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9"/>
      <c r="AO9" s="229"/>
    </row>
    <row r="10" spans="1:42" x14ac:dyDescent="0.25">
      <c r="B10" s="445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45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209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9"/>
      <c r="AO10" s="229"/>
    </row>
    <row r="11" spans="1:42" x14ac:dyDescent="0.25">
      <c r="B11" s="445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45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9"/>
      <c r="AO11" s="229"/>
    </row>
    <row r="12" spans="1:42" x14ac:dyDescent="0.25">
      <c r="B12" s="445">
        <v>42207</v>
      </c>
      <c r="C12" s="4">
        <v>30</v>
      </c>
      <c r="D12" s="235">
        <v>17.3</v>
      </c>
      <c r="E12" s="3">
        <v>0</v>
      </c>
      <c r="F12" s="3">
        <f t="shared" si="0"/>
        <v>519</v>
      </c>
      <c r="G12" s="445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9"/>
      <c r="AO12" s="229"/>
    </row>
    <row r="13" spans="1:42" x14ac:dyDescent="0.25">
      <c r="B13" s="445">
        <v>42207</v>
      </c>
      <c r="C13" s="4">
        <v>20</v>
      </c>
      <c r="D13" s="235">
        <v>17.399999999999999</v>
      </c>
      <c r="E13" s="3">
        <v>0</v>
      </c>
      <c r="F13" s="3">
        <f t="shared" si="0"/>
        <v>348</v>
      </c>
      <c r="G13" s="444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45">
        <v>42208</v>
      </c>
      <c r="C14" s="4">
        <v>100</v>
      </c>
      <c r="D14" s="235">
        <v>17.100000000000001</v>
      </c>
      <c r="E14" s="3">
        <v>0</v>
      </c>
      <c r="F14" s="3">
        <f t="shared" si="0"/>
        <v>1710.0000000000002</v>
      </c>
      <c r="G14" s="484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45">
        <v>42208</v>
      </c>
      <c r="C15" s="4">
        <v>50</v>
      </c>
      <c r="D15" s="235">
        <v>16.96</v>
      </c>
      <c r="E15" s="3">
        <v>0</v>
      </c>
      <c r="F15" s="3">
        <f t="shared" si="0"/>
        <v>848</v>
      </c>
      <c r="G15" s="484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9"/>
      <c r="AO15" s="229"/>
      <c r="AP15" s="229"/>
    </row>
    <row r="16" spans="1:42" x14ac:dyDescent="0.25">
      <c r="B16" s="445">
        <v>42222</v>
      </c>
      <c r="C16" s="4">
        <v>200</v>
      </c>
      <c r="D16" s="235">
        <v>17.739999999999998</v>
      </c>
      <c r="E16" s="3">
        <v>0</v>
      </c>
      <c r="F16" s="3">
        <f t="shared" si="0"/>
        <v>3547.9999999999995</v>
      </c>
      <c r="G16" s="484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45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84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9"/>
      <c r="AO17" s="229"/>
      <c r="AP17" s="229"/>
    </row>
    <row r="18" spans="2:42" x14ac:dyDescent="0.25">
      <c r="B18" s="445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84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45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84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9"/>
      <c r="AO19" s="229"/>
    </row>
    <row r="20" spans="2:42" x14ac:dyDescent="0.25">
      <c r="B20" s="445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44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45">
        <v>42227</v>
      </c>
      <c r="C21" s="4">
        <v>100</v>
      </c>
      <c r="D21" s="235">
        <v>17.100000000000001</v>
      </c>
      <c r="E21" s="3">
        <v>0</v>
      </c>
      <c r="F21" s="3">
        <f t="shared" si="0"/>
        <v>1710.0000000000002</v>
      </c>
      <c r="G21" s="444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45">
        <v>42229</v>
      </c>
      <c r="C22" s="4">
        <v>100</v>
      </c>
      <c r="D22" s="235">
        <v>16.89</v>
      </c>
      <c r="E22" s="3">
        <v>0</v>
      </c>
      <c r="F22" s="3">
        <f t="shared" si="0"/>
        <v>1689</v>
      </c>
      <c r="G22" s="444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45">
        <v>42233</v>
      </c>
      <c r="C23" s="4">
        <v>100</v>
      </c>
      <c r="D23" s="235">
        <v>16.5</v>
      </c>
      <c r="E23" s="3">
        <v>0</v>
      </c>
      <c r="F23" s="3">
        <f t="shared" si="0"/>
        <v>1650</v>
      </c>
      <c r="G23" s="444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45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44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45">
        <v>42244</v>
      </c>
      <c r="C25" s="4">
        <v>200</v>
      </c>
      <c r="D25" s="235">
        <v>15.4</v>
      </c>
      <c r="E25" s="3">
        <v>0</v>
      </c>
      <c r="F25" s="3">
        <f t="shared" ref="F25:F36" si="4">C25*D25</f>
        <v>3080</v>
      </c>
      <c r="G25" s="444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9"/>
      <c r="AO25" s="229"/>
    </row>
    <row r="26" spans="2:42" x14ac:dyDescent="0.25">
      <c r="B26" s="445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44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45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44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9"/>
      <c r="AO27" s="229"/>
    </row>
    <row r="28" spans="2:42" x14ac:dyDescent="0.25">
      <c r="B28" s="445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44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45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44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45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84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45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84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9"/>
      <c r="AO31" s="229"/>
    </row>
    <row r="32" spans="2:42" x14ac:dyDescent="0.25">
      <c r="B32" s="445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84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45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84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9"/>
      <c r="AO33" s="229"/>
    </row>
    <row r="34" spans="2:41" x14ac:dyDescent="0.25">
      <c r="B34" s="445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84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45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84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9"/>
      <c r="AO35" s="229"/>
    </row>
    <row r="36" spans="2:41" x14ac:dyDescent="0.25">
      <c r="B36" s="445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84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45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84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45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84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45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84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45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84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45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84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9"/>
      <c r="AO41" s="229"/>
    </row>
    <row r="42" spans="2:41" ht="20.25" thickBot="1" x14ac:dyDescent="0.35">
      <c r="B42" s="445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84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64" t="s">
        <v>78</v>
      </c>
      <c r="P42" s="364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45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84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16.61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45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84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16.459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45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84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16.308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9"/>
      <c r="AO45" s="229"/>
    </row>
    <row r="46" spans="2:41" x14ac:dyDescent="0.25">
      <c r="B46" s="445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84">
        <v>42361</v>
      </c>
      <c r="H46" s="80"/>
      <c r="I46" s="77"/>
      <c r="J46" s="43"/>
      <c r="K46" s="43"/>
      <c r="O46" s="81">
        <v>1.07</v>
      </c>
      <c r="P46" s="81">
        <f t="shared" si="7"/>
        <v>16.157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06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84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16.006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06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45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15.855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45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45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15.704000000000001</v>
      </c>
      <c r="Q49" s="2"/>
      <c r="T49" s="106" t="s">
        <v>103</v>
      </c>
      <c r="U49" s="104" t="s">
        <v>629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45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45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15.553000000000001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45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45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15.401999999999999</v>
      </c>
      <c r="Q51" s="2"/>
      <c r="T51" s="106" t="s">
        <v>104</v>
      </c>
      <c r="U51" s="104" t="s">
        <v>630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45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45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15.250999999999999</v>
      </c>
      <c r="Q52" s="2"/>
      <c r="T52" s="106" t="s">
        <v>105</v>
      </c>
      <c r="U52" s="104" t="s">
        <v>524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45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45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15.1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9"/>
      <c r="AO53" s="229"/>
    </row>
    <row r="54" spans="2:42" x14ac:dyDescent="0.25">
      <c r="B54" s="445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45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14.949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45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45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14.798</v>
      </c>
      <c r="T55" s="106" t="s">
        <v>107</v>
      </c>
      <c r="U55" s="104" t="s">
        <v>631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45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45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14.646999999999998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45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45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14.495999999999999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9"/>
      <c r="AO57" s="229"/>
    </row>
    <row r="58" spans="2:42" x14ac:dyDescent="0.25">
      <c r="B58" s="445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45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14.344999999999999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45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44"/>
      <c r="H59" s="7"/>
      <c r="I59" s="77"/>
      <c r="J59" s="43"/>
      <c r="K59" s="43"/>
      <c r="O59" s="81">
        <v>0.94</v>
      </c>
      <c r="P59" s="81">
        <f t="shared" si="7"/>
        <v>14.193999999999999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9"/>
    </row>
    <row r="60" spans="2:42" x14ac:dyDescent="0.25">
      <c r="B60" s="445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45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14.043000000000001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45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45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13.891999999999999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9"/>
      <c r="AO61" s="229"/>
    </row>
    <row r="62" spans="2:42" x14ac:dyDescent="0.25">
      <c r="B62" s="445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45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13.741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45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45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13.59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9"/>
      <c r="AO63" s="229"/>
      <c r="AP63" s="229"/>
    </row>
    <row r="64" spans="2:42" ht="15" customHeight="1" x14ac:dyDescent="0.25">
      <c r="B64" s="445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45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56"/>
      <c r="B65" s="445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45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9"/>
      <c r="AO65" s="229"/>
    </row>
    <row r="66" spans="1:41" x14ac:dyDescent="0.25">
      <c r="A66" s="556"/>
      <c r="B66" s="445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45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56"/>
      <c r="B67" s="445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45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9"/>
    </row>
    <row r="68" spans="1:41" ht="18" customHeight="1" x14ac:dyDescent="0.25">
      <c r="A68" s="575"/>
      <c r="B68" s="445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45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75"/>
      <c r="B69" s="445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45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75"/>
      <c r="B70" s="445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45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75"/>
      <c r="B71" s="445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45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75"/>
      <c r="B72" s="445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45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75"/>
      <c r="B73" s="445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45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511</v>
      </c>
    </row>
    <row r="74" spans="1:41" x14ac:dyDescent="0.25">
      <c r="B74" s="445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45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512</v>
      </c>
    </row>
    <row r="75" spans="1:41" x14ac:dyDescent="0.25">
      <c r="B75" s="445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45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45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45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45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45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45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45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45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45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45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45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45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45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45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45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45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45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45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45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45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45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56"/>
    </row>
    <row r="86" spans="2:21" ht="15" customHeight="1" x14ac:dyDescent="0.25">
      <c r="B86" s="445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45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56"/>
      <c r="Q86" s="1"/>
      <c r="R86" s="2"/>
    </row>
    <row r="87" spans="2:21" x14ac:dyDescent="0.25">
      <c r="B87" s="445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45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87"/>
    </row>
    <row r="88" spans="2:21" x14ac:dyDescent="0.25">
      <c r="B88" s="445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45">
        <v>42733</v>
      </c>
      <c r="H88" s="180">
        <v>1000</v>
      </c>
      <c r="I88" s="78">
        <v>11.63</v>
      </c>
      <c r="J88" s="2">
        <v>0.25</v>
      </c>
      <c r="K88" s="2">
        <f t="shared" si="9"/>
        <v>11629.75</v>
      </c>
      <c r="M88" s="487"/>
    </row>
    <row r="89" spans="2:21" ht="15" customHeight="1" x14ac:dyDescent="0.25">
      <c r="B89" s="445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45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45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45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45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45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45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45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45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45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45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45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45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45">
        <v>42823</v>
      </c>
      <c r="H95" s="4">
        <v>200</v>
      </c>
      <c r="I95" s="235">
        <v>10.94</v>
      </c>
      <c r="J95" s="3">
        <v>0.05</v>
      </c>
      <c r="K95" s="3">
        <f t="shared" si="13"/>
        <v>2187.9499999999998</v>
      </c>
    </row>
    <row r="96" spans="2:21" x14ac:dyDescent="0.25">
      <c r="B96" s="586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45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45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45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07"/>
      <c r="B98" s="445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45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07"/>
      <c r="B99" s="445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45">
        <v>42864</v>
      </c>
      <c r="H99" s="4">
        <v>300</v>
      </c>
      <c r="I99" s="235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45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45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45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45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45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45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45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45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45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45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45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45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45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5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7" t="s">
        <v>194</v>
      </c>
      <c r="B119" s="348"/>
      <c r="C119" s="349">
        <f>SumByColor($A$119,C2:C117)</f>
        <v>38705</v>
      </c>
      <c r="D119" s="349"/>
      <c r="E119" s="349"/>
      <c r="F119" s="350">
        <f>SumByColor($A$119,F2:F117)</f>
        <v>526268</v>
      </c>
      <c r="G119" s="349"/>
      <c r="H119" s="349">
        <f>SumByColor($A$119,H2:H117)</f>
        <v>38905</v>
      </c>
      <c r="I119" s="349"/>
      <c r="J119" s="349"/>
      <c r="K119" s="350">
        <f>SumByColor($A$119,K2:K117)</f>
        <v>528865</v>
      </c>
      <c r="L119" s="349"/>
      <c r="M119" s="350">
        <f>SumByColor($A$119,M2:M117)</f>
        <v>0</v>
      </c>
    </row>
    <row r="123" spans="1:13" x14ac:dyDescent="0.25">
      <c r="B123" s="186" t="s">
        <v>113</v>
      </c>
      <c r="C123" s="186" t="s">
        <v>146</v>
      </c>
      <c r="D123" s="194" t="s">
        <v>145</v>
      </c>
      <c r="E123" s="190" t="s">
        <v>147</v>
      </c>
      <c r="F123" s="190" t="s">
        <v>65</v>
      </c>
      <c r="G123" s="224" t="s">
        <v>151</v>
      </c>
      <c r="H123" s="190" t="s">
        <v>88</v>
      </c>
      <c r="I123" s="236" t="s">
        <v>151</v>
      </c>
      <c r="J123" s="39"/>
      <c r="K123" s="39"/>
    </row>
    <row r="124" spans="1:13" x14ac:dyDescent="0.25">
      <c r="B124" s="188">
        <v>42304</v>
      </c>
      <c r="C124" s="10">
        <v>5530</v>
      </c>
      <c r="D124" s="195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7">
        <f>IF(C124=0, D124, (E124-D124)/D124)</f>
        <v>-0.16082711085583001</v>
      </c>
      <c r="I124" s="195"/>
      <c r="J124" s="39"/>
      <c r="K124" s="39"/>
    </row>
    <row r="125" spans="1:13" x14ac:dyDescent="0.25">
      <c r="B125" s="188">
        <v>42306</v>
      </c>
      <c r="C125" s="10">
        <v>5530</v>
      </c>
      <c r="D125" s="195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7">
        <f t="shared" ref="H125:H166" si="16">IF(C125=0, D125, (E125-D125)/D125)</f>
        <v>-0.14187248707639291</v>
      </c>
      <c r="I125" s="195"/>
      <c r="J125" s="39"/>
      <c r="K125" s="39"/>
    </row>
    <row r="126" spans="1:13" x14ac:dyDescent="0.25">
      <c r="B126" s="188">
        <v>42307</v>
      </c>
      <c r="C126" s="10">
        <v>5730</v>
      </c>
      <c r="D126" s="195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7">
        <f t="shared" si="16"/>
        <v>-0.10502019619157522</v>
      </c>
      <c r="I126" s="195"/>
      <c r="J126" s="39"/>
      <c r="K126" s="39"/>
    </row>
    <row r="127" spans="1:13" x14ac:dyDescent="0.25">
      <c r="B127" s="188">
        <v>42313</v>
      </c>
      <c r="C127" s="10">
        <v>6000</v>
      </c>
      <c r="D127" s="195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7">
        <f t="shared" si="16"/>
        <v>-0.13588850174216019</v>
      </c>
      <c r="I127" s="195"/>
      <c r="J127" s="39"/>
      <c r="K127" s="39"/>
    </row>
    <row r="128" spans="1:13" x14ac:dyDescent="0.25">
      <c r="B128" s="188">
        <v>42314</v>
      </c>
      <c r="C128" s="10">
        <v>7006</v>
      </c>
      <c r="D128" s="195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7">
        <f t="shared" si="16"/>
        <v>-0.14319667260843724</v>
      </c>
      <c r="I128" s="195"/>
      <c r="J128" s="39"/>
      <c r="K128" s="39"/>
    </row>
    <row r="129" spans="2:11" x14ac:dyDescent="0.25">
      <c r="B129" s="188">
        <v>42324</v>
      </c>
      <c r="C129" s="10">
        <v>6000</v>
      </c>
      <c r="D129" s="195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7">
        <f t="shared" si="16"/>
        <v>-0.13154831199068684</v>
      </c>
      <c r="I129" s="195"/>
      <c r="J129" s="39"/>
      <c r="K129" s="39"/>
    </row>
    <row r="130" spans="2:11" x14ac:dyDescent="0.25">
      <c r="B130" s="188">
        <v>42325</v>
      </c>
      <c r="C130" s="10">
        <v>7000</v>
      </c>
      <c r="D130" s="195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7">
        <f t="shared" si="16"/>
        <v>-0.14353782013103028</v>
      </c>
      <c r="I130" s="195"/>
      <c r="J130" s="39"/>
      <c r="K130" s="39"/>
    </row>
    <row r="131" spans="2:11" x14ac:dyDescent="0.25">
      <c r="B131" s="188">
        <v>42326</v>
      </c>
      <c r="C131" s="10">
        <v>6000</v>
      </c>
      <c r="D131" s="195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7">
        <f t="shared" si="16"/>
        <v>-0.14627039627039626</v>
      </c>
      <c r="I131" s="195"/>
      <c r="J131" s="39"/>
      <c r="K131" s="39"/>
    </row>
    <row r="132" spans="2:11" x14ac:dyDescent="0.25">
      <c r="B132" s="188">
        <v>42335</v>
      </c>
      <c r="C132" s="10">
        <v>6100</v>
      </c>
      <c r="D132" s="195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7">
        <f t="shared" si="16"/>
        <v>-0.15429573348918754</v>
      </c>
      <c r="I132" s="195"/>
      <c r="J132" s="39"/>
      <c r="K132" s="39"/>
    </row>
    <row r="133" spans="2:11" x14ac:dyDescent="0.25">
      <c r="B133" s="188">
        <v>42335</v>
      </c>
      <c r="C133" s="10">
        <v>7000</v>
      </c>
      <c r="D133" s="195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7">
        <f t="shared" si="16"/>
        <v>-0.1371496720333929</v>
      </c>
      <c r="I133" s="195"/>
      <c r="J133" s="39"/>
      <c r="K133" s="39"/>
    </row>
    <row r="134" spans="2:11" x14ac:dyDescent="0.25">
      <c r="B134" s="188">
        <v>42338</v>
      </c>
      <c r="C134" s="10">
        <v>6000</v>
      </c>
      <c r="D134" s="195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7">
        <f t="shared" si="16"/>
        <v>-0.13567251461988314</v>
      </c>
      <c r="I134" s="195"/>
      <c r="J134" s="39"/>
      <c r="K134" s="39"/>
    </row>
    <row r="135" spans="2:11" x14ac:dyDescent="0.25">
      <c r="B135" s="188">
        <v>42338</v>
      </c>
      <c r="C135" s="10">
        <v>5900</v>
      </c>
      <c r="D135" s="195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7">
        <f t="shared" si="16"/>
        <v>-0.13768961493582271</v>
      </c>
      <c r="I135" s="195"/>
      <c r="J135" s="39"/>
      <c r="K135" s="39"/>
    </row>
    <row r="136" spans="2:11" x14ac:dyDescent="0.25">
      <c r="B136" s="188">
        <v>42340</v>
      </c>
      <c r="C136" s="10">
        <v>7000</v>
      </c>
      <c r="D136" s="195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7">
        <f t="shared" si="16"/>
        <v>-0.16616676664667074</v>
      </c>
      <c r="I136" s="195"/>
      <c r="J136" s="39"/>
      <c r="K136" s="39"/>
    </row>
    <row r="137" spans="2:11" x14ac:dyDescent="0.25">
      <c r="B137" s="188">
        <v>42340</v>
      </c>
      <c r="C137" s="10">
        <v>7500</v>
      </c>
      <c r="D137" s="195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7">
        <f t="shared" si="16"/>
        <v>-0.15808600847970933</v>
      </c>
      <c r="I137" s="195"/>
      <c r="J137" s="39"/>
      <c r="K137" s="39"/>
    </row>
    <row r="138" spans="2:11" x14ac:dyDescent="0.25">
      <c r="B138" s="188">
        <v>42344</v>
      </c>
      <c r="C138" s="10">
        <v>7500</v>
      </c>
      <c r="D138" s="195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7">
        <f t="shared" si="16"/>
        <v>-0.20351302241066027</v>
      </c>
      <c r="I138" s="195"/>
      <c r="J138" s="39"/>
      <c r="K138" s="39"/>
    </row>
    <row r="139" spans="2:11" x14ac:dyDescent="0.25">
      <c r="B139" s="188">
        <v>42349</v>
      </c>
      <c r="C139" s="10">
        <v>8000</v>
      </c>
      <c r="D139" s="195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7">
        <f t="shared" si="16"/>
        <v>-0.23308733087330877</v>
      </c>
      <c r="I139" s="195"/>
      <c r="J139" s="39"/>
      <c r="K139" s="39"/>
    </row>
    <row r="140" spans="2:11" x14ac:dyDescent="0.25">
      <c r="B140" s="188">
        <v>42356</v>
      </c>
      <c r="C140" s="10">
        <v>7500</v>
      </c>
      <c r="D140" s="195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7">
        <f t="shared" si="16"/>
        <v>-0.23682616596002432</v>
      </c>
      <c r="I140" s="195"/>
      <c r="J140" s="39"/>
      <c r="K140" s="39"/>
    </row>
    <row r="141" spans="2:11" x14ac:dyDescent="0.25">
      <c r="B141" s="188">
        <v>42356</v>
      </c>
      <c r="C141" s="275">
        <v>4500</v>
      </c>
      <c r="D141" s="276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7">
        <f t="shared" si="16"/>
        <v>-0.32494758909853239</v>
      </c>
      <c r="I141" s="195"/>
      <c r="J141" s="39"/>
      <c r="K141" s="39"/>
    </row>
    <row r="142" spans="2:11" x14ac:dyDescent="0.25">
      <c r="B142" s="188">
        <v>42397</v>
      </c>
      <c r="C142" s="416">
        <v>2000</v>
      </c>
      <c r="D142" s="207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7">
        <f t="shared" si="16"/>
        <v>-0.41404451266308517</v>
      </c>
      <c r="I142" s="195"/>
      <c r="J142" s="39"/>
      <c r="K142" s="39"/>
    </row>
    <row r="143" spans="2:11" x14ac:dyDescent="0.25">
      <c r="B143" s="188">
        <v>42398</v>
      </c>
      <c r="C143" s="275">
        <v>1800</v>
      </c>
      <c r="D143" s="276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7">
        <f t="shared" si="16"/>
        <v>-0.43983859134262659</v>
      </c>
      <c r="I143" s="195"/>
      <c r="J143" s="39"/>
      <c r="K143" s="39"/>
    </row>
    <row r="144" spans="2:11" x14ac:dyDescent="0.25">
      <c r="B144" s="188">
        <v>42402</v>
      </c>
      <c r="C144" s="275">
        <v>2000</v>
      </c>
      <c r="D144" s="276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7">
        <f t="shared" si="16"/>
        <v>-0.41615384615384615</v>
      </c>
      <c r="I144" s="195"/>
      <c r="J144" s="39"/>
      <c r="K144" s="39"/>
    </row>
    <row r="145" spans="2:11" x14ac:dyDescent="0.25">
      <c r="B145" s="188">
        <v>42412</v>
      </c>
      <c r="C145" s="275">
        <v>2200</v>
      </c>
      <c r="D145" s="276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7">
        <f t="shared" si="16"/>
        <v>-0.50101010101010102</v>
      </c>
      <c r="I145" s="195"/>
      <c r="J145" s="39"/>
      <c r="K145" s="39"/>
    </row>
    <row r="146" spans="2:11" x14ac:dyDescent="0.25">
      <c r="B146" s="188">
        <v>42416</v>
      </c>
      <c r="C146" s="275">
        <v>2000</v>
      </c>
      <c r="D146" s="276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7">
        <f t="shared" si="16"/>
        <v>-0.52426810477657937</v>
      </c>
      <c r="I146" s="195"/>
      <c r="J146" s="39"/>
      <c r="K146" s="39"/>
    </row>
    <row r="147" spans="2:11" x14ac:dyDescent="0.25">
      <c r="B147" s="188">
        <v>42416</v>
      </c>
      <c r="C147" s="275">
        <v>1750</v>
      </c>
      <c r="D147" s="276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7">
        <f t="shared" si="16"/>
        <v>-0.53649766271125487</v>
      </c>
      <c r="I147" s="195"/>
      <c r="J147" s="39"/>
      <c r="K147" s="39"/>
    </row>
    <row r="148" spans="2:11" x14ac:dyDescent="0.25">
      <c r="B148" s="188">
        <v>42416</v>
      </c>
      <c r="C148" s="275">
        <v>2000</v>
      </c>
      <c r="D148" s="276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7">
        <f t="shared" si="16"/>
        <v>-0.50131031293355943</v>
      </c>
      <c r="I148" s="195"/>
      <c r="J148" s="39"/>
      <c r="K148" s="39"/>
    </row>
    <row r="149" spans="2:11" x14ac:dyDescent="0.25">
      <c r="B149" s="188">
        <v>42426</v>
      </c>
      <c r="C149" s="275">
        <v>2000</v>
      </c>
      <c r="D149" s="276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7">
        <f t="shared" si="16"/>
        <v>-0.52267026818444917</v>
      </c>
      <c r="I149" s="195"/>
      <c r="J149" s="39"/>
      <c r="K149" s="39"/>
    </row>
    <row r="150" spans="2:11" x14ac:dyDescent="0.25">
      <c r="B150" s="188">
        <v>42430</v>
      </c>
      <c r="C150" s="275">
        <v>2000</v>
      </c>
      <c r="D150" s="276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7">
        <f t="shared" si="16"/>
        <v>-0.50530580744742426</v>
      </c>
      <c r="I150" s="195">
        <v>25.5</v>
      </c>
      <c r="J150" s="39"/>
      <c r="K150" s="39"/>
    </row>
    <row r="151" spans="2:11" x14ac:dyDescent="0.25">
      <c r="B151" s="188">
        <v>42431</v>
      </c>
      <c r="C151" s="430">
        <v>1500</v>
      </c>
      <c r="D151" s="573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7">
        <f t="shared" si="16"/>
        <v>-0.55868201878090051</v>
      </c>
      <c r="I151" s="195"/>
      <c r="J151" s="39"/>
      <c r="K151" s="39"/>
    </row>
    <row r="152" spans="2:11" x14ac:dyDescent="0.25">
      <c r="B152" s="188">
        <v>42444</v>
      </c>
      <c r="C152" s="275">
        <v>1500</v>
      </c>
      <c r="D152" s="276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7">
        <f t="shared" si="16"/>
        <v>-0.52616385174370384</v>
      </c>
      <c r="I152" s="195"/>
      <c r="J152" s="39"/>
      <c r="K152" s="39"/>
    </row>
    <row r="153" spans="2:11" x14ac:dyDescent="0.25">
      <c r="B153" s="188">
        <v>42447</v>
      </c>
      <c r="C153" s="275">
        <v>1500</v>
      </c>
      <c r="D153" s="276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7">
        <f t="shared" si="16"/>
        <v>-0.50293658957427745</v>
      </c>
      <c r="I153" s="195"/>
      <c r="J153" s="39"/>
      <c r="K153" s="39"/>
    </row>
    <row r="154" spans="2:11" x14ac:dyDescent="0.25">
      <c r="B154" s="188">
        <v>42480</v>
      </c>
      <c r="C154" s="275">
        <v>1500</v>
      </c>
      <c r="D154" s="276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7">
        <f t="shared" si="16"/>
        <v>-0.48653142667110078</v>
      </c>
      <c r="I154" s="195"/>
      <c r="J154" s="39"/>
      <c r="K154" s="39"/>
    </row>
    <row r="155" spans="2:11" x14ac:dyDescent="0.25">
      <c r="B155" s="188">
        <v>42488</v>
      </c>
      <c r="C155" s="275">
        <v>1500</v>
      </c>
      <c r="D155" s="276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7">
        <f t="shared" si="16"/>
        <v>-0.4822017248842862</v>
      </c>
      <c r="I155" s="195"/>
      <c r="J155" s="39"/>
      <c r="K155" s="39"/>
    </row>
    <row r="156" spans="2:11" x14ac:dyDescent="0.25">
      <c r="B156" s="188">
        <v>42494</v>
      </c>
      <c r="C156" s="275">
        <v>1500</v>
      </c>
      <c r="D156" s="276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7">
        <f t="shared" si="16"/>
        <v>-0.49985015483999867</v>
      </c>
      <c r="I156" s="195"/>
      <c r="J156" s="39"/>
      <c r="K156" s="39"/>
    </row>
    <row r="157" spans="2:11" x14ac:dyDescent="0.25">
      <c r="B157" s="188">
        <v>42517</v>
      </c>
      <c r="C157" s="275">
        <v>1500</v>
      </c>
      <c r="D157" s="276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7">
        <f t="shared" si="16"/>
        <v>-0.50905941913136155</v>
      </c>
      <c r="I157" s="195"/>
      <c r="J157" s="39"/>
      <c r="K157" s="39"/>
    </row>
    <row r="158" spans="2:11" x14ac:dyDescent="0.25">
      <c r="B158" s="188">
        <v>42522</v>
      </c>
      <c r="C158" s="275">
        <v>1500</v>
      </c>
      <c r="D158" s="276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7">
        <f t="shared" si="16"/>
        <v>-0.49773514521715961</v>
      </c>
      <c r="I158" s="195"/>
      <c r="J158" s="39"/>
      <c r="K158" s="39"/>
    </row>
    <row r="159" spans="2:11" x14ac:dyDescent="0.25">
      <c r="B159" s="188">
        <v>42530</v>
      </c>
      <c r="C159" s="275">
        <v>1520</v>
      </c>
      <c r="D159" s="276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7">
        <f t="shared" si="16"/>
        <v>-0.47118644067796611</v>
      </c>
      <c r="I159" s="195"/>
      <c r="J159" s="39"/>
      <c r="K159" s="39"/>
    </row>
    <row r="160" spans="2:11" x14ac:dyDescent="0.25">
      <c r="B160" s="188">
        <v>42534</v>
      </c>
      <c r="C160" s="275">
        <v>1520</v>
      </c>
      <c r="D160" s="276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7">
        <f t="shared" si="16"/>
        <v>-0.51694915254237284</v>
      </c>
      <c r="I160" s="195"/>
      <c r="J160" s="39"/>
      <c r="K160" s="39"/>
    </row>
    <row r="161" spans="2:11" x14ac:dyDescent="0.25">
      <c r="B161" s="188">
        <v>42535</v>
      </c>
      <c r="C161" s="275">
        <v>2000</v>
      </c>
      <c r="D161" s="276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7">
        <f t="shared" si="16"/>
        <v>-0.46134740763737969</v>
      </c>
      <c r="I161" s="195"/>
      <c r="J161" s="39"/>
      <c r="K161" s="39"/>
    </row>
    <row r="162" spans="2:11" x14ac:dyDescent="0.25">
      <c r="B162" s="188">
        <v>42538</v>
      </c>
      <c r="C162" s="275">
        <v>1520</v>
      </c>
      <c r="D162" s="276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7">
        <f t="shared" si="16"/>
        <v>-0.5161071088759005</v>
      </c>
      <c r="I162" s="195"/>
      <c r="J162" s="39"/>
      <c r="K162" s="39"/>
    </row>
    <row r="163" spans="2:11" x14ac:dyDescent="0.25">
      <c r="B163" s="188">
        <v>42543</v>
      </c>
      <c r="C163" s="275">
        <v>2000</v>
      </c>
      <c r="D163" s="276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7">
        <f t="shared" si="16"/>
        <v>-0.46334059775840603</v>
      </c>
      <c r="I163" s="195"/>
      <c r="J163" s="39"/>
      <c r="K163" s="39"/>
    </row>
    <row r="164" spans="2:11" x14ac:dyDescent="0.25">
      <c r="B164" s="188">
        <v>42544</v>
      </c>
      <c r="C164" s="275">
        <v>1520</v>
      </c>
      <c r="D164" s="276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7">
        <f t="shared" si="16"/>
        <v>-0.51668427690105323</v>
      </c>
      <c r="I164" s="195"/>
      <c r="J164" s="39"/>
      <c r="K164" s="39"/>
    </row>
    <row r="165" spans="2:11" x14ac:dyDescent="0.25">
      <c r="B165" s="188">
        <v>42545</v>
      </c>
      <c r="C165" s="416">
        <v>2000</v>
      </c>
      <c r="D165" s="207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7">
        <f t="shared" si="16"/>
        <v>-0.4662547900211152</v>
      </c>
      <c r="I165" s="195"/>
      <c r="J165" s="39"/>
      <c r="K165" s="39"/>
    </row>
    <row r="166" spans="2:11" x14ac:dyDescent="0.25">
      <c r="B166" s="188">
        <v>42548</v>
      </c>
      <c r="C166" s="275">
        <v>2000</v>
      </c>
      <c r="D166" s="276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7">
        <f t="shared" si="16"/>
        <v>-0.47563932118557911</v>
      </c>
      <c r="I166" s="195"/>
      <c r="J166" s="39"/>
      <c r="K166" s="39"/>
    </row>
    <row r="167" spans="2:11" x14ac:dyDescent="0.25">
      <c r="B167" s="188">
        <v>42549</v>
      </c>
      <c r="C167" s="275">
        <v>2000</v>
      </c>
      <c r="D167" s="276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7">
        <f t="shared" ref="H167:H204" si="19">IF(C167=0, D167, (E167-D167)/D167)</f>
        <v>-0.44396652850551344</v>
      </c>
      <c r="I167" s="195"/>
      <c r="J167" s="39"/>
      <c r="K167" s="39"/>
    </row>
    <row r="168" spans="2:11" x14ac:dyDescent="0.25">
      <c r="B168" s="188">
        <v>42550</v>
      </c>
      <c r="C168" s="275">
        <v>1520</v>
      </c>
      <c r="D168" s="276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7">
        <f t="shared" si="19"/>
        <v>-0.49701590368096038</v>
      </c>
      <c r="I168" s="195"/>
      <c r="J168" s="39"/>
      <c r="K168" s="39"/>
    </row>
    <row r="169" spans="2:11" x14ac:dyDescent="0.25">
      <c r="B169" s="188">
        <v>42556</v>
      </c>
      <c r="C169" s="275">
        <v>2000</v>
      </c>
      <c r="D169" s="276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7">
        <f t="shared" si="19"/>
        <v>-0.43734518145716195</v>
      </c>
      <c r="I169" s="195">
        <v>25</v>
      </c>
      <c r="J169" s="39"/>
      <c r="K169" s="39"/>
    </row>
    <row r="170" spans="2:11" x14ac:dyDescent="0.25">
      <c r="B170" s="188">
        <v>42563</v>
      </c>
      <c r="C170" s="275">
        <v>2000</v>
      </c>
      <c r="D170" s="276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7">
        <f t="shared" si="19"/>
        <v>-0.41100145480281525</v>
      </c>
      <c r="I170" s="195"/>
      <c r="J170" s="39"/>
      <c r="K170" s="39"/>
    </row>
    <row r="171" spans="2:11" x14ac:dyDescent="0.25">
      <c r="B171" s="188">
        <v>42578</v>
      </c>
      <c r="C171" s="275">
        <v>2200</v>
      </c>
      <c r="D171" s="276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7">
        <f t="shared" si="19"/>
        <v>-0.42374687487192098</v>
      </c>
      <c r="I171" s="195"/>
      <c r="J171" s="39"/>
      <c r="K171" s="39"/>
    </row>
    <row r="172" spans="2:11" x14ac:dyDescent="0.25">
      <c r="B172" s="188">
        <v>42580</v>
      </c>
      <c r="C172" s="275">
        <v>2700</v>
      </c>
      <c r="D172" s="276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7">
        <f t="shared" si="19"/>
        <v>-0.38633318445734705</v>
      </c>
      <c r="I172" s="195"/>
      <c r="J172" s="39"/>
      <c r="K172" s="39"/>
    </row>
    <row r="173" spans="2:11" x14ac:dyDescent="0.25">
      <c r="B173" s="188">
        <v>42580</v>
      </c>
      <c r="C173" s="275">
        <v>3000</v>
      </c>
      <c r="D173" s="276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7">
        <f t="shared" si="19"/>
        <v>-0.3603054145909958</v>
      </c>
      <c r="I173" s="195"/>
      <c r="J173" s="39"/>
      <c r="K173" s="39"/>
    </row>
    <row r="174" spans="2:11" x14ac:dyDescent="0.25">
      <c r="B174" s="188">
        <v>42580</v>
      </c>
      <c r="C174" s="275">
        <v>2000</v>
      </c>
      <c r="D174" s="276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7">
        <f t="shared" si="19"/>
        <v>-0.45805230150278076</v>
      </c>
      <c r="I174" s="195">
        <v>25</v>
      </c>
      <c r="J174" s="39"/>
      <c r="K174" s="39"/>
    </row>
    <row r="175" spans="2:11" x14ac:dyDescent="0.25">
      <c r="B175" s="188">
        <v>42585</v>
      </c>
      <c r="C175" s="416">
        <v>2000</v>
      </c>
      <c r="D175" s="207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7">
        <f t="shared" si="19"/>
        <v>-0.46949079004457073</v>
      </c>
      <c r="I175" s="195"/>
      <c r="J175" s="39"/>
      <c r="K175" s="39"/>
    </row>
    <row r="176" spans="2:11" x14ac:dyDescent="0.25">
      <c r="B176" s="188">
        <v>42586</v>
      </c>
      <c r="C176" s="275">
        <v>2500</v>
      </c>
      <c r="D176" s="276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7">
        <f t="shared" si="19"/>
        <v>-0.43367391494192647</v>
      </c>
      <c r="I176" s="195"/>
      <c r="J176" s="39"/>
      <c r="K176" s="39"/>
    </row>
    <row r="177" spans="2:11" x14ac:dyDescent="0.25">
      <c r="B177" s="188">
        <v>42590</v>
      </c>
      <c r="C177" s="431">
        <v>3000</v>
      </c>
      <c r="D177" s="485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7">
        <f t="shared" si="19"/>
        <v>-0.38805268109125124</v>
      </c>
      <c r="I177" s="195"/>
      <c r="J177" s="39"/>
      <c r="K177" s="39"/>
    </row>
    <row r="178" spans="2:11" x14ac:dyDescent="0.25">
      <c r="B178" s="188">
        <v>42591</v>
      </c>
      <c r="C178" s="275">
        <v>3500</v>
      </c>
      <c r="D178" s="276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7">
        <f t="shared" si="19"/>
        <v>-0.36757512229210337</v>
      </c>
      <c r="I178" s="195">
        <v>19.75</v>
      </c>
      <c r="J178" s="39"/>
      <c r="K178" s="39"/>
    </row>
    <row r="179" spans="2:11" x14ac:dyDescent="0.25">
      <c r="B179" s="188">
        <v>42593</v>
      </c>
      <c r="C179" s="10">
        <v>3500</v>
      </c>
      <c r="D179" s="195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7">
        <f t="shared" si="19"/>
        <v>-0.37555437643538886</v>
      </c>
      <c r="I179" s="195"/>
      <c r="J179" s="39"/>
      <c r="K179" s="39"/>
    </row>
    <row r="180" spans="2:11" x14ac:dyDescent="0.25">
      <c r="B180" s="188">
        <v>42599</v>
      </c>
      <c r="C180" s="10">
        <v>3500</v>
      </c>
      <c r="D180" s="195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7">
        <f t="shared" si="19"/>
        <v>-0.3705628047042569</v>
      </c>
      <c r="I180" s="195"/>
      <c r="J180" s="39"/>
      <c r="K180" s="39"/>
    </row>
    <row r="181" spans="2:11" x14ac:dyDescent="0.25">
      <c r="B181" s="188">
        <v>42600</v>
      </c>
      <c r="C181" s="10">
        <v>3500</v>
      </c>
      <c r="D181" s="195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7">
        <f t="shared" si="19"/>
        <v>-0.37255943339670966</v>
      </c>
      <c r="I181" s="195"/>
      <c r="J181" s="39"/>
      <c r="K181" s="39"/>
    </row>
    <row r="182" spans="2:11" x14ac:dyDescent="0.25">
      <c r="B182" s="188">
        <v>42601</v>
      </c>
      <c r="C182" s="10">
        <v>4000</v>
      </c>
      <c r="D182" s="195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7">
        <f t="shared" si="19"/>
        <v>-0.35692161629831287</v>
      </c>
      <c r="I182" s="195"/>
      <c r="J182" s="39"/>
      <c r="K182" s="39"/>
    </row>
    <row r="183" spans="2:11" x14ac:dyDescent="0.25">
      <c r="B183" s="188">
        <v>42604</v>
      </c>
      <c r="C183" s="275">
        <v>4500</v>
      </c>
      <c r="D183" s="276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7">
        <f t="shared" si="19"/>
        <v>-0.33072659361161033</v>
      </c>
      <c r="I183" s="195">
        <v>18</v>
      </c>
      <c r="J183" s="39"/>
      <c r="K183" s="39"/>
    </row>
    <row r="184" spans="2:11" x14ac:dyDescent="0.25">
      <c r="B184" s="188">
        <v>42605</v>
      </c>
      <c r="C184" s="275">
        <v>4000</v>
      </c>
      <c r="D184" s="276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7">
        <f t="shared" si="19"/>
        <v>-0.33788404174122277</v>
      </c>
      <c r="I184" s="195"/>
      <c r="J184" s="39"/>
      <c r="K184" s="39"/>
    </row>
    <row r="185" spans="2:11" x14ac:dyDescent="0.25">
      <c r="B185" s="188">
        <v>42605</v>
      </c>
      <c r="C185" s="275">
        <v>4500</v>
      </c>
      <c r="D185" s="276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7">
        <f t="shared" si="19"/>
        <v>-0.31197292993892045</v>
      </c>
      <c r="I185" s="195">
        <v>18</v>
      </c>
      <c r="J185" s="39"/>
      <c r="K185" s="39"/>
    </row>
    <row r="186" spans="2:11" x14ac:dyDescent="0.25">
      <c r="B186" s="188">
        <v>42606</v>
      </c>
      <c r="C186" s="275">
        <v>4500</v>
      </c>
      <c r="D186" s="276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7">
        <f t="shared" si="19"/>
        <v>-0.31799385099752969</v>
      </c>
      <c r="I186" s="195"/>
      <c r="J186" s="39"/>
      <c r="K186" s="39"/>
    </row>
    <row r="187" spans="2:11" x14ac:dyDescent="0.25">
      <c r="B187" s="188">
        <v>42611</v>
      </c>
      <c r="C187" s="275">
        <v>4500</v>
      </c>
      <c r="D187" s="276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7">
        <f t="shared" si="19"/>
        <v>-0.31087821701917334</v>
      </c>
      <c r="I187" s="195"/>
      <c r="J187" s="39"/>
      <c r="K187" s="39"/>
    </row>
    <row r="188" spans="2:11" x14ac:dyDescent="0.25">
      <c r="B188" s="188">
        <v>42612</v>
      </c>
      <c r="C188" s="275">
        <v>4700</v>
      </c>
      <c r="D188" s="276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7">
        <f t="shared" si="19"/>
        <v>-0.3102252300824061</v>
      </c>
      <c r="I188" s="195"/>
      <c r="J188" s="39"/>
      <c r="K188" s="39"/>
    </row>
    <row r="189" spans="2:11" x14ac:dyDescent="0.25">
      <c r="B189" s="188">
        <v>42614</v>
      </c>
      <c r="C189" s="275">
        <v>4700</v>
      </c>
      <c r="D189" s="276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7">
        <f t="shared" si="19"/>
        <v>-0.32578823858981348</v>
      </c>
      <c r="I189" s="195"/>
      <c r="J189" s="39"/>
      <c r="K189" s="39"/>
    </row>
    <row r="190" spans="2:11" x14ac:dyDescent="0.25">
      <c r="B190" s="188">
        <v>42615</v>
      </c>
      <c r="C190" s="275">
        <v>4500</v>
      </c>
      <c r="D190" s="276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7">
        <f t="shared" si="19"/>
        <v>-0.31551853310356404</v>
      </c>
      <c r="I190" s="195">
        <v>18</v>
      </c>
      <c r="J190" s="39"/>
      <c r="K190" s="39"/>
    </row>
    <row r="191" spans="2:11" x14ac:dyDescent="0.25">
      <c r="B191" s="188">
        <v>42619</v>
      </c>
      <c r="C191" s="275">
        <v>4500</v>
      </c>
      <c r="D191" s="276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7">
        <f t="shared" si="19"/>
        <v>-0.30235542797094028</v>
      </c>
      <c r="I191" s="195"/>
      <c r="J191" s="39"/>
      <c r="K191" s="39"/>
    </row>
    <row r="192" spans="2:11" x14ac:dyDescent="0.25">
      <c r="B192" s="188">
        <v>42620</v>
      </c>
      <c r="C192" s="275">
        <v>4000</v>
      </c>
      <c r="D192" s="276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7">
        <f t="shared" si="19"/>
        <v>-0.28983361362503424</v>
      </c>
      <c r="I192" s="195"/>
      <c r="J192" s="39"/>
      <c r="K192" s="39"/>
    </row>
    <row r="193" spans="2:11" x14ac:dyDescent="0.25">
      <c r="B193" s="188">
        <v>42620</v>
      </c>
      <c r="C193" s="275">
        <v>3500</v>
      </c>
      <c r="D193" s="276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7">
        <f t="shared" si="19"/>
        <v>-0.31940255513118243</v>
      </c>
      <c r="I193" s="195" t="s">
        <v>281</v>
      </c>
      <c r="J193" s="39"/>
      <c r="K193" s="39"/>
    </row>
    <row r="194" spans="2:11" x14ac:dyDescent="0.25">
      <c r="B194" s="188">
        <v>42620</v>
      </c>
      <c r="C194" s="275">
        <v>3200</v>
      </c>
      <c r="D194" s="276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7">
        <f t="shared" si="19"/>
        <v>-0.33949476763701542</v>
      </c>
      <c r="I194" s="195"/>
      <c r="J194" s="39"/>
      <c r="K194" s="39"/>
    </row>
    <row r="195" spans="2:11" x14ac:dyDescent="0.25">
      <c r="B195" s="188">
        <v>42621</v>
      </c>
      <c r="C195" s="431">
        <v>3000</v>
      </c>
      <c r="D195" s="485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7">
        <f t="shared" si="19"/>
        <v>-0.33223001929595075</v>
      </c>
      <c r="I195" s="195"/>
      <c r="J195" s="39"/>
      <c r="K195" s="39"/>
    </row>
    <row r="196" spans="2:11" x14ac:dyDescent="0.25">
      <c r="B196" s="188">
        <v>42622</v>
      </c>
      <c r="C196" s="275">
        <v>3200</v>
      </c>
      <c r="D196" s="276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7">
        <f t="shared" si="19"/>
        <v>-0.33972844114812351</v>
      </c>
      <c r="I196" s="195"/>
      <c r="J196" s="39"/>
      <c r="K196" s="39"/>
    </row>
    <row r="197" spans="2:11" x14ac:dyDescent="0.25">
      <c r="B197" s="188">
        <v>42625</v>
      </c>
      <c r="C197" s="275">
        <v>3200</v>
      </c>
      <c r="D197" s="276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7">
        <f t="shared" si="19"/>
        <v>-0.3288881618236898</v>
      </c>
      <c r="I197" s="195"/>
      <c r="J197" s="39"/>
      <c r="K197" s="39"/>
    </row>
    <row r="198" spans="2:11" x14ac:dyDescent="0.25">
      <c r="B198" s="188">
        <v>42627</v>
      </c>
      <c r="C198" s="275">
        <v>3500</v>
      </c>
      <c r="D198" s="276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7">
        <f t="shared" si="19"/>
        <v>-0.34322180483258513</v>
      </c>
      <c r="I198" s="195">
        <v>19.5</v>
      </c>
      <c r="J198" s="39"/>
      <c r="K198" s="39"/>
    </row>
    <row r="199" spans="2:11" x14ac:dyDescent="0.25">
      <c r="B199" s="188">
        <v>42628</v>
      </c>
      <c r="C199" s="275">
        <v>3500</v>
      </c>
      <c r="D199" s="276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7">
        <f t="shared" si="19"/>
        <v>-0.33253834852079917</v>
      </c>
      <c r="I199" s="195"/>
      <c r="J199" s="39"/>
      <c r="K199" s="39"/>
    </row>
    <row r="200" spans="2:11" x14ac:dyDescent="0.25">
      <c r="B200" s="188">
        <v>42629</v>
      </c>
      <c r="C200" s="275">
        <v>3200</v>
      </c>
      <c r="D200" s="276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7">
        <f t="shared" si="19"/>
        <v>-0.34384595142090191</v>
      </c>
      <c r="I200" s="195"/>
      <c r="J200" s="39"/>
      <c r="K200" s="39"/>
    </row>
    <row r="201" spans="2:11" x14ac:dyDescent="0.25">
      <c r="B201" s="188">
        <v>42633</v>
      </c>
      <c r="C201" s="275">
        <v>3200</v>
      </c>
      <c r="D201" s="276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7">
        <f t="shared" si="19"/>
        <v>-0.3275531872349649</v>
      </c>
      <c r="I201" s="195"/>
      <c r="J201" s="39"/>
      <c r="K201" s="39"/>
    </row>
    <row r="202" spans="2:11" x14ac:dyDescent="0.25">
      <c r="B202" s="188">
        <v>42634</v>
      </c>
      <c r="C202" s="275">
        <v>3000</v>
      </c>
      <c r="D202" s="276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7">
        <f t="shared" si="19"/>
        <v>-0.33271427541431964</v>
      </c>
      <c r="I202" s="237"/>
      <c r="J202" s="39"/>
      <c r="K202" s="39"/>
    </row>
    <row r="203" spans="2:11" x14ac:dyDescent="0.25">
      <c r="B203" s="188">
        <v>42635</v>
      </c>
      <c r="C203" s="275">
        <v>3000</v>
      </c>
      <c r="D203" s="276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7">
        <f t="shared" si="19"/>
        <v>-0.32690758310465451</v>
      </c>
      <c r="I203" s="237"/>
      <c r="J203" s="39"/>
      <c r="K203" s="39"/>
    </row>
    <row r="204" spans="2:11" x14ac:dyDescent="0.25">
      <c r="B204" s="188">
        <v>42639</v>
      </c>
      <c r="C204" s="275">
        <v>3000</v>
      </c>
      <c r="D204" s="276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7">
        <f t="shared" si="19"/>
        <v>-0.33852096772398471</v>
      </c>
      <c r="I204" s="237"/>
      <c r="J204" s="39"/>
      <c r="K204" s="39"/>
    </row>
    <row r="205" spans="2:11" x14ac:dyDescent="0.25">
      <c r="B205" s="188">
        <v>42640</v>
      </c>
      <c r="C205" s="275">
        <v>3000</v>
      </c>
      <c r="D205" s="276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7">
        <f t="shared" ref="H205:H213" si="22">IF(C205=0, D205, (E205-D205)/D205)</f>
        <v>-0.34819878824009315</v>
      </c>
      <c r="I205" s="237"/>
      <c r="J205" s="39"/>
      <c r="K205" s="39"/>
    </row>
    <row r="206" spans="2:11" x14ac:dyDescent="0.25">
      <c r="B206" s="188">
        <v>42641</v>
      </c>
      <c r="C206" s="275">
        <v>3200</v>
      </c>
      <c r="D206" s="276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7">
        <f t="shared" si="22"/>
        <v>-0.34130758609768047</v>
      </c>
      <c r="I206" s="237"/>
      <c r="J206" s="39"/>
      <c r="K206" s="39"/>
    </row>
    <row r="207" spans="2:11" x14ac:dyDescent="0.25">
      <c r="B207" s="188">
        <v>42642</v>
      </c>
      <c r="C207" s="10">
        <v>3500</v>
      </c>
      <c r="D207" s="195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7">
        <f t="shared" si="22"/>
        <v>-0.34862299616065323</v>
      </c>
      <c r="I207" s="237">
        <v>19.5</v>
      </c>
      <c r="J207" s="39"/>
      <c r="K207" s="39"/>
    </row>
    <row r="208" spans="2:11" x14ac:dyDescent="0.25">
      <c r="B208" s="188">
        <v>42643</v>
      </c>
      <c r="C208" s="10">
        <v>4000</v>
      </c>
      <c r="D208" s="195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7">
        <f t="shared" si="22"/>
        <v>-0.32454321446667261</v>
      </c>
      <c r="I208" s="237"/>
      <c r="J208" s="39"/>
      <c r="K208" s="39"/>
    </row>
    <row r="209" spans="2:11" x14ac:dyDescent="0.25">
      <c r="B209" s="188">
        <v>42646</v>
      </c>
      <c r="C209" s="10">
        <v>4500</v>
      </c>
      <c r="D209" s="195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7">
        <f t="shared" si="22"/>
        <v>-0.30685981433824244</v>
      </c>
      <c r="I209" s="237">
        <v>18</v>
      </c>
      <c r="J209" s="39"/>
      <c r="K209" s="39"/>
    </row>
    <row r="210" spans="2:11" x14ac:dyDescent="0.25">
      <c r="B210" s="188">
        <v>42646</v>
      </c>
      <c r="C210" s="10">
        <v>5000</v>
      </c>
      <c r="D210" s="195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7">
        <f t="shared" si="22"/>
        <v>-0.2845159521461374</v>
      </c>
      <c r="I210" s="237"/>
      <c r="J210" s="39"/>
      <c r="K210" s="39"/>
    </row>
    <row r="211" spans="2:11" x14ac:dyDescent="0.25">
      <c r="B211" s="188">
        <v>42646</v>
      </c>
      <c r="C211" s="10">
        <v>4500</v>
      </c>
      <c r="D211" s="195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7">
        <f t="shared" si="22"/>
        <v>-0.30635671355140376</v>
      </c>
      <c r="I211" s="237">
        <v>18</v>
      </c>
      <c r="J211" s="39"/>
      <c r="K211" s="39"/>
    </row>
    <row r="212" spans="2:11" x14ac:dyDescent="0.25">
      <c r="B212" s="188">
        <v>42647</v>
      </c>
      <c r="C212" s="10">
        <v>5000</v>
      </c>
      <c r="D212" s="195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7">
        <f t="shared" si="22"/>
        <v>-0.30032672447956077</v>
      </c>
      <c r="I212" s="237"/>
      <c r="J212" s="39"/>
      <c r="K212" s="39"/>
    </row>
    <row r="213" spans="2:11" x14ac:dyDescent="0.25">
      <c r="B213" s="188">
        <v>42648</v>
      </c>
      <c r="C213" s="10">
        <v>4500</v>
      </c>
      <c r="D213" s="195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7">
        <f t="shared" si="22"/>
        <v>-0.31477768342617829</v>
      </c>
      <c r="I213" s="237" t="s">
        <v>302</v>
      </c>
      <c r="J213" s="39"/>
      <c r="K213" s="39"/>
    </row>
    <row r="214" spans="2:11" x14ac:dyDescent="0.25">
      <c r="B214" s="188">
        <v>42650</v>
      </c>
      <c r="C214" s="10">
        <v>4500</v>
      </c>
      <c r="D214" s="195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7">
        <f t="shared" ref="H214:H233" si="25">IF(C214=0, D214, (E214-D214)/D214)</f>
        <v>-0.30255149448487728</v>
      </c>
      <c r="I214" s="237"/>
      <c r="J214" s="39"/>
      <c r="K214" s="39"/>
    </row>
    <row r="215" spans="2:11" x14ac:dyDescent="0.25">
      <c r="B215" s="188">
        <v>42653</v>
      </c>
      <c r="C215" s="10">
        <v>3500</v>
      </c>
      <c r="D215" s="195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7">
        <f t="shared" si="25"/>
        <v>-0.32439375256884501</v>
      </c>
      <c r="I215" s="237" t="s">
        <v>300</v>
      </c>
      <c r="J215" s="39"/>
      <c r="K215" s="39"/>
    </row>
    <row r="216" spans="2:11" x14ac:dyDescent="0.25">
      <c r="B216" s="188">
        <v>42653</v>
      </c>
      <c r="C216" s="10">
        <v>3000</v>
      </c>
      <c r="D216" s="195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7">
        <f t="shared" si="25"/>
        <v>-0.35915273656401575</v>
      </c>
      <c r="I216" s="237"/>
      <c r="J216" s="39"/>
      <c r="K216" s="39"/>
    </row>
    <row r="217" spans="2:11" x14ac:dyDescent="0.25">
      <c r="B217" s="188">
        <v>42662</v>
      </c>
      <c r="C217" s="10">
        <v>2700</v>
      </c>
      <c r="D217" s="195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7">
        <f t="shared" si="25"/>
        <v>-0.38759053187785736</v>
      </c>
      <c r="I217" s="237" t="s">
        <v>301</v>
      </c>
      <c r="J217" s="39"/>
      <c r="K217" s="39"/>
    </row>
    <row r="218" spans="2:11" x14ac:dyDescent="0.25">
      <c r="B218" s="188">
        <v>42664</v>
      </c>
      <c r="C218" s="431">
        <v>3000</v>
      </c>
      <c r="D218" s="485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7">
        <f t="shared" si="25"/>
        <v>-0.38182808961441894</v>
      </c>
      <c r="I218" s="237"/>
      <c r="J218" s="39"/>
      <c r="K218" s="39"/>
    </row>
    <row r="219" spans="2:11" x14ac:dyDescent="0.25">
      <c r="B219" s="188">
        <v>42667</v>
      </c>
      <c r="C219" s="275">
        <v>3200</v>
      </c>
      <c r="D219" s="276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7">
        <f t="shared" si="25"/>
        <v>-0.37817639463469371</v>
      </c>
      <c r="I219" s="237" t="s">
        <v>303</v>
      </c>
      <c r="J219" s="39"/>
      <c r="K219" s="39"/>
    </row>
    <row r="220" spans="2:11" x14ac:dyDescent="0.25">
      <c r="B220" s="188">
        <v>42668</v>
      </c>
      <c r="C220" s="275">
        <v>3500</v>
      </c>
      <c r="D220" s="276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7">
        <f t="shared" si="25"/>
        <v>-0.37012735755476805</v>
      </c>
      <c r="I220" s="237">
        <v>19.25</v>
      </c>
      <c r="J220" s="39"/>
      <c r="K220" s="39"/>
    </row>
    <row r="221" spans="2:11" x14ac:dyDescent="0.25">
      <c r="B221" s="188">
        <v>42669</v>
      </c>
      <c r="C221" s="275">
        <v>3500</v>
      </c>
      <c r="D221" s="276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7">
        <f t="shared" si="25"/>
        <v>-0.38357938357938354</v>
      </c>
      <c r="I221" s="237"/>
      <c r="J221" s="39"/>
      <c r="K221" s="39"/>
    </row>
    <row r="222" spans="2:11" x14ac:dyDescent="0.25">
      <c r="B222" s="188">
        <v>42671</v>
      </c>
      <c r="C222" s="275">
        <v>3500</v>
      </c>
      <c r="D222" s="276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7">
        <f t="shared" si="25"/>
        <v>-0.39054947458212996</v>
      </c>
      <c r="I222" s="237">
        <v>19.25</v>
      </c>
      <c r="J222" s="39"/>
      <c r="K222" s="39"/>
    </row>
    <row r="223" spans="2:11" x14ac:dyDescent="0.25">
      <c r="B223" s="188">
        <v>42676</v>
      </c>
      <c r="C223" s="275">
        <v>3800</v>
      </c>
      <c r="D223" s="276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7">
        <f t="shared" si="25"/>
        <v>-0.41612085494061474</v>
      </c>
      <c r="I223" s="237"/>
      <c r="J223" s="39"/>
      <c r="K223" s="39"/>
    </row>
    <row r="224" spans="2:11" x14ac:dyDescent="0.25">
      <c r="B224" s="188">
        <v>42677</v>
      </c>
      <c r="C224" s="275">
        <v>3500</v>
      </c>
      <c r="D224" s="276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7">
        <f t="shared" si="25"/>
        <v>-0.4245666494382267</v>
      </c>
      <c r="I224" s="237">
        <v>19.25</v>
      </c>
      <c r="J224" s="39"/>
      <c r="K224" s="39"/>
    </row>
    <row r="225" spans="1:11" x14ac:dyDescent="0.25">
      <c r="B225" s="188">
        <v>42701</v>
      </c>
      <c r="C225" s="275">
        <v>3500</v>
      </c>
      <c r="D225" s="276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7">
        <f t="shared" si="25"/>
        <v>-0.38979626901029329</v>
      </c>
      <c r="I225" s="237" t="s">
        <v>309</v>
      </c>
      <c r="J225" s="39"/>
      <c r="K225" s="39"/>
    </row>
    <row r="226" spans="1:11" x14ac:dyDescent="0.25">
      <c r="B226" s="188">
        <v>42702</v>
      </c>
      <c r="C226" s="275">
        <v>3200</v>
      </c>
      <c r="D226" s="276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7">
        <f t="shared" si="25"/>
        <v>-0.40075719757467537</v>
      </c>
      <c r="I226" s="237"/>
      <c r="J226" s="39"/>
      <c r="K226" s="39"/>
    </row>
    <row r="227" spans="1:11" x14ac:dyDescent="0.25">
      <c r="B227" s="188">
        <v>42704</v>
      </c>
      <c r="C227" s="275">
        <v>3500</v>
      </c>
      <c r="D227" s="276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7">
        <f t="shared" si="25"/>
        <v>-0.41807364108452277</v>
      </c>
      <c r="I227" s="237">
        <v>19</v>
      </c>
      <c r="J227" s="39"/>
      <c r="K227" s="39"/>
    </row>
    <row r="228" spans="1:11" x14ac:dyDescent="0.25">
      <c r="B228" s="188">
        <v>42705</v>
      </c>
      <c r="C228" s="275">
        <v>4000</v>
      </c>
      <c r="D228" s="276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7">
        <f t="shared" si="25"/>
        <v>-0.42500165705574328</v>
      </c>
      <c r="I228" s="237"/>
      <c r="J228" s="39"/>
      <c r="K228" s="39"/>
    </row>
    <row r="229" spans="1:11" x14ac:dyDescent="0.25">
      <c r="B229" s="188">
        <v>42710</v>
      </c>
      <c r="C229" s="275">
        <v>3500</v>
      </c>
      <c r="D229" s="276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7">
        <f t="shared" si="25"/>
        <v>-0.41927929945202991</v>
      </c>
      <c r="I229" s="237">
        <v>19</v>
      </c>
      <c r="J229" s="39"/>
      <c r="K229" s="39"/>
    </row>
    <row r="230" spans="1:11" x14ac:dyDescent="0.25">
      <c r="B230" s="188">
        <v>42711</v>
      </c>
      <c r="C230" s="275">
        <v>3200</v>
      </c>
      <c r="D230" s="276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7">
        <f t="shared" si="25"/>
        <v>-0.44302010012544635</v>
      </c>
      <c r="I230" s="237"/>
      <c r="J230" s="39"/>
      <c r="K230" s="39"/>
    </row>
    <row r="231" spans="1:11" x14ac:dyDescent="0.25">
      <c r="B231" s="188">
        <v>42712</v>
      </c>
      <c r="C231" s="431">
        <v>3000</v>
      </c>
      <c r="D231" s="485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7">
        <f t="shared" si="25"/>
        <v>-0.44762527839098337</v>
      </c>
      <c r="I231" s="237"/>
      <c r="J231" s="39"/>
      <c r="K231" s="39"/>
    </row>
    <row r="232" spans="1:11" x14ac:dyDescent="0.25">
      <c r="B232" s="188">
        <v>42713</v>
      </c>
      <c r="C232" s="275">
        <v>2800</v>
      </c>
      <c r="D232" s="276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7">
        <f t="shared" si="25"/>
        <v>-0.44588069801923735</v>
      </c>
      <c r="I232" s="237"/>
      <c r="J232" s="39"/>
      <c r="K232" s="39"/>
    </row>
    <row r="233" spans="1:11" x14ac:dyDescent="0.25">
      <c r="B233" s="188">
        <v>42716</v>
      </c>
      <c r="C233" s="431">
        <v>3000</v>
      </c>
      <c r="D233" s="485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7">
        <f t="shared" si="25"/>
        <v>-0.43976904564681435</v>
      </c>
      <c r="I233" s="237"/>
      <c r="J233" s="39"/>
      <c r="K233" s="39"/>
    </row>
    <row r="234" spans="1:11" x14ac:dyDescent="0.25">
      <c r="B234" s="188">
        <v>42731</v>
      </c>
      <c r="C234" s="275">
        <v>3000</v>
      </c>
      <c r="D234" s="276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7">
        <f t="shared" ref="H234:H247" si="28">IF(C234=0, D234, (E234-D234)/D234)</f>
        <v>-0.4260366630722478</v>
      </c>
      <c r="I234" s="195"/>
      <c r="J234" s="39"/>
      <c r="K234" s="39"/>
    </row>
    <row r="235" spans="1:11" x14ac:dyDescent="0.25">
      <c r="B235" s="188">
        <v>42733</v>
      </c>
      <c r="C235" s="416">
        <v>2000</v>
      </c>
      <c r="D235" s="207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7">
        <f t="shared" si="28"/>
        <v>-0.53042798423303039</v>
      </c>
      <c r="I235" s="432" t="s">
        <v>331</v>
      </c>
      <c r="J235" s="39"/>
      <c r="K235" s="39"/>
    </row>
    <row r="236" spans="1:11" x14ac:dyDescent="0.25">
      <c r="A236" t="s">
        <v>343</v>
      </c>
      <c r="B236" s="188">
        <v>42754</v>
      </c>
      <c r="C236" s="275">
        <v>2000</v>
      </c>
      <c r="D236" s="276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7">
        <f t="shared" si="28"/>
        <v>-0.50824030307565637</v>
      </c>
      <c r="I236" s="195"/>
      <c r="J236" s="39"/>
      <c r="K236" s="39"/>
    </row>
    <row r="237" spans="1:11" x14ac:dyDescent="0.25">
      <c r="A237" t="s">
        <v>369</v>
      </c>
      <c r="B237" s="188">
        <v>42760</v>
      </c>
      <c r="C237" s="275">
        <v>2000</v>
      </c>
      <c r="D237" s="276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7">
        <f t="shared" si="28"/>
        <v>-0.52356997369347835</v>
      </c>
      <c r="I237" s="195"/>
      <c r="J237" s="39"/>
      <c r="K237" s="39"/>
    </row>
    <row r="238" spans="1:11" x14ac:dyDescent="0.25">
      <c r="A238" t="s">
        <v>369</v>
      </c>
      <c r="B238" s="188">
        <v>42762</v>
      </c>
      <c r="C238" s="275">
        <v>2000</v>
      </c>
      <c r="D238" s="276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7">
        <f t="shared" si="28"/>
        <v>-0.52518362323219658</v>
      </c>
      <c r="I238" s="195"/>
      <c r="J238" s="39"/>
      <c r="K238" s="39"/>
    </row>
    <row r="239" spans="1:11" x14ac:dyDescent="0.25">
      <c r="A239" t="s">
        <v>387</v>
      </c>
      <c r="B239" s="188">
        <v>42765</v>
      </c>
      <c r="C239" s="275">
        <v>2200</v>
      </c>
      <c r="D239" s="276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7">
        <f t="shared" si="28"/>
        <v>-0.51015027995653695</v>
      </c>
      <c r="I239" s="195"/>
      <c r="J239" s="39"/>
      <c r="K239" s="39"/>
    </row>
    <row r="240" spans="1:11" x14ac:dyDescent="0.25">
      <c r="A240" t="s">
        <v>391</v>
      </c>
      <c r="B240" s="188">
        <v>42766</v>
      </c>
      <c r="C240" s="416">
        <v>2000</v>
      </c>
      <c r="D240" s="207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7">
        <f t="shared" si="28"/>
        <v>-0.523647087081753</v>
      </c>
      <c r="I240" s="195"/>
      <c r="J240" s="39"/>
      <c r="K240" s="39"/>
    </row>
    <row r="241" spans="1:11" x14ac:dyDescent="0.25">
      <c r="A241" t="s">
        <v>407</v>
      </c>
      <c r="B241" s="188">
        <v>42769</v>
      </c>
      <c r="C241" s="416">
        <v>2000</v>
      </c>
      <c r="D241" s="207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7">
        <f t="shared" si="28"/>
        <v>-0.5289901508403988</v>
      </c>
      <c r="I241" s="432">
        <v>24.5</v>
      </c>
      <c r="J241" s="39"/>
      <c r="K241" s="39"/>
    </row>
    <row r="242" spans="1:11" x14ac:dyDescent="0.25">
      <c r="A242" t="s">
        <v>414</v>
      </c>
      <c r="B242" s="188">
        <v>42772</v>
      </c>
      <c r="C242" s="275">
        <v>2500</v>
      </c>
      <c r="D242" s="276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7">
        <f t="shared" si="28"/>
        <v>-0.49526286954860071</v>
      </c>
      <c r="I242" s="195"/>
      <c r="J242" s="39"/>
      <c r="K242" s="39"/>
    </row>
    <row r="243" spans="1:11" x14ac:dyDescent="0.25">
      <c r="A243" t="s">
        <v>417</v>
      </c>
      <c r="B243" s="188">
        <v>42773</v>
      </c>
      <c r="C243" s="431">
        <v>3000</v>
      </c>
      <c r="D243" s="485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7">
        <f t="shared" si="28"/>
        <v>-0.45038784792677383</v>
      </c>
      <c r="I243" s="195"/>
      <c r="J243" s="39"/>
      <c r="K243" s="39"/>
    </row>
    <row r="244" spans="1:11" x14ac:dyDescent="0.25">
      <c r="A244" t="s">
        <v>422</v>
      </c>
      <c r="B244" s="188">
        <v>42774</v>
      </c>
      <c r="C244" s="416">
        <v>2000</v>
      </c>
      <c r="D244" s="207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7">
        <f t="shared" si="28"/>
        <v>-0.53568553469347935</v>
      </c>
      <c r="I244" s="432">
        <v>24.5</v>
      </c>
      <c r="J244" s="39"/>
      <c r="K244" s="39"/>
    </row>
    <row r="245" spans="1:11" x14ac:dyDescent="0.25">
      <c r="A245" t="s">
        <v>423</v>
      </c>
      <c r="B245" s="188">
        <v>42775</v>
      </c>
      <c r="C245" s="275">
        <v>2500</v>
      </c>
      <c r="D245" s="276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7">
        <f t="shared" si="28"/>
        <v>-0.49161135924594185</v>
      </c>
      <c r="I245" s="195"/>
      <c r="J245" s="39"/>
      <c r="K245" s="39"/>
    </row>
    <row r="246" spans="1:11" x14ac:dyDescent="0.25">
      <c r="A246" t="s">
        <v>424</v>
      </c>
      <c r="B246" s="188">
        <v>42775</v>
      </c>
      <c r="C246" s="431">
        <v>3000</v>
      </c>
      <c r="D246" s="485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7">
        <f t="shared" si="28"/>
        <v>-0.45676965988905571</v>
      </c>
      <c r="I246" s="485">
        <v>20</v>
      </c>
      <c r="J246" s="39"/>
      <c r="K246" s="39"/>
    </row>
    <row r="247" spans="1:11" x14ac:dyDescent="0.25">
      <c r="A247" t="s">
        <v>429</v>
      </c>
      <c r="B247" s="188">
        <v>42776</v>
      </c>
      <c r="C247" s="275">
        <v>2500</v>
      </c>
      <c r="D247" s="276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7">
        <f t="shared" si="28"/>
        <v>-0.4657536633706954</v>
      </c>
      <c r="I247" s="195"/>
      <c r="J247" s="39"/>
      <c r="K247" s="39"/>
    </row>
    <row r="248" spans="1:11" x14ac:dyDescent="0.25">
      <c r="A248" t="s">
        <v>429</v>
      </c>
      <c r="B248" s="188">
        <v>42790</v>
      </c>
      <c r="C248" s="275">
        <v>2500</v>
      </c>
      <c r="D248" s="276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7">
        <f t="shared" ref="H248" si="31">IF(C248=0, D248, (E248-D248)/D248)</f>
        <v>-0.46070927735960326</v>
      </c>
      <c r="I248" s="195"/>
      <c r="J248" s="39"/>
      <c r="K248" s="39"/>
    </row>
    <row r="249" spans="1:11" x14ac:dyDescent="0.25">
      <c r="A249" t="s">
        <v>429</v>
      </c>
      <c r="B249" s="188">
        <v>42808</v>
      </c>
      <c r="C249" s="275">
        <v>2700</v>
      </c>
      <c r="D249" s="276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7">
        <f t="shared" ref="H249" si="34">IF(C249=0, D249, (E249-D249)/D249)</f>
        <v>-0.48730166293419735</v>
      </c>
      <c r="I249" s="195"/>
      <c r="J249" s="39"/>
      <c r="K249" s="39"/>
    </row>
    <row r="250" spans="1:11" x14ac:dyDescent="0.25">
      <c r="A250">
        <v>2300</v>
      </c>
      <c r="B250" s="188">
        <v>42809</v>
      </c>
      <c r="C250" s="275">
        <v>2500</v>
      </c>
      <c r="D250" s="276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7">
        <f t="shared" ref="H250:H251" si="37">IF(C250=0, D250, (E250-D250)/D250)</f>
        <v>-0.49298902470359351</v>
      </c>
      <c r="I250" s="195"/>
      <c r="J250" s="39">
        <v>42</v>
      </c>
      <c r="K250" s="39"/>
    </row>
    <row r="251" spans="1:11" x14ac:dyDescent="0.25">
      <c r="A251">
        <v>2300</v>
      </c>
      <c r="B251" s="188">
        <v>42814</v>
      </c>
      <c r="C251" s="275">
        <v>2700</v>
      </c>
      <c r="D251" s="276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7">
        <f t="shared" si="37"/>
        <v>-0.49210739663312508</v>
      </c>
      <c r="I251" s="195"/>
      <c r="J251" s="39"/>
      <c r="K251" s="39"/>
    </row>
    <row r="252" spans="1:11" x14ac:dyDescent="0.25">
      <c r="A252">
        <v>2300</v>
      </c>
      <c r="B252" s="188">
        <v>42818</v>
      </c>
      <c r="C252" s="275">
        <v>2700</v>
      </c>
      <c r="D252" s="276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7">
        <f t="shared" ref="H252:H253" si="40">IF(C252=0, D252, (E252-D252)/D252)</f>
        <v>-0.48495397968429588</v>
      </c>
      <c r="I252" s="195"/>
      <c r="J252" s="39"/>
      <c r="K252" s="39"/>
    </row>
    <row r="253" spans="1:11" x14ac:dyDescent="0.25">
      <c r="A253">
        <v>2100</v>
      </c>
      <c r="B253" s="188">
        <v>42823</v>
      </c>
      <c r="C253" s="275">
        <v>2500</v>
      </c>
      <c r="D253" s="276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7">
        <f t="shared" si="40"/>
        <v>-0.49887925332549421</v>
      </c>
      <c r="I253" s="195"/>
      <c r="J253" s="39"/>
      <c r="K253" s="39"/>
    </row>
    <row r="254" spans="1:11" x14ac:dyDescent="0.25">
      <c r="A254">
        <v>1800</v>
      </c>
      <c r="B254" s="188">
        <v>42825</v>
      </c>
      <c r="C254" s="275">
        <v>2200</v>
      </c>
      <c r="D254" s="276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7">
        <f t="shared" ref="H254:H263" si="43">IF(C254=0, D254, (E254-D254)/D254)</f>
        <v>-0.53033251252733626</v>
      </c>
      <c r="I254" s="195"/>
      <c r="J254" s="39">
        <v>49</v>
      </c>
      <c r="K254" s="39"/>
    </row>
    <row r="255" spans="1:11" x14ac:dyDescent="0.25">
      <c r="A255">
        <v>1800</v>
      </c>
      <c r="B255" s="188">
        <v>42833</v>
      </c>
      <c r="C255" s="275">
        <v>2500</v>
      </c>
      <c r="D255" s="276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7">
        <f t="shared" si="43"/>
        <v>-0.51510407073125808</v>
      </c>
      <c r="I255" s="195"/>
      <c r="J255" s="39"/>
      <c r="K255" s="39"/>
    </row>
    <row r="256" spans="1:11" x14ac:dyDescent="0.25">
      <c r="A256">
        <v>1500</v>
      </c>
      <c r="B256" s="188">
        <v>42837</v>
      </c>
      <c r="C256" s="275">
        <v>2200</v>
      </c>
      <c r="D256" s="276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7">
        <f t="shared" si="43"/>
        <v>-0.54297952367353142</v>
      </c>
      <c r="I256" s="195"/>
      <c r="J256" s="39"/>
      <c r="K256" s="39"/>
    </row>
    <row r="257" spans="1:11" x14ac:dyDescent="0.25">
      <c r="A257">
        <v>1700</v>
      </c>
      <c r="B257" s="188">
        <v>42844</v>
      </c>
      <c r="C257" s="10">
        <v>2400</v>
      </c>
      <c r="D257" s="195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7">
        <f t="shared" si="43"/>
        <v>-0.53564007588761409</v>
      </c>
      <c r="I257" s="195"/>
      <c r="J257" s="39"/>
      <c r="K257" s="39"/>
    </row>
    <row r="258" spans="1:11" x14ac:dyDescent="0.25">
      <c r="A258">
        <v>1900</v>
      </c>
      <c r="B258" s="188">
        <v>42845</v>
      </c>
      <c r="C258" s="10">
        <v>2500</v>
      </c>
      <c r="D258" s="195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7">
        <f t="shared" si="43"/>
        <v>-0.53449709060681627</v>
      </c>
      <c r="I258" s="195"/>
      <c r="J258" s="39"/>
      <c r="K258" s="39"/>
    </row>
    <row r="259" spans="1:11" x14ac:dyDescent="0.25">
      <c r="A259">
        <v>1600</v>
      </c>
      <c r="B259" s="188">
        <v>42856</v>
      </c>
      <c r="C259" s="10">
        <v>2200</v>
      </c>
      <c r="D259" s="195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7">
        <f t="shared" si="43"/>
        <v>-0.55284377560260445</v>
      </c>
      <c r="I259" s="195"/>
      <c r="J259" s="39"/>
      <c r="K259" s="39"/>
    </row>
    <row r="260" spans="1:11" x14ac:dyDescent="0.25">
      <c r="A260">
        <v>1600</v>
      </c>
      <c r="B260" s="188">
        <v>42857</v>
      </c>
      <c r="C260" s="10">
        <v>2500</v>
      </c>
      <c r="D260" s="195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7">
        <f t="shared" si="43"/>
        <v>-0.54120370370370374</v>
      </c>
      <c r="I260" s="195"/>
      <c r="J260" s="39"/>
      <c r="K260" s="39"/>
    </row>
    <row r="261" spans="1:11" x14ac:dyDescent="0.25">
      <c r="A261">
        <v>1600</v>
      </c>
      <c r="B261" s="188">
        <v>42862</v>
      </c>
      <c r="C261" s="275">
        <v>2500</v>
      </c>
      <c r="D261" s="276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7">
        <f t="shared" si="43"/>
        <v>-0.5361111111111112</v>
      </c>
      <c r="I261" s="195"/>
      <c r="J261" s="39"/>
      <c r="K261" s="39"/>
    </row>
    <row r="262" spans="1:11" x14ac:dyDescent="0.25">
      <c r="A262">
        <v>1600</v>
      </c>
      <c r="B262" s="188">
        <v>42864</v>
      </c>
      <c r="C262" s="275">
        <v>2200</v>
      </c>
      <c r="D262" s="276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7">
        <f t="shared" si="43"/>
        <v>-0.55915371329879093</v>
      </c>
      <c r="I262" s="195"/>
      <c r="J262" s="39"/>
      <c r="K262" s="39"/>
    </row>
    <row r="263" spans="1:11" x14ac:dyDescent="0.25">
      <c r="A263">
        <v>1400</v>
      </c>
      <c r="B263" s="188">
        <v>42865</v>
      </c>
      <c r="C263" s="416">
        <v>2000</v>
      </c>
      <c r="D263" s="207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7">
        <f t="shared" si="43"/>
        <v>-0.51086062201744276</v>
      </c>
      <c r="I263" s="195"/>
      <c r="J263" s="39"/>
      <c r="K263" s="39"/>
    </row>
    <row r="264" spans="1:11" x14ac:dyDescent="0.25">
      <c r="A264">
        <v>1400</v>
      </c>
      <c r="B264" s="188">
        <v>42866</v>
      </c>
      <c r="C264" s="275">
        <v>2000</v>
      </c>
      <c r="D264" s="276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7">
        <f t="shared" ref="H264:H266" si="46">IF(C264=0, D264, (E264-D264)/D264)</f>
        <v>-0.48700016455487904</v>
      </c>
      <c r="I264" s="195"/>
      <c r="J264" s="39"/>
      <c r="K264" s="39"/>
    </row>
    <row r="265" spans="1:11" x14ac:dyDescent="0.25">
      <c r="A265">
        <v>900</v>
      </c>
      <c r="B265" s="188">
        <v>42872</v>
      </c>
      <c r="C265" s="430">
        <v>1500</v>
      </c>
      <c r="D265" s="573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7">
        <f t="shared" si="46"/>
        <v>-0.534610454351232</v>
      </c>
      <c r="I265" s="195"/>
      <c r="J265" s="39"/>
      <c r="K265" s="39"/>
    </row>
    <row r="266" spans="1:11" x14ac:dyDescent="0.25">
      <c r="A266">
        <v>400</v>
      </c>
      <c r="B266" s="188">
        <v>42873</v>
      </c>
      <c r="C266" s="275">
        <v>1000</v>
      </c>
      <c r="D266" s="276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7">
        <f t="shared" si="46"/>
        <v>-0.63027672885081443</v>
      </c>
      <c r="I266" s="195"/>
      <c r="J266" s="39"/>
      <c r="K266" s="39"/>
    </row>
    <row r="267" spans="1:11" x14ac:dyDescent="0.25">
      <c r="A267">
        <v>800</v>
      </c>
      <c r="B267" s="188">
        <v>42950</v>
      </c>
      <c r="C267" s="275">
        <v>1000</v>
      </c>
      <c r="D267" s="276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7">
        <f t="shared" ref="H267" si="49">IF(C267=0, D267, (E267-D267)/D267)</f>
        <v>-0.59909655561829478</v>
      </c>
      <c r="I267" s="195"/>
      <c r="J267" s="39"/>
      <c r="K267" s="39"/>
    </row>
    <row r="268" spans="1:11" x14ac:dyDescent="0.25">
      <c r="B268" s="188"/>
      <c r="C268" s="275"/>
      <c r="D268" s="276"/>
      <c r="E268" s="39"/>
      <c r="F268" s="39"/>
      <c r="G268" s="39"/>
      <c r="H268" s="227"/>
      <c r="I268" s="195"/>
      <c r="J268" s="39"/>
      <c r="K268" s="39"/>
    </row>
    <row r="269" spans="1:11" x14ac:dyDescent="0.25">
      <c r="B269" s="188"/>
      <c r="C269" s="275"/>
      <c r="D269" s="276"/>
      <c r="E269" s="39"/>
      <c r="F269" s="39"/>
      <c r="G269" s="39"/>
      <c r="H269" s="227"/>
      <c r="I269" s="195"/>
      <c r="J269" s="39"/>
      <c r="K269" s="39"/>
    </row>
    <row r="270" spans="1:11" x14ac:dyDescent="0.25">
      <c r="B270" s="188"/>
      <c r="C270" s="275"/>
      <c r="D270" s="276"/>
      <c r="E270" s="39"/>
      <c r="F270" s="39"/>
      <c r="G270" s="39"/>
      <c r="H270" s="227"/>
      <c r="I270" s="195"/>
      <c r="J270" s="39"/>
      <c r="K270" s="39"/>
    </row>
    <row r="271" spans="1:11" x14ac:dyDescent="0.25">
      <c r="B271" s="188"/>
      <c r="C271" s="275"/>
      <c r="D271" s="276"/>
      <c r="E271" s="39"/>
      <c r="F271" s="39"/>
      <c r="G271" s="39"/>
      <c r="H271" s="227"/>
      <c r="I271" s="195"/>
      <c r="J271" s="39"/>
      <c r="K271" s="39"/>
    </row>
    <row r="272" spans="1:11" x14ac:dyDescent="0.25">
      <c r="B272" s="188"/>
      <c r="C272" s="275"/>
      <c r="D272" s="276"/>
      <c r="E272" s="39"/>
      <c r="F272" s="39"/>
      <c r="G272" s="39"/>
      <c r="H272" s="227"/>
      <c r="I272" s="195"/>
      <c r="J272" s="39"/>
      <c r="K272" s="39"/>
    </row>
    <row r="273" spans="2:11" x14ac:dyDescent="0.25">
      <c r="B273" s="188"/>
      <c r="C273" s="275"/>
      <c r="D273" s="276"/>
      <c r="E273" s="39"/>
      <c r="F273" s="39"/>
      <c r="G273" s="39"/>
      <c r="H273" s="227"/>
      <c r="I273" s="195"/>
      <c r="J273" s="39"/>
      <c r="K273" s="39"/>
    </row>
    <row r="274" spans="2:11" x14ac:dyDescent="0.25">
      <c r="B274" s="188"/>
      <c r="C274" s="275"/>
      <c r="D274" s="276"/>
      <c r="E274" s="39"/>
      <c r="F274" s="39"/>
      <c r="G274" s="39"/>
      <c r="H274" s="227"/>
      <c r="I274" s="195"/>
      <c r="J274" s="39"/>
      <c r="K274" s="39"/>
    </row>
    <row r="275" spans="2:11" x14ac:dyDescent="0.25">
      <c r="B275" s="188"/>
      <c r="C275" s="275"/>
      <c r="D275" s="276"/>
      <c r="E275" s="39"/>
      <c r="F275" s="39"/>
      <c r="G275" s="39"/>
      <c r="H275" s="227"/>
      <c r="I275" s="195"/>
      <c r="J275" s="39"/>
      <c r="K275" s="39"/>
    </row>
    <row r="276" spans="2:11" x14ac:dyDescent="0.25">
      <c r="B276" s="188"/>
      <c r="C276" s="275"/>
      <c r="D276" s="276"/>
      <c r="E276" s="39"/>
      <c r="F276" s="39"/>
      <c r="G276" s="39"/>
      <c r="H276" s="227"/>
      <c r="I276" s="195"/>
      <c r="J276" s="39"/>
      <c r="K276" s="39"/>
    </row>
    <row r="277" spans="2:11" x14ac:dyDescent="0.25">
      <c r="B277" s="188"/>
      <c r="C277" s="275"/>
      <c r="D277" s="276"/>
      <c r="E277" s="39"/>
      <c r="F277" s="39"/>
      <c r="G277" s="39"/>
      <c r="H277" s="227"/>
      <c r="I277" s="195"/>
      <c r="J277" s="39"/>
      <c r="K277" s="39"/>
    </row>
    <row r="278" spans="2:11" x14ac:dyDescent="0.25">
      <c r="B278" s="188"/>
      <c r="C278" s="275"/>
      <c r="D278" s="276"/>
      <c r="E278" s="39"/>
      <c r="F278" s="39"/>
      <c r="G278" s="39"/>
      <c r="H278" s="227"/>
      <c r="I278" s="195"/>
      <c r="J278" s="39"/>
      <c r="K278" s="39"/>
    </row>
    <row r="279" spans="2:11" x14ac:dyDescent="0.25">
      <c r="B279" s="188"/>
      <c r="C279" s="275"/>
      <c r="D279" s="276"/>
      <c r="E279" s="39"/>
      <c r="F279" s="39"/>
      <c r="G279" s="39"/>
      <c r="H279" s="227"/>
      <c r="I279" s="195"/>
      <c r="J279" s="39"/>
      <c r="K279" s="39"/>
    </row>
    <row r="280" spans="2:11" x14ac:dyDescent="0.25">
      <c r="B280" s="188"/>
      <c r="C280" s="275"/>
      <c r="D280" s="276"/>
      <c r="E280" s="39"/>
      <c r="F280" s="39"/>
      <c r="G280" s="39"/>
      <c r="H280" s="227"/>
      <c r="I280" s="195"/>
      <c r="J280" s="39"/>
      <c r="K280" s="39"/>
    </row>
    <row r="281" spans="2:11" x14ac:dyDescent="0.25">
      <c r="B281" s="188"/>
      <c r="C281" s="275"/>
      <c r="D281" s="276"/>
      <c r="E281" s="39"/>
      <c r="F281" s="39"/>
      <c r="G281" s="39"/>
      <c r="H281" s="227"/>
      <c r="I281" s="195"/>
      <c r="J281" s="39"/>
      <c r="K281" s="39"/>
    </row>
    <row r="282" spans="2:11" x14ac:dyDescent="0.25">
      <c r="B282" s="188"/>
      <c r="C282" s="275"/>
      <c r="D282" s="276"/>
      <c r="E282" s="39"/>
      <c r="F282" s="39"/>
      <c r="G282" s="39"/>
      <c r="H282" s="227"/>
      <c r="I282" s="195"/>
      <c r="J282" s="39"/>
      <c r="K282" s="39"/>
    </row>
    <row r="283" spans="2:11" x14ac:dyDescent="0.25">
      <c r="B283" s="188"/>
      <c r="C283" s="275"/>
      <c r="D283" s="276"/>
      <c r="E283" s="39"/>
      <c r="F283" s="39"/>
      <c r="G283" s="39"/>
      <c r="H283" s="227"/>
      <c r="I283" s="195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261" priority="74">
      <formula>F12&gt;0</formula>
    </cfRule>
    <cfRule type="expression" dxfId="1260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259" priority="67">
      <formula>F124&gt;0</formula>
    </cfRule>
    <cfRule type="expression" dxfId="1258" priority="68">
      <formula>F124&lt;0</formula>
    </cfRule>
  </conditionalFormatting>
  <conditionalFormatting sqref="H124:H130">
    <cfRule type="expression" dxfId="1257" priority="55">
      <formula>H124&gt;0</formula>
    </cfRule>
    <cfRule type="expression" dxfId="1256" priority="56">
      <formula>H124&lt;0</formula>
    </cfRule>
  </conditionalFormatting>
  <conditionalFormatting sqref="H131">
    <cfRule type="expression" dxfId="1255" priority="53">
      <formula>H131&gt;0</formula>
    </cfRule>
    <cfRule type="expression" dxfId="1254" priority="54">
      <formula>H131&lt;0</formula>
    </cfRule>
  </conditionalFormatting>
  <conditionalFormatting sqref="H132">
    <cfRule type="expression" dxfId="1253" priority="51">
      <formula>H132&gt;0</formula>
    </cfRule>
    <cfRule type="expression" dxfId="1252" priority="52">
      <formula>H132&lt;0</formula>
    </cfRule>
  </conditionalFormatting>
  <conditionalFormatting sqref="H133:H135">
    <cfRule type="expression" dxfId="1251" priority="49">
      <formula>H133&gt;0</formula>
    </cfRule>
    <cfRule type="expression" dxfId="1250" priority="50">
      <formula>H133&lt;0</formula>
    </cfRule>
  </conditionalFormatting>
  <conditionalFormatting sqref="H136">
    <cfRule type="expression" dxfId="1249" priority="45">
      <formula>H136&gt;0</formula>
    </cfRule>
    <cfRule type="expression" dxfId="1248" priority="46">
      <formula>H136&lt;0</formula>
    </cfRule>
  </conditionalFormatting>
  <conditionalFormatting sqref="Q7">
    <cfRule type="expression" dxfId="1247" priority="39">
      <formula>Q7&gt;0</formula>
    </cfRule>
    <cfRule type="expression" dxfId="1246" priority="40">
      <formula>Q7&lt;0</formula>
    </cfRule>
  </conditionalFormatting>
  <conditionalFormatting sqref="Q8">
    <cfRule type="expression" dxfId="1245" priority="37">
      <formula>Q8&gt;0</formula>
    </cfRule>
    <cfRule type="expression" dxfId="1244" priority="38">
      <formula>Q8&lt;0</formula>
    </cfRule>
  </conditionalFormatting>
  <conditionalFormatting sqref="F167:F178 H167:H178">
    <cfRule type="expression" dxfId="1243" priority="35">
      <formula>F167&gt;0</formula>
    </cfRule>
    <cfRule type="expression" dxfId="1242" priority="36">
      <formula>F167&lt;0</formula>
    </cfRule>
  </conditionalFormatting>
  <conditionalFormatting sqref="F183:F197 H183:H197">
    <cfRule type="expression" dxfId="1241" priority="33">
      <formula>F183&gt;0</formula>
    </cfRule>
    <cfRule type="expression" dxfId="1240" priority="34">
      <formula>F183&lt;0</formula>
    </cfRule>
  </conditionalFormatting>
  <conditionalFormatting sqref="F198:F206 H198:H206">
    <cfRule type="expression" dxfId="1239" priority="31">
      <formula>F198&gt;0</formula>
    </cfRule>
    <cfRule type="expression" dxfId="1238" priority="32">
      <formula>F198&lt;0</formula>
    </cfRule>
  </conditionalFormatting>
  <conditionalFormatting sqref="F141:F147 H141:H147">
    <cfRule type="expression" dxfId="1237" priority="29">
      <formula>F141&gt;0</formula>
    </cfRule>
    <cfRule type="expression" dxfId="1236" priority="30">
      <formula>F141&lt;0</formula>
    </cfRule>
  </conditionalFormatting>
  <conditionalFormatting sqref="H149:H152 F149:F152">
    <cfRule type="expression" dxfId="1235" priority="27">
      <formula>F149&gt;0</formula>
    </cfRule>
    <cfRule type="expression" dxfId="1234" priority="28">
      <formula>F149&lt;0</formula>
    </cfRule>
  </conditionalFormatting>
  <conditionalFormatting sqref="F226 H215:H218 H257:H260 F257:F260 H226 H231:H233 F231:F233 F235:F244 H235:H244">
    <cfRule type="expression" dxfId="1233" priority="25">
      <formula>F215&gt;0</formula>
    </cfRule>
    <cfRule type="expression" dxfId="1232" priority="26">
      <formula>F215&lt;0</formula>
    </cfRule>
  </conditionalFormatting>
  <conditionalFormatting sqref="F207:F218">
    <cfRule type="expression" dxfId="1231" priority="23">
      <formula>F207&gt;0</formula>
    </cfRule>
    <cfRule type="expression" dxfId="1230" priority="24">
      <formula>F207&lt;0</formula>
    </cfRule>
  </conditionalFormatting>
  <conditionalFormatting sqref="H207:H208">
    <cfRule type="expression" dxfId="1229" priority="21">
      <formula>H207&gt;0</formula>
    </cfRule>
    <cfRule type="expression" dxfId="1228" priority="22">
      <formula>H207&lt;0</formula>
    </cfRule>
  </conditionalFormatting>
  <conditionalFormatting sqref="H209">
    <cfRule type="expression" dxfId="1227" priority="19">
      <formula>H209&gt;0</formula>
    </cfRule>
    <cfRule type="expression" dxfId="1226" priority="20">
      <formula>H209&lt;0</formula>
    </cfRule>
  </conditionalFormatting>
  <conditionalFormatting sqref="H210">
    <cfRule type="expression" dxfId="1225" priority="17">
      <formula>H210&gt;0</formula>
    </cfRule>
    <cfRule type="expression" dxfId="1224" priority="18">
      <formula>H210&lt;0</formula>
    </cfRule>
  </conditionalFormatting>
  <conditionalFormatting sqref="H211:H213">
    <cfRule type="expression" dxfId="1223" priority="15">
      <formula>H211&gt;0</formula>
    </cfRule>
    <cfRule type="expression" dxfId="1222" priority="16">
      <formula>H211&lt;0</formula>
    </cfRule>
  </conditionalFormatting>
  <conditionalFormatting sqref="H214">
    <cfRule type="expression" dxfId="1221" priority="13">
      <formula>H214&gt;0</formula>
    </cfRule>
    <cfRule type="expression" dxfId="1220" priority="14">
      <formula>H214&lt;0</formula>
    </cfRule>
  </conditionalFormatting>
  <conditionalFormatting sqref="F245:F256 H245:H256">
    <cfRule type="expression" dxfId="1219" priority="11">
      <formula>F245&gt;0</formula>
    </cfRule>
    <cfRule type="expression" dxfId="1218" priority="12">
      <formula>F245&lt;0</formula>
    </cfRule>
  </conditionalFormatting>
  <conditionalFormatting sqref="F261:F275 H261:H275">
    <cfRule type="expression" dxfId="1217" priority="9">
      <formula>F261&gt;0</formula>
    </cfRule>
    <cfRule type="expression" dxfId="1216" priority="10">
      <formula>F261&lt;0</formula>
    </cfRule>
  </conditionalFormatting>
  <conditionalFormatting sqref="F276:F283 H276:H283">
    <cfRule type="expression" dxfId="1215" priority="7">
      <formula>F276&gt;0</formula>
    </cfRule>
    <cfRule type="expression" dxfId="1214" priority="8">
      <formula>F276&lt;0</formula>
    </cfRule>
  </conditionalFormatting>
  <conditionalFormatting sqref="F219:F225 H219:H225">
    <cfRule type="expression" dxfId="1213" priority="5">
      <formula>F219&gt;0</formula>
    </cfRule>
    <cfRule type="expression" dxfId="1212" priority="6">
      <formula>F219&lt;0</formula>
    </cfRule>
  </conditionalFormatting>
  <conditionalFormatting sqref="H227:H230 F227:F230">
    <cfRule type="expression" dxfId="1211" priority="3">
      <formula>F227&gt;0</formula>
    </cfRule>
    <cfRule type="expression" dxfId="1210" priority="4">
      <formula>F227&lt;0</formula>
    </cfRule>
  </conditionalFormatting>
  <conditionalFormatting sqref="H234 F234">
    <cfRule type="expression" dxfId="1209" priority="1">
      <formula>F234&gt;0</formula>
    </cfRule>
    <cfRule type="expression" dxfId="1208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313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126.27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126.27</v>
      </c>
      <c r="R4" s="487">
        <v>2.01E-2</v>
      </c>
      <c r="T4" s="159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209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90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92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3"/>
      <c r="C25" s="10"/>
      <c r="D25" s="39"/>
      <c r="E25" s="39"/>
      <c r="F25" s="39"/>
      <c r="G25" s="39"/>
      <c r="H25" s="226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3"/>
      <c r="C28" s="10"/>
      <c r="D28" s="39"/>
      <c r="E28" s="39"/>
      <c r="F28" s="39"/>
      <c r="G28" s="39"/>
      <c r="H28" s="226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3"/>
      <c r="C29" s="10"/>
      <c r="D29" s="39"/>
      <c r="E29" s="39"/>
      <c r="F29" s="39"/>
      <c r="G29" s="39"/>
      <c r="H29" s="226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3"/>
      <c r="C30" s="10"/>
      <c r="D30" s="39"/>
      <c r="E30" s="39"/>
      <c r="F30" s="39"/>
      <c r="G30" s="39"/>
      <c r="H30" s="226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3"/>
      <c r="C31" s="10"/>
      <c r="D31" s="39"/>
      <c r="E31" s="39"/>
      <c r="F31" s="39"/>
      <c r="G31" s="39"/>
      <c r="H31" s="226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3"/>
      <c r="C32" s="10"/>
      <c r="D32" s="39"/>
      <c r="E32" s="39"/>
      <c r="F32" s="39"/>
      <c r="G32" s="39"/>
      <c r="H32" s="226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3"/>
      <c r="C33" s="10"/>
      <c r="D33" s="39"/>
      <c r="E33" s="39"/>
      <c r="F33" s="39"/>
      <c r="G33" s="39"/>
      <c r="H33" s="226"/>
      <c r="I33" s="231"/>
      <c r="J33" s="231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3"/>
      <c r="C34" s="10"/>
      <c r="D34" s="39"/>
      <c r="E34" s="39"/>
      <c r="F34" s="39"/>
      <c r="G34" s="39"/>
      <c r="H34" s="226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3"/>
      <c r="C35" s="10"/>
      <c r="D35" s="39"/>
      <c r="E35" s="39"/>
      <c r="F35" s="39"/>
      <c r="G35" s="39"/>
      <c r="H35" s="226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3"/>
      <c r="C36" s="10"/>
      <c r="D36" s="39"/>
      <c r="E36" s="39"/>
      <c r="F36" s="39"/>
      <c r="G36" s="39"/>
      <c r="H36" s="226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3"/>
      <c r="C37" s="10"/>
      <c r="D37" s="39"/>
      <c r="E37" s="39"/>
      <c r="F37" s="39"/>
      <c r="G37" s="39"/>
      <c r="H37" s="226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3"/>
      <c r="C38" s="10"/>
      <c r="D38" s="39"/>
      <c r="E38" s="39"/>
      <c r="F38" s="39"/>
      <c r="G38" s="39"/>
      <c r="H38" s="226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3"/>
      <c r="C39" s="10"/>
      <c r="D39" s="39"/>
      <c r="E39" s="39"/>
      <c r="F39" s="39"/>
      <c r="G39" s="39"/>
      <c r="H39" s="226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3"/>
      <c r="C40" s="10"/>
      <c r="D40" s="39"/>
      <c r="E40" s="39"/>
      <c r="F40" s="39"/>
      <c r="G40" s="39"/>
      <c r="H40" s="226"/>
      <c r="I40" s="39"/>
      <c r="J40" s="39"/>
      <c r="O40" s="804" t="s">
        <v>78</v>
      </c>
      <c r="P40" s="80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3"/>
      <c r="C41" s="10"/>
      <c r="D41" s="39"/>
      <c r="E41" s="39"/>
      <c r="F41" s="39"/>
      <c r="G41" s="39"/>
      <c r="H41" s="226"/>
      <c r="I41" s="39"/>
      <c r="J41" s="39"/>
      <c r="O41" s="81">
        <v>1.1000000000000001</v>
      </c>
      <c r="P41" s="81">
        <f>O41*$Q$4</f>
        <v>138.89700000000002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3"/>
      <c r="C42" s="10"/>
      <c r="D42" s="39"/>
      <c r="E42" s="39"/>
      <c r="F42" s="39"/>
      <c r="G42" s="39"/>
      <c r="H42" s="226"/>
      <c r="I42" s="39"/>
      <c r="J42" s="39"/>
      <c r="O42" s="81">
        <v>1.0900000000000001</v>
      </c>
      <c r="P42" s="81">
        <f t="shared" ref="P42:P61" si="2">O42*$Q$4</f>
        <v>137.6343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3"/>
      <c r="C43" s="10"/>
      <c r="D43" s="39"/>
      <c r="E43" s="39"/>
      <c r="F43" s="39"/>
      <c r="G43" s="39"/>
      <c r="H43" s="226"/>
      <c r="I43" s="39"/>
      <c r="J43" s="39"/>
      <c r="O43" s="81">
        <v>1.08</v>
      </c>
      <c r="P43" s="81">
        <f t="shared" si="2"/>
        <v>136.3716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3"/>
      <c r="C44" s="10"/>
      <c r="D44" s="39"/>
      <c r="E44" s="39"/>
      <c r="F44" s="39"/>
      <c r="G44" s="39"/>
      <c r="H44" s="226"/>
      <c r="I44" s="39"/>
      <c r="J44" s="39"/>
      <c r="O44" s="81">
        <v>1.07</v>
      </c>
      <c r="P44" s="81">
        <f t="shared" si="2"/>
        <v>135.10890000000001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3"/>
      <c r="C45" s="10"/>
      <c r="D45" s="39"/>
      <c r="E45" s="39"/>
      <c r="F45" s="39"/>
      <c r="G45" s="39"/>
      <c r="H45" s="226"/>
      <c r="I45" s="39"/>
      <c r="J45" s="39"/>
      <c r="O45" s="81">
        <v>1.06</v>
      </c>
      <c r="P45" s="81">
        <f t="shared" si="2"/>
        <v>133.84620000000001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3"/>
      <c r="C46" s="10"/>
      <c r="D46" s="39"/>
      <c r="E46" s="39"/>
      <c r="F46" s="39"/>
      <c r="G46" s="39"/>
      <c r="H46" s="226"/>
      <c r="I46" s="39"/>
      <c r="J46" s="39"/>
      <c r="O46" s="81">
        <v>1.05</v>
      </c>
      <c r="P46" s="81">
        <f t="shared" si="2"/>
        <v>132.58350000000002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3"/>
      <c r="C47" s="10"/>
      <c r="D47" s="39"/>
      <c r="E47" s="39"/>
      <c r="F47" s="39"/>
      <c r="G47" s="39"/>
      <c r="H47" s="226"/>
      <c r="I47" s="231"/>
      <c r="J47" s="231"/>
      <c r="O47" s="81">
        <v>1.04</v>
      </c>
      <c r="P47" s="81">
        <f t="shared" si="2"/>
        <v>131.32079999999999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3"/>
      <c r="C48" s="10"/>
      <c r="D48" s="39"/>
      <c r="E48" s="39"/>
      <c r="F48" s="39"/>
      <c r="G48" s="39"/>
      <c r="H48" s="226"/>
      <c r="I48" s="39"/>
      <c r="J48" s="39"/>
      <c r="O48" s="81">
        <v>1.03</v>
      </c>
      <c r="P48" s="81">
        <f t="shared" si="2"/>
        <v>130.0581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3"/>
      <c r="C49" s="10"/>
      <c r="D49" s="39"/>
      <c r="E49" s="39"/>
      <c r="F49" s="39"/>
      <c r="G49" s="39"/>
      <c r="H49" s="226"/>
      <c r="I49" s="39"/>
      <c r="J49" s="39"/>
      <c r="O49" s="81">
        <v>1.02</v>
      </c>
      <c r="P49" s="81">
        <f t="shared" si="2"/>
        <v>128.7954</v>
      </c>
      <c r="Q49" s="2"/>
      <c r="T49" s="91" t="s">
        <v>121</v>
      </c>
      <c r="U49" s="127" t="s">
        <v>399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3"/>
      <c r="C50" s="10"/>
      <c r="D50" s="39"/>
      <c r="E50" s="39"/>
      <c r="F50" s="39"/>
      <c r="G50" s="39"/>
      <c r="H50" s="226"/>
      <c r="I50" s="39"/>
      <c r="J50" s="39"/>
      <c r="O50" s="81">
        <v>1.01</v>
      </c>
      <c r="P50" s="81">
        <f t="shared" si="2"/>
        <v>127.53269999999999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3"/>
      <c r="C51" s="10"/>
      <c r="D51" s="39"/>
      <c r="E51" s="39"/>
      <c r="F51" s="39"/>
      <c r="G51" s="39"/>
      <c r="H51" s="226"/>
      <c r="I51" s="39"/>
      <c r="J51" s="39"/>
      <c r="O51" s="81">
        <v>1</v>
      </c>
      <c r="P51" s="81">
        <f t="shared" si="2"/>
        <v>126.27</v>
      </c>
      <c r="Q51" s="2"/>
      <c r="T51" s="91" t="s">
        <v>104</v>
      </c>
      <c r="U51" s="127" t="s">
        <v>632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3"/>
      <c r="C52" s="10"/>
      <c r="D52" s="39"/>
      <c r="E52" s="39"/>
      <c r="F52" s="39"/>
      <c r="G52" s="39"/>
      <c r="H52" s="226"/>
      <c r="I52" s="39"/>
      <c r="J52" s="39"/>
      <c r="O52" s="81">
        <v>0.99</v>
      </c>
      <c r="P52" s="81">
        <f t="shared" si="2"/>
        <v>125.0073</v>
      </c>
      <c r="Q52" s="2"/>
      <c r="T52" s="91" t="s">
        <v>105</v>
      </c>
      <c r="U52" s="127" t="s">
        <v>431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3"/>
      <c r="C53" s="10"/>
      <c r="D53" s="39"/>
      <c r="E53" s="39"/>
      <c r="F53" s="39"/>
      <c r="G53" s="39"/>
      <c r="H53" s="226"/>
      <c r="I53" s="39"/>
      <c r="J53" s="39"/>
      <c r="O53" s="81">
        <v>0.98</v>
      </c>
      <c r="P53" s="81">
        <f t="shared" si="2"/>
        <v>123.74459999999999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3"/>
      <c r="C54" s="10"/>
      <c r="D54" s="39"/>
      <c r="E54" s="39"/>
      <c r="F54" s="39"/>
      <c r="G54" s="39"/>
      <c r="H54" s="226"/>
      <c r="I54" s="39"/>
      <c r="J54" s="39"/>
      <c r="O54" s="81">
        <v>0.97</v>
      </c>
      <c r="P54" s="81">
        <f t="shared" si="2"/>
        <v>122.4819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3"/>
      <c r="C55" s="10"/>
      <c r="D55" s="39"/>
      <c r="E55" s="39"/>
      <c r="F55" s="39"/>
      <c r="G55" s="39"/>
      <c r="H55" s="226"/>
      <c r="I55" s="39"/>
      <c r="J55" s="39"/>
      <c r="O55" s="81">
        <v>0.96</v>
      </c>
      <c r="P55" s="81">
        <f t="shared" si="2"/>
        <v>121.21919999999999</v>
      </c>
      <c r="T55" s="91" t="s">
        <v>107</v>
      </c>
      <c r="U55" s="127" t="s">
        <v>633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3"/>
      <c r="C56" s="10"/>
      <c r="D56" s="39"/>
      <c r="E56" s="39"/>
      <c r="F56" s="39"/>
      <c r="G56" s="39"/>
      <c r="H56" s="226"/>
      <c r="I56" s="39"/>
      <c r="J56" s="39"/>
      <c r="O56" s="81">
        <v>0.95</v>
      </c>
      <c r="P56" s="81">
        <f t="shared" si="2"/>
        <v>119.95649999999999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3"/>
      <c r="C57" s="10"/>
      <c r="D57" s="39"/>
      <c r="E57" s="39"/>
      <c r="F57" s="39"/>
      <c r="G57" s="39"/>
      <c r="H57" s="226"/>
      <c r="I57" s="39"/>
      <c r="J57" s="39"/>
      <c r="O57" s="81">
        <v>0.94</v>
      </c>
      <c r="P57" s="81">
        <f t="shared" si="2"/>
        <v>118.6938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3"/>
      <c r="C58" s="10"/>
      <c r="D58" s="39"/>
      <c r="E58" s="39"/>
      <c r="F58" s="39"/>
      <c r="G58" s="39"/>
      <c r="H58" s="226"/>
      <c r="I58" s="39"/>
      <c r="J58" s="39"/>
      <c r="O58" s="81">
        <v>0.93</v>
      </c>
      <c r="P58" s="81">
        <f t="shared" si="2"/>
        <v>117.4311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3"/>
      <c r="C59" s="10"/>
      <c r="D59" s="39"/>
      <c r="E59" s="39"/>
      <c r="F59" s="39"/>
      <c r="G59" s="39"/>
      <c r="H59" s="226"/>
      <c r="I59" s="39"/>
      <c r="J59" s="39"/>
      <c r="O59" s="81">
        <v>0.92</v>
      </c>
      <c r="P59" s="81">
        <f t="shared" si="2"/>
        <v>116.16840000000001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3"/>
      <c r="C60" s="10"/>
      <c r="D60" s="39"/>
      <c r="E60" s="39"/>
      <c r="F60" s="39"/>
      <c r="G60" s="39"/>
      <c r="H60" s="226"/>
      <c r="I60" s="39"/>
      <c r="J60" s="39"/>
      <c r="O60" s="81">
        <v>0.91</v>
      </c>
      <c r="P60" s="81">
        <f t="shared" si="2"/>
        <v>114.9057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3"/>
      <c r="C61" s="10"/>
      <c r="D61" s="39"/>
      <c r="E61" s="39"/>
      <c r="F61" s="39"/>
      <c r="G61" s="39"/>
      <c r="H61" s="226"/>
      <c r="I61" s="39"/>
      <c r="J61" s="39"/>
      <c r="O61" s="81">
        <v>0.9</v>
      </c>
      <c r="P61" s="81">
        <f t="shared" si="2"/>
        <v>113.643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3"/>
      <c r="C62" s="10"/>
      <c r="D62" s="39"/>
      <c r="E62" s="39"/>
      <c r="F62" s="39"/>
      <c r="G62" s="39"/>
      <c r="H62" s="226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3"/>
      <c r="C63" s="10"/>
      <c r="D63" s="39"/>
      <c r="E63" s="39"/>
      <c r="F63" s="39"/>
      <c r="G63" s="39"/>
      <c r="H63" s="226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3"/>
      <c r="C64" s="10"/>
      <c r="D64" s="39"/>
      <c r="E64" s="39"/>
      <c r="F64" s="39"/>
      <c r="G64" s="39"/>
      <c r="H64" s="226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3"/>
      <c r="C65" s="10"/>
      <c r="D65" s="39"/>
      <c r="E65" s="39"/>
      <c r="F65" s="39"/>
      <c r="G65" s="39"/>
      <c r="H65" s="226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3"/>
      <c r="C66" s="10"/>
      <c r="D66" s="39"/>
      <c r="E66" s="39"/>
      <c r="F66" s="39"/>
      <c r="G66" s="39"/>
      <c r="H66" s="226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3"/>
      <c r="C67" s="10"/>
      <c r="D67" s="39"/>
      <c r="E67" s="39"/>
      <c r="F67" s="39"/>
      <c r="G67" s="39"/>
      <c r="H67" s="226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3"/>
      <c r="C68" s="10"/>
      <c r="D68" s="39"/>
      <c r="E68" s="39"/>
      <c r="F68" s="39"/>
      <c r="G68" s="39"/>
      <c r="H68" s="226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3"/>
      <c r="C69" s="10"/>
      <c r="D69" s="39"/>
      <c r="E69" s="39"/>
      <c r="F69" s="39"/>
      <c r="G69" s="39"/>
      <c r="H69" s="226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6" t="s">
        <v>1</v>
      </c>
      <c r="B72" s="561" t="s">
        <v>2</v>
      </c>
      <c r="C72" s="256" t="s">
        <v>4</v>
      </c>
      <c r="D72" s="257" t="s">
        <v>5</v>
      </c>
      <c r="E72" s="257" t="s">
        <v>94</v>
      </c>
      <c r="F72" s="257" t="s">
        <v>60</v>
      </c>
      <c r="G72" s="256" t="s">
        <v>3</v>
      </c>
      <c r="H72" s="256" t="s">
        <v>6</v>
      </c>
      <c r="I72" s="257" t="s">
        <v>7</v>
      </c>
      <c r="J72" s="257" t="s">
        <v>95</v>
      </c>
      <c r="K72" s="257" t="s">
        <v>61</v>
      </c>
      <c r="L72" s="256" t="s">
        <v>37</v>
      </c>
      <c r="M72" s="256" t="s">
        <v>38</v>
      </c>
    </row>
    <row r="73" spans="1:31" x14ac:dyDescent="0.25">
      <c r="A73" s="258" t="s">
        <v>313</v>
      </c>
      <c r="B73" s="562">
        <v>42704</v>
      </c>
      <c r="C73" s="254">
        <v>40</v>
      </c>
      <c r="D73" s="255">
        <v>83.05</v>
      </c>
      <c r="E73" s="255">
        <v>0</v>
      </c>
      <c r="F73" s="255">
        <f>C73*D73+E73</f>
        <v>3322</v>
      </c>
      <c r="G73" s="562">
        <v>42739</v>
      </c>
      <c r="H73" s="260">
        <v>40</v>
      </c>
      <c r="I73" s="255">
        <v>96.5</v>
      </c>
      <c r="J73" s="255">
        <v>0.08</v>
      </c>
      <c r="K73" s="255">
        <f>I73*H73-J73</f>
        <v>3859.92</v>
      </c>
      <c r="L73" s="259"/>
      <c r="M73" s="255"/>
    </row>
    <row r="74" spans="1:31" x14ac:dyDescent="0.25">
      <c r="A74" s="261" t="s">
        <v>71</v>
      </c>
      <c r="B74" s="656">
        <v>42768</v>
      </c>
      <c r="C74" s="645">
        <v>40</v>
      </c>
      <c r="D74" s="643">
        <v>91.52</v>
      </c>
      <c r="E74" s="643">
        <v>0</v>
      </c>
      <c r="F74" s="643">
        <f>D74*C74+E74</f>
        <v>3660.7999999999997</v>
      </c>
      <c r="G74" s="656">
        <v>42803</v>
      </c>
      <c r="H74" s="645">
        <v>20</v>
      </c>
      <c r="I74" s="643">
        <v>91.58</v>
      </c>
      <c r="J74" s="643">
        <v>0.04</v>
      </c>
      <c r="K74" s="643">
        <f>I74*H74-J74</f>
        <v>1831.56</v>
      </c>
      <c r="L74" s="644"/>
      <c r="M74" s="643"/>
    </row>
    <row r="75" spans="1:31" x14ac:dyDescent="0.25">
      <c r="A75" s="254"/>
      <c r="B75" s="656">
        <v>42768</v>
      </c>
      <c r="C75" s="645">
        <v>40</v>
      </c>
      <c r="D75" s="643">
        <v>88.8</v>
      </c>
      <c r="E75" s="643">
        <v>0</v>
      </c>
      <c r="F75" s="643">
        <f>D75*C75+E75</f>
        <v>3552</v>
      </c>
      <c r="G75" s="656">
        <v>42803</v>
      </c>
      <c r="H75" s="654">
        <v>20</v>
      </c>
      <c r="I75" s="643">
        <v>92.2</v>
      </c>
      <c r="J75" s="643">
        <v>0.04</v>
      </c>
      <c r="K75" s="643">
        <f t="shared" ref="K75:K76" si="3">I75*H75-J75</f>
        <v>1843.96</v>
      </c>
      <c r="L75" s="645"/>
      <c r="M75" s="645"/>
    </row>
    <row r="76" spans="1:31" x14ac:dyDescent="0.25">
      <c r="A76" s="254"/>
      <c r="B76" s="656"/>
      <c r="C76" s="645"/>
      <c r="D76" s="643"/>
      <c r="E76" s="643"/>
      <c r="F76" s="643"/>
      <c r="G76" s="656">
        <v>42803</v>
      </c>
      <c r="H76" s="654">
        <v>40</v>
      </c>
      <c r="I76" s="643">
        <v>93</v>
      </c>
      <c r="J76" s="643">
        <v>0.08</v>
      </c>
      <c r="K76" s="643">
        <f t="shared" si="3"/>
        <v>3719.92</v>
      </c>
      <c r="L76" s="645"/>
      <c r="M76" s="645"/>
    </row>
    <row r="77" spans="1:31" x14ac:dyDescent="0.25">
      <c r="A77" s="254"/>
      <c r="B77" s="562"/>
      <c r="C77" s="254"/>
      <c r="D77" s="255"/>
      <c r="E77" s="255"/>
      <c r="F77" s="255"/>
      <c r="G77" s="562"/>
      <c r="H77" s="260"/>
      <c r="I77" s="255"/>
      <c r="J77" s="255"/>
      <c r="K77" s="255"/>
      <c r="L77" s="254"/>
      <c r="M77" s="254"/>
    </row>
    <row r="78" spans="1:31" x14ac:dyDescent="0.25">
      <c r="A78" s="254"/>
      <c r="B78" s="562"/>
      <c r="C78" s="254"/>
      <c r="D78" s="255"/>
      <c r="E78" s="255"/>
      <c r="F78" s="255"/>
      <c r="G78" s="562"/>
      <c r="H78" s="260"/>
      <c r="I78" s="255"/>
      <c r="J78" s="255"/>
      <c r="K78" s="255"/>
      <c r="L78" s="254"/>
      <c r="M78" s="254"/>
    </row>
    <row r="79" spans="1:31" x14ac:dyDescent="0.25">
      <c r="A79" s="254"/>
      <c r="B79" s="562"/>
      <c r="C79" s="254"/>
      <c r="D79" s="255"/>
      <c r="E79" s="255"/>
      <c r="F79" s="255"/>
      <c r="G79" s="562"/>
      <c r="H79" s="260"/>
      <c r="I79" s="255"/>
      <c r="J79" s="255"/>
      <c r="K79" s="255"/>
      <c r="L79" s="254"/>
      <c r="M79" s="254"/>
    </row>
    <row r="80" spans="1:31" x14ac:dyDescent="0.25">
      <c r="A80" s="254"/>
      <c r="B80" s="562"/>
      <c r="C80" s="254"/>
      <c r="D80" s="255"/>
      <c r="E80" s="255"/>
      <c r="F80" s="255"/>
      <c r="G80" s="562"/>
      <c r="H80" s="260"/>
      <c r="I80" s="255"/>
      <c r="J80" s="255"/>
      <c r="K80" s="255"/>
      <c r="L80" s="254"/>
      <c r="M80" s="254"/>
    </row>
    <row r="81" spans="1:13" x14ac:dyDescent="0.25">
      <c r="A81" s="254"/>
      <c r="B81" s="562"/>
      <c r="C81" s="254"/>
      <c r="D81" s="255"/>
      <c r="E81" s="255"/>
      <c r="F81" s="255"/>
      <c r="G81" s="562"/>
      <c r="H81" s="260"/>
      <c r="I81" s="255"/>
      <c r="J81" s="255"/>
      <c r="K81" s="255"/>
      <c r="L81" s="254"/>
      <c r="M81" s="254"/>
    </row>
    <row r="82" spans="1:13" x14ac:dyDescent="0.25">
      <c r="A82" s="254"/>
      <c r="B82" s="562"/>
      <c r="C82" s="254"/>
      <c r="D82" s="255"/>
      <c r="E82" s="255"/>
      <c r="F82" s="255"/>
      <c r="G82" s="562"/>
      <c r="H82" s="260"/>
      <c r="I82" s="255"/>
      <c r="J82" s="255"/>
      <c r="K82" s="255"/>
      <c r="L82" s="254"/>
      <c r="M82" s="254"/>
    </row>
    <row r="83" spans="1:13" x14ac:dyDescent="0.25">
      <c r="A83" s="254"/>
      <c r="B83" s="562"/>
      <c r="C83" s="254"/>
      <c r="D83" s="255"/>
      <c r="E83" s="255"/>
      <c r="F83" s="255"/>
      <c r="G83" s="562"/>
      <c r="H83" s="260"/>
      <c r="I83" s="255"/>
      <c r="J83" s="255"/>
      <c r="K83" s="255"/>
      <c r="L83" s="254"/>
      <c r="M83" s="254"/>
    </row>
    <row r="84" spans="1:13" x14ac:dyDescent="0.25">
      <c r="A84" s="254"/>
      <c r="B84" s="562"/>
      <c r="C84" s="254"/>
      <c r="D84" s="255"/>
      <c r="E84" s="255"/>
      <c r="F84" s="255"/>
      <c r="G84" s="562"/>
      <c r="H84" s="260"/>
      <c r="I84" s="255"/>
      <c r="J84" s="255"/>
      <c r="K84" s="255"/>
      <c r="L84" s="254"/>
      <c r="M84" s="254"/>
    </row>
    <row r="85" spans="1:13" x14ac:dyDescent="0.25">
      <c r="A85" s="254"/>
      <c r="B85" s="562"/>
      <c r="C85" s="254"/>
      <c r="D85" s="255"/>
      <c r="E85" s="255"/>
      <c r="F85" s="255"/>
      <c r="G85" s="562"/>
      <c r="H85" s="260"/>
      <c r="I85" s="255"/>
      <c r="J85" s="255"/>
      <c r="K85" s="255"/>
      <c r="L85" s="254"/>
      <c r="M85" s="254"/>
    </row>
    <row r="86" spans="1:13" x14ac:dyDescent="0.25">
      <c r="A86" s="254"/>
      <c r="B86" s="562"/>
      <c r="C86" s="254"/>
      <c r="D86" s="255"/>
      <c r="E86" s="255"/>
      <c r="F86" s="255"/>
      <c r="G86" s="562"/>
      <c r="H86" s="260"/>
      <c r="I86" s="255"/>
      <c r="J86" s="255"/>
      <c r="K86" s="255"/>
      <c r="L86" s="254"/>
      <c r="M86" s="254"/>
    </row>
    <row r="87" spans="1:13" x14ac:dyDescent="0.25">
      <c r="A87" s="254"/>
      <c r="B87" s="562"/>
      <c r="C87" s="254"/>
      <c r="D87" s="255"/>
      <c r="E87" s="255"/>
      <c r="F87" s="255"/>
      <c r="G87" s="562"/>
      <c r="H87" s="260"/>
      <c r="I87" s="255"/>
      <c r="J87" s="255"/>
      <c r="K87" s="255"/>
      <c r="L87" s="254"/>
      <c r="M87" s="254"/>
    </row>
    <row r="88" spans="1:13" x14ac:dyDescent="0.25">
      <c r="A88" s="254"/>
      <c r="B88" s="562"/>
      <c r="C88" s="254"/>
      <c r="D88" s="255"/>
      <c r="E88" s="255"/>
      <c r="F88" s="255"/>
      <c r="G88" s="562"/>
      <c r="H88" s="254"/>
      <c r="I88" s="255"/>
      <c r="J88" s="255"/>
      <c r="K88" s="255"/>
      <c r="L88" s="254"/>
      <c r="M88" s="254"/>
    </row>
    <row r="89" spans="1:13" x14ac:dyDescent="0.25">
      <c r="A89" s="31" t="s">
        <v>81</v>
      </c>
      <c r="B89" s="490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50" t="s">
        <v>194</v>
      </c>
      <c r="B90" s="563"/>
      <c r="C90" s="452">
        <f>SumByColor($A$19,C73:C88)</f>
        <v>0</v>
      </c>
      <c r="D90" s="452"/>
      <c r="E90" s="452"/>
      <c r="F90" s="453">
        <f>SumByColor($A$19,F73:F88)</f>
        <v>0</v>
      </c>
      <c r="G90" s="452"/>
      <c r="H90" s="452">
        <f>SumByColor($A$19,H73:H88)</f>
        <v>0</v>
      </c>
      <c r="I90" s="452"/>
      <c r="J90" s="452"/>
      <c r="K90" s="453">
        <f>SumByColor($A$19,K73:K88)</f>
        <v>0</v>
      </c>
      <c r="L90" s="452"/>
      <c r="M90" s="453">
        <f>SumByColor($A$19,M73:M88)</f>
        <v>0</v>
      </c>
    </row>
    <row r="95" spans="1:13" x14ac:dyDescent="0.25">
      <c r="B95" s="492" t="s">
        <v>113</v>
      </c>
      <c r="C95" s="186" t="s">
        <v>146</v>
      </c>
      <c r="D95" s="187" t="s">
        <v>145</v>
      </c>
      <c r="E95" s="189" t="s">
        <v>147</v>
      </c>
      <c r="F95" s="189" t="s">
        <v>65</v>
      </c>
      <c r="G95" s="224" t="s">
        <v>151</v>
      </c>
      <c r="H95" s="224" t="s">
        <v>88</v>
      </c>
      <c r="I95" s="224" t="s">
        <v>154</v>
      </c>
    </row>
    <row r="96" spans="1:13" x14ac:dyDescent="0.25">
      <c r="B96" s="635">
        <v>42704</v>
      </c>
      <c r="C96" s="371">
        <v>40</v>
      </c>
      <c r="D96" s="372">
        <v>83.05</v>
      </c>
      <c r="E96" s="372">
        <v>82.85</v>
      </c>
      <c r="F96" s="372">
        <f>C96*(E96-D96)</f>
        <v>-8.0000000000001137</v>
      </c>
      <c r="G96" s="372">
        <f>D96*C96</f>
        <v>3322</v>
      </c>
      <c r="H96" s="373">
        <f>(E96-D96)/D96</f>
        <v>-2.4081878386514491E-3</v>
      </c>
      <c r="I96" s="372"/>
    </row>
    <row r="97" spans="1:10" x14ac:dyDescent="0.25">
      <c r="B97" s="635">
        <v>42708</v>
      </c>
      <c r="C97" s="371">
        <v>40</v>
      </c>
      <c r="D97" s="372">
        <v>83.05</v>
      </c>
      <c r="E97" s="372">
        <v>83.35</v>
      </c>
      <c r="F97" s="372">
        <f>C97*(E97-D97)</f>
        <v>11.999999999999886</v>
      </c>
      <c r="G97" s="372">
        <f>D97*C97</f>
        <v>3322</v>
      </c>
      <c r="H97" s="373">
        <f>(E97-D97)/D97</f>
        <v>3.612281757977088E-3</v>
      </c>
      <c r="I97" s="372"/>
    </row>
    <row r="98" spans="1:10" x14ac:dyDescent="0.25">
      <c r="B98" s="635">
        <v>42729</v>
      </c>
      <c r="C98" s="371">
        <v>40</v>
      </c>
      <c r="D98" s="372">
        <v>83.05</v>
      </c>
      <c r="E98" s="372">
        <v>93</v>
      </c>
      <c r="F98" s="372">
        <f>C98*(E98-D98)</f>
        <v>398.00000000000011</v>
      </c>
      <c r="G98" s="372">
        <f>D98*C98</f>
        <v>3322</v>
      </c>
      <c r="H98" s="373">
        <f>(E98-D98)/D98</f>
        <v>0.11980734497290793</v>
      </c>
      <c r="I98" s="372"/>
    </row>
    <row r="99" spans="1:10" x14ac:dyDescent="0.25">
      <c r="B99" s="635">
        <v>42739</v>
      </c>
      <c r="C99" s="371">
        <v>0</v>
      </c>
      <c r="D99" s="372"/>
      <c r="E99" s="372"/>
      <c r="F99" s="372">
        <v>537.91999999999996</v>
      </c>
      <c r="G99" s="372"/>
      <c r="H99" s="373"/>
      <c r="I99" s="372"/>
    </row>
    <row r="100" spans="1:10" x14ac:dyDescent="0.25">
      <c r="A100" t="s">
        <v>361</v>
      </c>
      <c r="B100" s="153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6">
        <f>(E100-D100)/D100</f>
        <v>-4.7692990239573269E-3</v>
      </c>
      <c r="I100" s="39"/>
      <c r="J100" s="39"/>
    </row>
    <row r="101" spans="1:10" x14ac:dyDescent="0.25">
      <c r="A101" t="s">
        <v>361</v>
      </c>
      <c r="B101" s="153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6">
        <f>(E101-D101)/D101</f>
        <v>2.7839396628216561E-2</v>
      </c>
      <c r="I101" s="39"/>
      <c r="J101" s="39"/>
    </row>
    <row r="102" spans="1:10" x14ac:dyDescent="0.25">
      <c r="A102">
        <v>80</v>
      </c>
      <c r="B102" s="153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6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3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6">
        <f t="shared" si="6"/>
        <v>2.0226122248734393E-2</v>
      </c>
      <c r="I103" s="39"/>
      <c r="J103" s="39"/>
    </row>
    <row r="104" spans="1:10" x14ac:dyDescent="0.25">
      <c r="B104" s="153">
        <v>42803</v>
      </c>
      <c r="C104" s="10">
        <v>0</v>
      </c>
      <c r="D104" s="39"/>
      <c r="E104" s="39"/>
      <c r="F104" s="39">
        <v>182.64</v>
      </c>
      <c r="G104" s="39"/>
      <c r="H104" s="226"/>
      <c r="I104" s="39"/>
      <c r="J104" s="39"/>
    </row>
    <row r="105" spans="1:10" x14ac:dyDescent="0.25">
      <c r="B105" s="635"/>
      <c r="C105" s="371"/>
      <c r="D105" s="372"/>
      <c r="E105" s="372"/>
      <c r="F105" s="372"/>
      <c r="G105" s="372"/>
      <c r="H105" s="373"/>
      <c r="I105" s="372"/>
    </row>
    <row r="106" spans="1:10" x14ac:dyDescent="0.25">
      <c r="B106" s="635"/>
      <c r="C106" s="371"/>
      <c r="D106" s="372"/>
      <c r="E106" s="372"/>
      <c r="F106" s="372"/>
      <c r="G106" s="372"/>
      <c r="H106" s="373"/>
      <c r="I106" s="372"/>
    </row>
    <row r="107" spans="1:10" x14ac:dyDescent="0.25">
      <c r="B107" s="635"/>
      <c r="C107" s="371"/>
      <c r="D107" s="372"/>
      <c r="E107" s="372"/>
      <c r="F107" s="372"/>
      <c r="G107" s="372"/>
      <c r="H107" s="373"/>
      <c r="I107" s="372"/>
    </row>
    <row r="108" spans="1:10" x14ac:dyDescent="0.25">
      <c r="B108" s="635"/>
      <c r="C108" s="371"/>
      <c r="D108" s="372"/>
      <c r="E108" s="372"/>
      <c r="F108" s="372"/>
      <c r="G108" s="372"/>
      <c r="H108" s="373"/>
      <c r="I108" s="372"/>
    </row>
    <row r="109" spans="1:10" x14ac:dyDescent="0.25">
      <c r="B109" s="635"/>
      <c r="C109" s="371"/>
      <c r="D109" s="372"/>
      <c r="E109" s="372"/>
      <c r="F109" s="372"/>
      <c r="G109" s="372"/>
      <c r="H109" s="373"/>
      <c r="I109" s="372"/>
    </row>
    <row r="110" spans="1:10" x14ac:dyDescent="0.25">
      <c r="B110" s="635"/>
      <c r="C110" s="371"/>
      <c r="D110" s="372"/>
      <c r="E110" s="372"/>
      <c r="F110" s="372"/>
      <c r="G110" s="372"/>
      <c r="H110" s="373"/>
      <c r="I110" s="372"/>
    </row>
    <row r="111" spans="1:10" x14ac:dyDescent="0.25">
      <c r="B111" s="635"/>
      <c r="C111" s="371"/>
      <c r="D111" s="372"/>
      <c r="E111" s="372"/>
      <c r="F111" s="372"/>
      <c r="G111" s="372"/>
      <c r="H111" s="373"/>
      <c r="I111" s="372"/>
    </row>
    <row r="112" spans="1:10" x14ac:dyDescent="0.25">
      <c r="B112" s="635"/>
      <c r="C112" s="371"/>
      <c r="D112" s="372"/>
      <c r="E112" s="372"/>
      <c r="F112" s="372"/>
      <c r="G112" s="372"/>
      <c r="H112" s="373"/>
      <c r="I112" s="372"/>
    </row>
    <row r="113" spans="2:9" x14ac:dyDescent="0.25">
      <c r="B113" s="635"/>
      <c r="C113" s="371"/>
      <c r="D113" s="372"/>
      <c r="E113" s="372"/>
      <c r="F113" s="372"/>
      <c r="G113" s="372"/>
      <c r="H113" s="373"/>
      <c r="I113" s="372"/>
    </row>
    <row r="114" spans="2:9" x14ac:dyDescent="0.25">
      <c r="B114" s="635"/>
      <c r="C114" s="371"/>
      <c r="D114" s="372"/>
      <c r="E114" s="372"/>
      <c r="F114" s="372"/>
      <c r="G114" s="372"/>
      <c r="H114" s="373"/>
      <c r="I114" s="372"/>
    </row>
    <row r="115" spans="2:9" x14ac:dyDescent="0.25">
      <c r="B115" s="635"/>
      <c r="C115" s="371"/>
      <c r="D115" s="372"/>
      <c r="E115" s="372"/>
      <c r="F115" s="372"/>
      <c r="G115" s="372"/>
      <c r="H115" s="373"/>
      <c r="I115" s="372"/>
    </row>
    <row r="116" spans="2:9" x14ac:dyDescent="0.25">
      <c r="B116" s="635"/>
      <c r="C116" s="371"/>
      <c r="D116" s="372"/>
      <c r="E116" s="372"/>
      <c r="F116" s="372"/>
      <c r="G116" s="372"/>
      <c r="H116" s="373"/>
      <c r="I116" s="372"/>
    </row>
    <row r="117" spans="2:9" x14ac:dyDescent="0.25">
      <c r="B117" s="635"/>
      <c r="C117" s="371"/>
      <c r="D117" s="372"/>
      <c r="E117" s="372"/>
      <c r="F117" s="372"/>
      <c r="G117" s="372"/>
      <c r="H117" s="373"/>
      <c r="I117" s="372"/>
    </row>
    <row r="118" spans="2:9" x14ac:dyDescent="0.25">
      <c r="B118" s="635"/>
      <c r="C118" s="371"/>
      <c r="D118" s="372"/>
      <c r="E118" s="372"/>
      <c r="F118" s="372"/>
      <c r="G118" s="372"/>
      <c r="H118" s="373"/>
      <c r="I118" s="454"/>
    </row>
    <row r="119" spans="2:9" x14ac:dyDescent="0.25">
      <c r="B119" s="635"/>
      <c r="C119" s="371"/>
      <c r="D119" s="372"/>
      <c r="E119" s="372"/>
      <c r="F119" s="372"/>
      <c r="G119" s="372"/>
      <c r="H119" s="373"/>
      <c r="I119" s="372"/>
    </row>
    <row r="120" spans="2:9" x14ac:dyDescent="0.25">
      <c r="B120" s="635"/>
      <c r="C120" s="371"/>
      <c r="D120" s="372"/>
      <c r="E120" s="372"/>
      <c r="F120" s="372"/>
      <c r="G120" s="372"/>
      <c r="H120" s="373"/>
      <c r="I120" s="372"/>
    </row>
    <row r="121" spans="2:9" x14ac:dyDescent="0.25">
      <c r="B121" s="635"/>
      <c r="C121" s="371"/>
      <c r="D121" s="372"/>
      <c r="E121" s="372"/>
      <c r="F121" s="372"/>
      <c r="G121" s="372"/>
      <c r="H121" s="373"/>
      <c r="I121" s="372"/>
    </row>
    <row r="122" spans="2:9" x14ac:dyDescent="0.25">
      <c r="B122" s="635"/>
      <c r="C122" s="371"/>
      <c r="D122" s="372"/>
      <c r="E122" s="372"/>
      <c r="F122" s="372"/>
      <c r="G122" s="372"/>
      <c r="H122" s="373"/>
      <c r="I122" s="372"/>
    </row>
    <row r="123" spans="2:9" x14ac:dyDescent="0.25">
      <c r="B123" s="635"/>
      <c r="C123" s="371"/>
      <c r="D123" s="372"/>
      <c r="E123" s="372"/>
      <c r="F123" s="372"/>
      <c r="G123" s="372"/>
      <c r="H123" s="373"/>
      <c r="I123" s="372"/>
    </row>
    <row r="124" spans="2:9" x14ac:dyDescent="0.25">
      <c r="B124" s="635"/>
      <c r="C124" s="371"/>
      <c r="D124" s="372"/>
      <c r="E124" s="372"/>
      <c r="F124" s="372"/>
      <c r="G124" s="372"/>
      <c r="H124" s="373"/>
      <c r="I124" s="372"/>
    </row>
    <row r="125" spans="2:9" x14ac:dyDescent="0.25">
      <c r="B125" s="635"/>
      <c r="C125" s="371"/>
      <c r="D125" s="372"/>
      <c r="E125" s="372"/>
      <c r="F125" s="372"/>
      <c r="G125" s="372"/>
      <c r="H125" s="373"/>
      <c r="I125" s="372"/>
    </row>
    <row r="126" spans="2:9" x14ac:dyDescent="0.25">
      <c r="B126" s="635"/>
      <c r="C126" s="371"/>
      <c r="D126" s="372"/>
      <c r="E126" s="372"/>
      <c r="F126" s="372"/>
      <c r="G126" s="372"/>
      <c r="H126" s="373"/>
      <c r="I126" s="372"/>
    </row>
    <row r="127" spans="2:9" x14ac:dyDescent="0.25">
      <c r="B127" s="635"/>
      <c r="C127" s="371"/>
      <c r="D127" s="372"/>
      <c r="E127" s="372"/>
      <c r="F127" s="372"/>
      <c r="G127" s="372"/>
      <c r="H127" s="373"/>
      <c r="I127" s="372"/>
    </row>
    <row r="128" spans="2:9" x14ac:dyDescent="0.25">
      <c r="B128" s="635"/>
      <c r="C128" s="371"/>
      <c r="D128" s="372"/>
      <c r="E128" s="372"/>
      <c r="F128" s="372"/>
      <c r="G128" s="372"/>
      <c r="H128" s="373"/>
      <c r="I128" s="372"/>
    </row>
    <row r="129" spans="2:9" x14ac:dyDescent="0.25">
      <c r="B129" s="635"/>
      <c r="C129" s="371"/>
      <c r="D129" s="372"/>
      <c r="E129" s="372"/>
      <c r="F129" s="372"/>
      <c r="G129" s="372"/>
      <c r="H129" s="373"/>
      <c r="I129" s="372"/>
    </row>
    <row r="130" spans="2:9" x14ac:dyDescent="0.25">
      <c r="B130" s="635"/>
      <c r="C130" s="371"/>
      <c r="D130" s="372"/>
      <c r="E130" s="372"/>
      <c r="F130" s="372"/>
      <c r="G130" s="372"/>
      <c r="H130" s="373"/>
      <c r="I130" s="372"/>
    </row>
    <row r="131" spans="2:9" x14ac:dyDescent="0.25">
      <c r="B131" s="635"/>
      <c r="C131" s="371"/>
      <c r="D131" s="372"/>
      <c r="E131" s="372"/>
      <c r="F131" s="372"/>
      <c r="G131" s="372"/>
      <c r="H131" s="373"/>
      <c r="I131" s="372"/>
    </row>
    <row r="132" spans="2:9" x14ac:dyDescent="0.25">
      <c r="B132" s="635"/>
      <c r="C132" s="371"/>
      <c r="D132" s="372"/>
      <c r="E132" s="372"/>
      <c r="F132" s="372"/>
      <c r="G132" s="372"/>
      <c r="H132" s="373"/>
      <c r="I132" s="372"/>
    </row>
    <row r="133" spans="2:9" x14ac:dyDescent="0.25">
      <c r="B133" s="635"/>
      <c r="C133" s="371"/>
      <c r="D133" s="372"/>
      <c r="E133" s="372"/>
      <c r="F133" s="372"/>
      <c r="G133" s="372"/>
      <c r="H133" s="373"/>
      <c r="I133" s="372"/>
    </row>
    <row r="134" spans="2:9" x14ac:dyDescent="0.25">
      <c r="B134" s="635"/>
      <c r="C134" s="371"/>
      <c r="D134" s="372"/>
      <c r="E134" s="372"/>
      <c r="F134" s="372"/>
      <c r="G134" s="372"/>
      <c r="H134" s="373"/>
      <c r="I134" s="372"/>
    </row>
    <row r="135" spans="2:9" x14ac:dyDescent="0.25">
      <c r="B135" s="635"/>
      <c r="C135" s="371"/>
      <c r="D135" s="372"/>
      <c r="E135" s="372"/>
      <c r="F135" s="372"/>
      <c r="G135" s="372"/>
      <c r="H135" s="373"/>
      <c r="I135" s="372"/>
    </row>
    <row r="136" spans="2:9" x14ac:dyDescent="0.25">
      <c r="B136" s="635"/>
      <c r="C136" s="371"/>
      <c r="D136" s="372"/>
      <c r="E136" s="372"/>
      <c r="F136" s="372"/>
      <c r="G136" s="372"/>
      <c r="H136" s="373"/>
      <c r="I136" s="372"/>
    </row>
    <row r="137" spans="2:9" x14ac:dyDescent="0.25">
      <c r="B137" s="635"/>
      <c r="C137" s="371"/>
      <c r="D137" s="372"/>
      <c r="E137" s="372"/>
      <c r="F137" s="372"/>
      <c r="G137" s="372"/>
      <c r="H137" s="373"/>
      <c r="I137" s="372"/>
    </row>
    <row r="138" spans="2:9" x14ac:dyDescent="0.25">
      <c r="B138" s="635"/>
      <c r="C138" s="371"/>
      <c r="D138" s="372"/>
      <c r="E138" s="372"/>
      <c r="F138" s="372"/>
      <c r="G138" s="372"/>
      <c r="H138" s="373"/>
      <c r="I138" s="372"/>
    </row>
    <row r="139" spans="2:9" x14ac:dyDescent="0.25">
      <c r="B139" s="635"/>
      <c r="C139" s="371"/>
      <c r="D139" s="372"/>
      <c r="E139" s="372"/>
      <c r="F139" s="372"/>
      <c r="G139" s="372"/>
      <c r="H139" s="373"/>
      <c r="I139" s="372"/>
    </row>
    <row r="140" spans="2:9" x14ac:dyDescent="0.25">
      <c r="B140" s="635"/>
      <c r="C140" s="371"/>
      <c r="D140" s="372"/>
      <c r="E140" s="372"/>
      <c r="F140" s="372"/>
      <c r="G140" s="372"/>
      <c r="H140" s="373"/>
      <c r="I140" s="372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207" priority="43">
      <formula>F33&gt;0</formula>
    </cfRule>
    <cfRule type="expression" dxfId="1206" priority="44">
      <formula>F33&lt;0</formula>
    </cfRule>
  </conditionalFormatting>
  <conditionalFormatting sqref="Q7">
    <cfRule type="expression" dxfId="1205" priority="41">
      <formula>Q7&gt;0</formula>
    </cfRule>
    <cfRule type="expression" dxfId="1204" priority="42">
      <formula>Q7&lt;0</formula>
    </cfRule>
  </conditionalFormatting>
  <conditionalFormatting sqref="Q8">
    <cfRule type="expression" dxfId="1203" priority="39">
      <formula>Q8&gt;0</formula>
    </cfRule>
    <cfRule type="expression" dxfId="1202" priority="40">
      <formula>Q8&lt;0</formula>
    </cfRule>
  </conditionalFormatting>
  <conditionalFormatting sqref="F29 F32">
    <cfRule type="expression" dxfId="1201" priority="37">
      <formula>F29&gt;0</formula>
    </cfRule>
    <cfRule type="expression" dxfId="1200" priority="38">
      <formula>F29&lt;0</formula>
    </cfRule>
  </conditionalFormatting>
  <conditionalFormatting sqref="H29 H32">
    <cfRule type="expression" dxfId="1199" priority="35">
      <formula>H29&gt;0</formula>
    </cfRule>
    <cfRule type="expression" dxfId="1198" priority="36">
      <formula>H29&lt;0</formula>
    </cfRule>
  </conditionalFormatting>
  <conditionalFormatting sqref="F30:F31">
    <cfRule type="expression" dxfId="1197" priority="33">
      <formula>F30&gt;0</formula>
    </cfRule>
    <cfRule type="expression" dxfId="1196" priority="34">
      <formula>F30&lt;0</formula>
    </cfRule>
  </conditionalFormatting>
  <conditionalFormatting sqref="H30:H31">
    <cfRule type="expression" dxfId="1195" priority="31">
      <formula>H30&gt;0</formula>
    </cfRule>
    <cfRule type="expression" dxfId="1194" priority="32">
      <formula>H30&lt;0</formula>
    </cfRule>
  </conditionalFormatting>
  <conditionalFormatting sqref="F105:F140 H105:H140">
    <cfRule type="expression" dxfId="1193" priority="29">
      <formula>F105&gt;0</formula>
    </cfRule>
    <cfRule type="expression" dxfId="1192" priority="30">
      <formula>F105&lt;0</formula>
    </cfRule>
  </conditionalFormatting>
  <conditionalFormatting sqref="F96:F99">
    <cfRule type="expression" dxfId="1191" priority="27">
      <formula>F96&gt;0</formula>
    </cfRule>
    <cfRule type="expression" dxfId="1190" priority="28">
      <formula>F96&lt;0</formula>
    </cfRule>
  </conditionalFormatting>
  <conditionalFormatting sqref="H96:H99">
    <cfRule type="expression" dxfId="1189" priority="25">
      <formula>H96&gt;0</formula>
    </cfRule>
    <cfRule type="expression" dxfId="1188" priority="26">
      <formula>H96&lt;0</formula>
    </cfRule>
  </conditionalFormatting>
  <conditionalFormatting sqref="F25:F28">
    <cfRule type="expression" dxfId="1187" priority="19">
      <formula>F25&gt;0</formula>
    </cfRule>
    <cfRule type="expression" dxfId="1186" priority="20">
      <formula>F25&lt;0</formula>
    </cfRule>
  </conditionalFormatting>
  <conditionalFormatting sqref="H25:H28">
    <cfRule type="expression" dxfId="1185" priority="17">
      <formula>H25&gt;0</formula>
    </cfRule>
    <cfRule type="expression" dxfId="1184" priority="18">
      <formula>H25&lt;0</formula>
    </cfRule>
  </conditionalFormatting>
  <conditionalFormatting sqref="J27">
    <cfRule type="expression" dxfId="1183" priority="15">
      <formula>J27&gt;0</formula>
    </cfRule>
    <cfRule type="expression" dxfId="1182" priority="16">
      <formula>J27&lt;0</formula>
    </cfRule>
  </conditionalFormatting>
  <conditionalFormatting sqref="F104">
    <cfRule type="expression" dxfId="1181" priority="13">
      <formula>F104&gt;0</formula>
    </cfRule>
    <cfRule type="expression" dxfId="1180" priority="14">
      <formula>F104&lt;0</formula>
    </cfRule>
  </conditionalFormatting>
  <conditionalFormatting sqref="H104">
    <cfRule type="expression" dxfId="1179" priority="11">
      <formula>H104&gt;0</formula>
    </cfRule>
    <cfRule type="expression" dxfId="1178" priority="12">
      <formula>H104&lt;0</formula>
    </cfRule>
  </conditionalFormatting>
  <conditionalFormatting sqref="F100:F103">
    <cfRule type="expression" dxfId="1177" priority="9">
      <formula>F100&gt;0</formula>
    </cfRule>
    <cfRule type="expression" dxfId="1176" priority="10">
      <formula>F100&lt;0</formula>
    </cfRule>
  </conditionalFormatting>
  <conditionalFormatting sqref="H100:H103">
    <cfRule type="expression" dxfId="1175" priority="7">
      <formula>H100&gt;0</formula>
    </cfRule>
    <cfRule type="expression" dxfId="1174" priority="8">
      <formula>H100&lt;0</formula>
    </cfRule>
  </conditionalFormatting>
  <conditionalFormatting sqref="J102">
    <cfRule type="expression" dxfId="1173" priority="5">
      <formula>J102&gt;0</formula>
    </cfRule>
    <cfRule type="expression" dxfId="1172" priority="6">
      <formula>J102&lt;0</formula>
    </cfRule>
  </conditionalFormatting>
  <conditionalFormatting sqref="Q10">
    <cfRule type="expression" dxfId="1171" priority="3">
      <formula>Q10&gt;0</formula>
    </cfRule>
    <cfRule type="expression" dxfId="1170" priority="4">
      <formula>Q10&lt;0</formula>
    </cfRule>
  </conditionalFormatting>
  <conditionalFormatting sqref="M71">
    <cfRule type="expression" dxfId="1169" priority="1">
      <formula>M71&gt;0</formula>
    </cfRule>
    <cfRule type="expression" dxfId="1168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75.64</v>
      </c>
      <c r="T3" s="1"/>
    </row>
    <row r="4" spans="1:2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75.64</v>
      </c>
      <c r="R4" s="487">
        <v>1.72E-2</v>
      </c>
      <c r="T4" s="159"/>
      <c r="U4" s="1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O10" s="11" t="s">
        <v>209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</row>
    <row r="25" spans="1:13" x14ac:dyDescent="0.25">
      <c r="B25" s="188"/>
      <c r="C25" s="10"/>
      <c r="D25" s="39"/>
      <c r="E25" s="39"/>
      <c r="F25" s="39"/>
      <c r="G25" s="39"/>
      <c r="H25" s="226"/>
      <c r="I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</row>
    <row r="33" spans="1:21" x14ac:dyDescent="0.25">
      <c r="B33" s="188"/>
      <c r="C33" s="10"/>
      <c r="D33" s="39"/>
      <c r="E33" s="39"/>
      <c r="F33" s="39"/>
      <c r="G33" s="39"/>
      <c r="H33" s="226"/>
      <c r="I33" s="231"/>
    </row>
    <row r="34" spans="1:21" x14ac:dyDescent="0.25">
      <c r="B34" s="188"/>
      <c r="C34" s="10"/>
      <c r="D34" s="39"/>
      <c r="E34" s="39"/>
      <c r="F34" s="39"/>
      <c r="G34" s="39"/>
      <c r="H34" s="226"/>
      <c r="I34" s="39"/>
    </row>
    <row r="35" spans="1:21" x14ac:dyDescent="0.25">
      <c r="B35" s="188"/>
      <c r="C35" s="10"/>
      <c r="D35" s="39"/>
      <c r="E35" s="39"/>
      <c r="F35" s="39"/>
      <c r="G35" s="39"/>
      <c r="H35" s="226"/>
      <c r="I35" s="39"/>
    </row>
    <row r="36" spans="1:21" x14ac:dyDescent="0.25">
      <c r="B36" s="188"/>
      <c r="C36" s="10"/>
      <c r="D36" s="39"/>
      <c r="E36" s="39"/>
      <c r="F36" s="39"/>
      <c r="G36" s="39"/>
      <c r="H36" s="226"/>
      <c r="I36" s="39"/>
    </row>
    <row r="37" spans="1:21" x14ac:dyDescent="0.25">
      <c r="B37" s="188"/>
      <c r="C37" s="10"/>
      <c r="D37" s="39"/>
      <c r="E37" s="39"/>
      <c r="F37" s="39"/>
      <c r="G37" s="39"/>
      <c r="H37" s="226"/>
      <c r="I37" s="39"/>
    </row>
    <row r="38" spans="1:21" x14ac:dyDescent="0.25">
      <c r="B38" s="188"/>
      <c r="C38" s="10"/>
      <c r="D38" s="39"/>
      <c r="E38" s="39"/>
      <c r="F38" s="39"/>
      <c r="G38" s="39"/>
      <c r="H38" s="226"/>
      <c r="I38" s="39"/>
    </row>
    <row r="39" spans="1:21" x14ac:dyDescent="0.25">
      <c r="B39" s="188"/>
      <c r="C39" s="10"/>
      <c r="D39" s="39"/>
      <c r="E39" s="39"/>
      <c r="F39" s="39"/>
      <c r="G39" s="39"/>
      <c r="H39" s="226"/>
      <c r="I39" s="39"/>
    </row>
    <row r="40" spans="1:2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4" t="s">
        <v>78</v>
      </c>
      <c r="P40" s="804"/>
    </row>
    <row r="41" spans="1:2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83.204000000000008</v>
      </c>
      <c r="Q41" s="2"/>
    </row>
    <row r="42" spans="1:2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0">O42*$Q$4</f>
        <v>82.447600000000008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81.691200000000009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80.93480000000001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80.178400000000011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79.421999999999997</v>
      </c>
      <c r="Q46" s="2"/>
      <c r="T46" s="91"/>
      <c r="U46" s="127"/>
    </row>
    <row r="47" spans="1:21" x14ac:dyDescent="0.25">
      <c r="A47" s="256" t="s">
        <v>1</v>
      </c>
      <c r="B47" s="256" t="s">
        <v>2</v>
      </c>
      <c r="C47" s="256" t="s">
        <v>4</v>
      </c>
      <c r="D47" s="257" t="s">
        <v>5</v>
      </c>
      <c r="E47" s="257" t="s">
        <v>94</v>
      </c>
      <c r="F47" s="257" t="s">
        <v>60</v>
      </c>
      <c r="G47" s="256" t="s">
        <v>3</v>
      </c>
      <c r="H47" s="256" t="s">
        <v>6</v>
      </c>
      <c r="I47" s="257" t="s">
        <v>7</v>
      </c>
      <c r="J47" s="257" t="s">
        <v>95</v>
      </c>
      <c r="K47" s="257" t="s">
        <v>61</v>
      </c>
      <c r="L47" s="256" t="s">
        <v>37</v>
      </c>
      <c r="M47" s="256" t="s">
        <v>38</v>
      </c>
      <c r="O47" s="81">
        <v>1.04</v>
      </c>
      <c r="P47" s="81">
        <f t="shared" si="0"/>
        <v>78.665599999999998</v>
      </c>
      <c r="Q47" s="2"/>
      <c r="T47" s="91"/>
      <c r="U47" s="127"/>
    </row>
    <row r="48" spans="1:21" x14ac:dyDescent="0.25">
      <c r="A48" s="258" t="s">
        <v>738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4"/>
      <c r="O48" s="81">
        <v>1.03</v>
      </c>
      <c r="P48" s="81">
        <f t="shared" si="0"/>
        <v>77.909199999999998</v>
      </c>
      <c r="Q48" s="2"/>
      <c r="T48" s="91"/>
      <c r="U48" s="127"/>
    </row>
    <row r="49" spans="1:21" x14ac:dyDescent="0.25">
      <c r="A49" s="261" t="s">
        <v>71</v>
      </c>
      <c r="B49" s="259"/>
      <c r="C49" s="254"/>
      <c r="D49" s="255"/>
      <c r="E49" s="255"/>
      <c r="F49" s="255"/>
      <c r="G49" s="259"/>
      <c r="H49" s="260"/>
      <c r="I49" s="255"/>
      <c r="J49" s="255"/>
      <c r="K49" s="255"/>
      <c r="L49" s="254"/>
      <c r="M49" s="254"/>
      <c r="O49" s="81">
        <v>1.02</v>
      </c>
      <c r="P49" s="81">
        <f t="shared" si="0"/>
        <v>77.152799999999999</v>
      </c>
      <c r="Q49" s="2"/>
      <c r="T49" s="91"/>
      <c r="U49" s="127"/>
    </row>
    <row r="50" spans="1:21" x14ac:dyDescent="0.25">
      <c r="A50" s="254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76.3964</v>
      </c>
      <c r="Q50" s="2"/>
      <c r="T50" s="91"/>
      <c r="U50" s="127"/>
    </row>
    <row r="51" spans="1:21" x14ac:dyDescent="0.25">
      <c r="A51" s="254"/>
      <c r="B51" s="259"/>
      <c r="C51" s="254"/>
      <c r="D51" s="255"/>
      <c r="E51" s="255"/>
      <c r="F51" s="255"/>
      <c r="G51" s="254"/>
      <c r="H51" s="260"/>
      <c r="I51" s="255"/>
      <c r="J51" s="255"/>
      <c r="K51" s="255"/>
      <c r="L51" s="254"/>
      <c r="M51" s="254"/>
      <c r="O51" s="81">
        <v>1</v>
      </c>
      <c r="P51" s="81">
        <f t="shared" si="0"/>
        <v>75.64</v>
      </c>
      <c r="Q51" s="2"/>
      <c r="T51" s="91"/>
      <c r="U51" s="127"/>
    </row>
    <row r="52" spans="1:21" x14ac:dyDescent="0.25">
      <c r="A52" s="254"/>
      <c r="B52" s="259"/>
      <c r="C52" s="254"/>
      <c r="D52" s="255"/>
      <c r="E52" s="255"/>
      <c r="F52" s="255"/>
      <c r="G52" s="254"/>
      <c r="H52" s="260"/>
      <c r="I52" s="255"/>
      <c r="J52" s="255"/>
      <c r="K52" s="255"/>
      <c r="L52" s="254"/>
      <c r="M52" s="254"/>
      <c r="O52" s="81">
        <v>0.99</v>
      </c>
      <c r="P52" s="81">
        <f t="shared" si="0"/>
        <v>74.883600000000001</v>
      </c>
      <c r="Q52" s="2"/>
      <c r="T52" s="91"/>
      <c r="U52" s="127"/>
    </row>
    <row r="53" spans="1:21" x14ac:dyDescent="0.25">
      <c r="A53" s="254"/>
      <c r="B53" s="254"/>
      <c r="C53" s="254"/>
      <c r="D53" s="255"/>
      <c r="E53" s="255"/>
      <c r="F53" s="255"/>
      <c r="G53" s="254"/>
      <c r="H53" s="260"/>
      <c r="I53" s="255"/>
      <c r="J53" s="255"/>
      <c r="K53" s="255"/>
      <c r="L53" s="254"/>
      <c r="M53" s="254"/>
      <c r="O53" s="81">
        <v>0.98</v>
      </c>
      <c r="P53" s="81">
        <f t="shared" si="0"/>
        <v>74.127200000000002</v>
      </c>
      <c r="Q53" s="2"/>
      <c r="T53" s="91"/>
      <c r="U53" s="128"/>
    </row>
    <row r="54" spans="1:21" x14ac:dyDescent="0.25">
      <c r="A54" s="254"/>
      <c r="B54" s="254"/>
      <c r="C54" s="254"/>
      <c r="D54" s="255"/>
      <c r="E54" s="255"/>
      <c r="F54" s="255"/>
      <c r="G54" s="254"/>
      <c r="H54" s="260"/>
      <c r="I54" s="255"/>
      <c r="J54" s="255"/>
      <c r="K54" s="255"/>
      <c r="L54" s="254"/>
      <c r="M54" s="254"/>
      <c r="O54" s="81">
        <v>0.97</v>
      </c>
      <c r="P54" s="81">
        <f t="shared" si="0"/>
        <v>73.370800000000003</v>
      </c>
      <c r="T54" s="91"/>
      <c r="U54" s="128"/>
    </row>
    <row r="55" spans="1:21" x14ac:dyDescent="0.25">
      <c r="A55" s="254"/>
      <c r="B55" s="254"/>
      <c r="C55" s="254"/>
      <c r="D55" s="255"/>
      <c r="E55" s="255"/>
      <c r="F55" s="255"/>
      <c r="G55" s="254"/>
      <c r="H55" s="260"/>
      <c r="I55" s="255"/>
      <c r="J55" s="255"/>
      <c r="K55" s="255"/>
      <c r="L55" s="254"/>
      <c r="M55" s="254"/>
      <c r="O55" s="81">
        <v>0.96</v>
      </c>
      <c r="P55" s="81">
        <f t="shared" si="0"/>
        <v>72.614400000000003</v>
      </c>
      <c r="T55" s="91"/>
      <c r="U55" s="127"/>
    </row>
    <row r="56" spans="1:21" x14ac:dyDescent="0.25">
      <c r="A56" s="254"/>
      <c r="B56" s="254"/>
      <c r="C56" s="254"/>
      <c r="D56" s="255"/>
      <c r="E56" s="255"/>
      <c r="F56" s="255"/>
      <c r="G56" s="254"/>
      <c r="H56" s="260"/>
      <c r="I56" s="255"/>
      <c r="J56" s="255"/>
      <c r="K56" s="255"/>
      <c r="L56" s="254"/>
      <c r="M56" s="254"/>
      <c r="O56" s="81">
        <v>0.95</v>
      </c>
      <c r="P56" s="81">
        <f t="shared" si="0"/>
        <v>71.858000000000004</v>
      </c>
      <c r="T56" s="91"/>
      <c r="U56" s="127"/>
    </row>
    <row r="57" spans="1:21" x14ac:dyDescent="0.25">
      <c r="A57" s="254"/>
      <c r="B57" s="254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0"/>
        <v>71.101599999999991</v>
      </c>
      <c r="T57" s="91"/>
      <c r="U57" s="127"/>
    </row>
    <row r="58" spans="1:21" x14ac:dyDescent="0.25">
      <c r="A58" s="254"/>
      <c r="B58" s="254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0"/>
        <v>70.345200000000006</v>
      </c>
      <c r="T58" s="91"/>
      <c r="U58" s="127"/>
    </row>
    <row r="59" spans="1:21" x14ac:dyDescent="0.25">
      <c r="A59" s="254"/>
      <c r="B59" s="254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0"/>
        <v>69.588800000000006</v>
      </c>
    </row>
    <row r="60" spans="1:2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0"/>
        <v>68.832400000000007</v>
      </c>
    </row>
    <row r="61" spans="1:2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0"/>
        <v>68.076000000000008</v>
      </c>
    </row>
    <row r="62" spans="1:2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</row>
    <row r="63" spans="1:21" x14ac:dyDescent="0.25">
      <c r="A63" s="254"/>
      <c r="B63" s="254"/>
      <c r="C63" s="254"/>
      <c r="D63" s="255"/>
      <c r="E63" s="255"/>
      <c r="F63" s="255"/>
      <c r="G63" s="254"/>
      <c r="H63" s="254"/>
      <c r="I63" s="255"/>
      <c r="J63" s="255"/>
      <c r="K63" s="255"/>
      <c r="L63" s="254"/>
      <c r="M63" s="254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50" t="s">
        <v>194</v>
      </c>
      <c r="B65" s="451"/>
      <c r="C65" s="452">
        <f>SumByColor($A$19,C48:C63)</f>
        <v>0</v>
      </c>
      <c r="D65" s="452"/>
      <c r="E65" s="452"/>
      <c r="F65" s="453">
        <f>SumByColor($A$19,F48:F63)</f>
        <v>0</v>
      </c>
      <c r="G65" s="452"/>
      <c r="H65" s="452">
        <f>SumByColor($A$19,H48:H63)</f>
        <v>0</v>
      </c>
      <c r="I65" s="452"/>
      <c r="J65" s="452"/>
      <c r="K65" s="453">
        <f>SumByColor($A$19,K48:K63)</f>
        <v>0</v>
      </c>
      <c r="L65" s="452"/>
      <c r="M65" s="453">
        <f>SumByColor($A$19,M48:M63)</f>
        <v>0</v>
      </c>
    </row>
    <row r="69" spans="1:13" x14ac:dyDescent="0.25">
      <c r="B69" s="498" t="s">
        <v>113</v>
      </c>
      <c r="C69" s="498" t="s">
        <v>146</v>
      </c>
      <c r="D69" s="499" t="s">
        <v>145</v>
      </c>
      <c r="E69" s="500" t="s">
        <v>147</v>
      </c>
      <c r="F69" s="500" t="s">
        <v>65</v>
      </c>
      <c r="G69" s="502" t="s">
        <v>151</v>
      </c>
      <c r="H69" s="502" t="s">
        <v>88</v>
      </c>
      <c r="I69" s="502" t="s">
        <v>154</v>
      </c>
    </row>
    <row r="70" spans="1:13" x14ac:dyDescent="0.25">
      <c r="B70" s="188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6">
        <f>(E70-D70)/D70</f>
        <v>6.8886337543052484E-3</v>
      </c>
      <c r="I70" s="39"/>
    </row>
    <row r="71" spans="1:13" x14ac:dyDescent="0.25">
      <c r="B71" s="188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6">
        <f>(E71-D71)/D71</f>
        <v>3.8174512055109015E-2</v>
      </c>
      <c r="I71" s="39"/>
    </row>
    <row r="72" spans="1:13" x14ac:dyDescent="0.25">
      <c r="B72" s="188">
        <v>42997</v>
      </c>
      <c r="C72" s="10">
        <v>0</v>
      </c>
      <c r="D72" s="39"/>
      <c r="E72" s="39"/>
      <c r="F72" s="39">
        <v>125.93</v>
      </c>
      <c r="G72" s="39"/>
      <c r="H72" s="226"/>
      <c r="I72" s="39"/>
    </row>
    <row r="73" spans="1:13" x14ac:dyDescent="0.25">
      <c r="B73" s="370"/>
      <c r="C73" s="371"/>
      <c r="D73" s="372"/>
      <c r="E73" s="372"/>
      <c r="F73" s="372"/>
      <c r="G73" s="372"/>
      <c r="H73" s="373"/>
      <c r="I73" s="372"/>
    </row>
    <row r="74" spans="1:13" x14ac:dyDescent="0.25">
      <c r="B74" s="188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6">
        <f>(E74-D74)/D74</f>
        <v>3.7422037422036869E-3</v>
      </c>
      <c r="I74" s="39"/>
    </row>
    <row r="75" spans="1:13" x14ac:dyDescent="0.25">
      <c r="B75" s="188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6">
        <f>(E75-D75)/D75</f>
        <v>4.8895075691665055E-2</v>
      </c>
      <c r="I75" s="39"/>
    </row>
    <row r="76" spans="1:13" x14ac:dyDescent="0.25">
      <c r="B76" s="188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6"/>
      <c r="I76" s="39"/>
    </row>
    <row r="77" spans="1:13" x14ac:dyDescent="0.25">
      <c r="B77" s="370"/>
      <c r="C77" s="371"/>
      <c r="D77" s="372"/>
      <c r="E77" s="372"/>
      <c r="F77" s="372"/>
      <c r="G77" s="372"/>
      <c r="H77" s="373"/>
      <c r="I77" s="372"/>
    </row>
    <row r="78" spans="1:13" x14ac:dyDescent="0.25">
      <c r="B78" s="370"/>
      <c r="C78" s="371"/>
      <c r="D78" s="372"/>
      <c r="E78" s="372"/>
      <c r="F78" s="372"/>
      <c r="G78" s="372"/>
      <c r="H78" s="373"/>
      <c r="I78" s="454"/>
    </row>
    <row r="79" spans="1:13" x14ac:dyDescent="0.25">
      <c r="B79" s="370"/>
      <c r="C79" s="371"/>
      <c r="D79" s="372"/>
      <c r="E79" s="372"/>
      <c r="F79" s="372"/>
      <c r="G79" s="372"/>
      <c r="H79" s="373"/>
      <c r="I79" s="372"/>
    </row>
    <row r="80" spans="1:13" x14ac:dyDescent="0.25">
      <c r="B80" s="370"/>
      <c r="C80" s="371"/>
      <c r="D80" s="372"/>
      <c r="E80" s="372"/>
      <c r="F80" s="372"/>
      <c r="G80" s="372"/>
      <c r="H80" s="373"/>
      <c r="I80" s="372"/>
    </row>
    <row r="81" spans="2:9" x14ac:dyDescent="0.25">
      <c r="B81" s="370"/>
      <c r="C81" s="371"/>
      <c r="D81" s="372"/>
      <c r="E81" s="372"/>
      <c r="F81" s="372"/>
      <c r="G81" s="372"/>
      <c r="H81" s="373"/>
      <c r="I81" s="372"/>
    </row>
    <row r="82" spans="2:9" x14ac:dyDescent="0.25">
      <c r="B82" s="370"/>
      <c r="C82" s="371"/>
      <c r="D82" s="372"/>
      <c r="E82" s="372"/>
      <c r="F82" s="372"/>
      <c r="G82" s="372"/>
      <c r="H82" s="373"/>
      <c r="I82" s="372"/>
    </row>
    <row r="83" spans="2:9" x14ac:dyDescent="0.25">
      <c r="B83" s="370"/>
      <c r="C83" s="371"/>
      <c r="D83" s="372"/>
      <c r="E83" s="372"/>
      <c r="F83" s="372"/>
      <c r="G83" s="372"/>
      <c r="H83" s="373"/>
      <c r="I83" s="372"/>
    </row>
    <row r="84" spans="2:9" x14ac:dyDescent="0.25">
      <c r="B84" s="370"/>
      <c r="C84" s="371"/>
      <c r="D84" s="372"/>
      <c r="E84" s="372"/>
      <c r="F84" s="372"/>
      <c r="G84" s="372"/>
      <c r="H84" s="373"/>
      <c r="I84" s="372"/>
    </row>
    <row r="85" spans="2:9" x14ac:dyDescent="0.25">
      <c r="B85" s="370"/>
      <c r="C85" s="371"/>
      <c r="D85" s="372"/>
      <c r="E85" s="372"/>
      <c r="F85" s="372"/>
      <c r="G85" s="372"/>
      <c r="H85" s="373"/>
      <c r="I85" s="372"/>
    </row>
    <row r="86" spans="2:9" x14ac:dyDescent="0.25">
      <c r="B86" s="370"/>
      <c r="C86" s="371"/>
      <c r="D86" s="372"/>
      <c r="E86" s="372"/>
      <c r="F86" s="372"/>
      <c r="G86" s="372"/>
      <c r="H86" s="373"/>
      <c r="I86" s="372"/>
    </row>
    <row r="87" spans="2:9" x14ac:dyDescent="0.25">
      <c r="B87" s="370"/>
      <c r="C87" s="371"/>
      <c r="D87" s="372"/>
      <c r="E87" s="372"/>
      <c r="F87" s="372"/>
      <c r="G87" s="372"/>
      <c r="H87" s="373"/>
      <c r="I87" s="372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167" priority="33">
      <formula>F34&gt;0</formula>
    </cfRule>
    <cfRule type="expression" dxfId="1166" priority="34">
      <formula>F34&lt;0</formula>
    </cfRule>
  </conditionalFormatting>
  <conditionalFormatting sqref="Q7">
    <cfRule type="expression" dxfId="1165" priority="31">
      <formula>Q7&gt;0</formula>
    </cfRule>
    <cfRule type="expression" dxfId="1164" priority="32">
      <formula>Q7&lt;0</formula>
    </cfRule>
  </conditionalFormatting>
  <conditionalFormatting sqref="Q8">
    <cfRule type="expression" dxfId="1163" priority="29">
      <formula>Q8&gt;0</formula>
    </cfRule>
    <cfRule type="expression" dxfId="1162" priority="30">
      <formula>Q8&lt;0</formula>
    </cfRule>
  </conditionalFormatting>
  <conditionalFormatting sqref="F27:F33">
    <cfRule type="expression" dxfId="1161" priority="27">
      <formula>F27&gt;0</formula>
    </cfRule>
    <cfRule type="expression" dxfId="1160" priority="28">
      <formula>F27&lt;0</formula>
    </cfRule>
  </conditionalFormatting>
  <conditionalFormatting sqref="H27:H33">
    <cfRule type="expression" dxfId="1159" priority="25">
      <formula>H27&gt;0</formula>
    </cfRule>
    <cfRule type="expression" dxfId="1158" priority="26">
      <formula>H27&lt;0</formula>
    </cfRule>
  </conditionalFormatting>
  <conditionalFormatting sqref="M46">
    <cfRule type="expression" dxfId="1157" priority="23">
      <formula>M46&gt;0</formula>
    </cfRule>
    <cfRule type="expression" dxfId="1156" priority="24">
      <formula>M46&lt;0</formula>
    </cfRule>
  </conditionalFormatting>
  <conditionalFormatting sqref="F79:F87 H79:H87">
    <cfRule type="expression" dxfId="1155" priority="21">
      <formula>F79&gt;0</formula>
    </cfRule>
    <cfRule type="expression" dxfId="1154" priority="22">
      <formula>F79&lt;0</formula>
    </cfRule>
  </conditionalFormatting>
  <conditionalFormatting sqref="F73 F77:F78">
    <cfRule type="expression" dxfId="1153" priority="19">
      <formula>F73&gt;0</formula>
    </cfRule>
    <cfRule type="expression" dxfId="1152" priority="20">
      <formula>F73&lt;0</formula>
    </cfRule>
  </conditionalFormatting>
  <conditionalFormatting sqref="H73 H77:H78">
    <cfRule type="expression" dxfId="1151" priority="17">
      <formula>H73&gt;0</formula>
    </cfRule>
    <cfRule type="expression" dxfId="1150" priority="18">
      <formula>H73&lt;0</formula>
    </cfRule>
  </conditionalFormatting>
  <conditionalFormatting sqref="F70:F72">
    <cfRule type="expression" dxfId="1149" priority="15">
      <formula>F70&gt;0</formula>
    </cfRule>
    <cfRule type="expression" dxfId="1148" priority="16">
      <formula>F70&lt;0</formula>
    </cfRule>
  </conditionalFormatting>
  <conditionalFormatting sqref="H70:H72">
    <cfRule type="expression" dxfId="1147" priority="13">
      <formula>H70&gt;0</formula>
    </cfRule>
    <cfRule type="expression" dxfId="1146" priority="14">
      <formula>H70&lt;0</formula>
    </cfRule>
  </conditionalFormatting>
  <conditionalFormatting sqref="F25:F26">
    <cfRule type="expression" dxfId="1145" priority="11">
      <formula>F25&gt;0</formula>
    </cfRule>
    <cfRule type="expression" dxfId="1144" priority="12">
      <formula>F25&lt;0</formula>
    </cfRule>
  </conditionalFormatting>
  <conditionalFormatting sqref="H25:H26">
    <cfRule type="expression" dxfId="1143" priority="9">
      <formula>H25&gt;0</formula>
    </cfRule>
    <cfRule type="expression" dxfId="1142" priority="10">
      <formula>H25&lt;0</formula>
    </cfRule>
  </conditionalFormatting>
  <conditionalFormatting sqref="F76">
    <cfRule type="expression" dxfId="1141" priority="7">
      <formula>F76&gt;0</formula>
    </cfRule>
    <cfRule type="expression" dxfId="1140" priority="8">
      <formula>F76&lt;0</formula>
    </cfRule>
  </conditionalFormatting>
  <conditionalFormatting sqref="H76">
    <cfRule type="expression" dxfId="1139" priority="5">
      <formula>H76&gt;0</formula>
    </cfRule>
    <cfRule type="expression" dxfId="1138" priority="6">
      <formula>H76&lt;0</formula>
    </cfRule>
  </conditionalFormatting>
  <conditionalFormatting sqref="F74:F75">
    <cfRule type="expression" dxfId="1137" priority="3">
      <formula>F74&gt;0</formula>
    </cfRule>
    <cfRule type="expression" dxfId="1136" priority="4">
      <formula>F74&lt;0</formula>
    </cfRule>
  </conditionalFormatting>
  <conditionalFormatting sqref="H74:H75">
    <cfRule type="expression" dxfId="1135" priority="1">
      <formula>H74&gt;0</formula>
    </cfRule>
    <cfRule type="expression" dxfId="1134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3.7109375" customWidth="1"/>
    <col min="21" max="21" width="70.28515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786</v>
      </c>
      <c r="B2" s="445">
        <v>42997</v>
      </c>
      <c r="C2" s="4">
        <v>50</v>
      </c>
      <c r="D2" s="3">
        <v>81.08</v>
      </c>
      <c r="E2" s="3">
        <v>0</v>
      </c>
      <c r="F2" s="3">
        <f t="shared" ref="F2:F11" si="0">C2*D2+E2</f>
        <v>4054</v>
      </c>
      <c r="G2" s="445">
        <v>43040</v>
      </c>
      <c r="H2" s="7">
        <v>100</v>
      </c>
      <c r="I2" s="43">
        <v>67.48</v>
      </c>
      <c r="J2" s="43">
        <v>0.16</v>
      </c>
      <c r="K2" s="43">
        <f>H2*I2-J2</f>
        <v>6747.84</v>
      </c>
      <c r="L2" s="72">
        <v>43082</v>
      </c>
      <c r="M2" s="43">
        <v>80</v>
      </c>
      <c r="O2" s="11" t="s">
        <v>57</v>
      </c>
      <c r="Q2">
        <f>C18-H18</f>
        <v>150</v>
      </c>
      <c r="T2" s="1">
        <v>43114</v>
      </c>
      <c r="U2" t="s">
        <v>947</v>
      </c>
      <c r="V2" s="134"/>
    </row>
    <row r="3" spans="1:22" x14ac:dyDescent="0.25">
      <c r="A3" s="22" t="s">
        <v>71</v>
      </c>
      <c r="B3" s="445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45">
        <v>43052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70.04340000000002</v>
      </c>
      <c r="T3" s="1"/>
      <c r="U3" t="s">
        <v>948</v>
      </c>
      <c r="V3" s="134"/>
    </row>
    <row r="4" spans="1:22" x14ac:dyDescent="0.25">
      <c r="B4" s="445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45">
        <v>43069</v>
      </c>
      <c r="H4" s="80">
        <v>50</v>
      </c>
      <c r="I4" s="43">
        <v>72.48</v>
      </c>
      <c r="J4" s="43">
        <v>0.08</v>
      </c>
      <c r="K4" s="43">
        <f>H4*I4-J4</f>
        <v>3623.92</v>
      </c>
      <c r="L4" s="4"/>
      <c r="M4" s="4"/>
      <c r="O4" s="11" t="s">
        <v>66</v>
      </c>
      <c r="Q4" s="54">
        <v>68.459999999999994</v>
      </c>
      <c r="R4" s="509">
        <v>3.5000000000000001E-3</v>
      </c>
      <c r="T4" s="159"/>
      <c r="U4" s="1"/>
      <c r="V4" s="134"/>
    </row>
    <row r="5" spans="1:22" x14ac:dyDescent="0.25">
      <c r="B5" s="445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45">
        <v>43090</v>
      </c>
      <c r="H5" s="80">
        <v>100</v>
      </c>
      <c r="I5" s="43">
        <v>73.41</v>
      </c>
      <c r="J5" s="43">
        <v>0.17</v>
      </c>
      <c r="K5" s="43">
        <f>H5*I5-J5</f>
        <v>7340.83</v>
      </c>
      <c r="L5" s="4"/>
      <c r="M5" s="4"/>
      <c r="O5" s="11" t="s">
        <v>67</v>
      </c>
      <c r="Q5" s="3">
        <f>Q4*Q2</f>
        <v>10268.999999999998</v>
      </c>
      <c r="V5" s="134"/>
    </row>
    <row r="6" spans="1:22" x14ac:dyDescent="0.25">
      <c r="B6" s="445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45">
        <v>43105</v>
      </c>
      <c r="H6" s="80">
        <v>50</v>
      </c>
      <c r="I6" s="43">
        <v>72.62</v>
      </c>
      <c r="J6" s="43">
        <v>0.08</v>
      </c>
      <c r="K6" s="43">
        <f>H6*I6-J6</f>
        <v>3630.92</v>
      </c>
      <c r="L6" s="4"/>
      <c r="M6" s="4"/>
      <c r="O6" s="11" t="s">
        <v>64</v>
      </c>
      <c r="Q6" s="2">
        <f>Q3*Q2</f>
        <v>10506.510000000002</v>
      </c>
      <c r="V6" s="134"/>
    </row>
    <row r="7" spans="1:22" x14ac:dyDescent="0.25">
      <c r="B7" s="445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-237.51000000000386</v>
      </c>
      <c r="R7">
        <v>50</v>
      </c>
      <c r="V7" s="134"/>
    </row>
    <row r="8" spans="1:22" x14ac:dyDescent="0.25">
      <c r="B8" s="445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-237.51000000000386</v>
      </c>
      <c r="V8" s="134"/>
    </row>
    <row r="9" spans="1:22" x14ac:dyDescent="0.25">
      <c r="B9" s="72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-2.2605984289740724E-2</v>
      </c>
      <c r="V9" s="134"/>
    </row>
    <row r="10" spans="1:22" x14ac:dyDescent="0.25">
      <c r="B10" s="486">
        <v>43136</v>
      </c>
      <c r="C10" s="4">
        <v>50</v>
      </c>
      <c r="D10" s="3">
        <v>70.17</v>
      </c>
      <c r="E10" s="3">
        <v>-0.06</v>
      </c>
      <c r="F10" s="3">
        <f t="shared" si="0"/>
        <v>3508.44</v>
      </c>
      <c r="H10" s="70"/>
      <c r="O10" s="11" t="s">
        <v>209</v>
      </c>
      <c r="P10" s="33"/>
      <c r="Q10" s="2">
        <f>M66</f>
        <v>0</v>
      </c>
      <c r="V10" s="134"/>
    </row>
    <row r="11" spans="1:22" x14ac:dyDescent="0.25">
      <c r="B11" s="486">
        <v>43139</v>
      </c>
      <c r="C11" s="4">
        <v>50</v>
      </c>
      <c r="D11" s="2">
        <v>68.48</v>
      </c>
      <c r="E11" s="2">
        <v>0</v>
      </c>
      <c r="F11" s="2">
        <f t="shared" si="0"/>
        <v>3424</v>
      </c>
      <c r="H11" s="70"/>
      <c r="O11" s="11" t="s">
        <v>176</v>
      </c>
      <c r="P11" s="33"/>
      <c r="Q11" s="134">
        <f>R11*4/Q4</f>
        <v>2.3371311714869999E-2</v>
      </c>
      <c r="R11">
        <f>0.4</f>
        <v>0.4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SUM(C2:C11)</f>
        <v>500</v>
      </c>
      <c r="D18" s="18"/>
      <c r="E18" s="18"/>
      <c r="F18" s="18">
        <f>SUM(F2:F11)</f>
        <v>35593.94</v>
      </c>
      <c r="G18" s="14"/>
      <c r="H18" s="71">
        <f>SUM(H2:H7)</f>
        <v>350</v>
      </c>
      <c r="I18" s="18"/>
      <c r="J18" s="18"/>
      <c r="K18" s="18">
        <f>SUM(K2:K7)</f>
        <v>25007.43</v>
      </c>
      <c r="L18" s="14"/>
      <c r="M18" s="18">
        <f>SUM(M2:M10)</f>
        <v>80</v>
      </c>
      <c r="V18" s="134"/>
    </row>
    <row r="19" spans="1:22" ht="15.75" thickBot="1" x14ac:dyDescent="0.3">
      <c r="A19" s="347" t="s">
        <v>194</v>
      </c>
      <c r="B19" s="348"/>
      <c r="C19" s="349">
        <f>SumByColor($A$19,C2:C17)</f>
        <v>350</v>
      </c>
      <c r="D19" s="349"/>
      <c r="E19" s="349"/>
      <c r="F19" s="350">
        <f>SumByColor($A$19,F2:F17)</f>
        <v>24608</v>
      </c>
      <c r="G19" s="349"/>
      <c r="H19" s="349">
        <f>SumByColor($A$19,H2:H17)</f>
        <v>350</v>
      </c>
      <c r="I19" s="349"/>
      <c r="J19" s="349"/>
      <c r="K19" s="350">
        <f>SumByColor($A$19,K2:K17)</f>
        <v>25008</v>
      </c>
      <c r="L19" s="349"/>
      <c r="M19" s="350">
        <f>SumByColor($A$19,M2:M17)</f>
        <v>80</v>
      </c>
      <c r="V19" s="134"/>
    </row>
    <row r="20" spans="1:22" x14ac:dyDescent="0.25">
      <c r="V20" s="134"/>
    </row>
    <row r="21" spans="1:22" x14ac:dyDescent="0.25">
      <c r="V21" s="134"/>
    </row>
    <row r="22" spans="1:22" x14ac:dyDescent="0.25">
      <c r="V22" s="134"/>
    </row>
    <row r="23" spans="1:22" x14ac:dyDescent="0.25">
      <c r="V23" s="134"/>
    </row>
    <row r="24" spans="1:22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514</v>
      </c>
      <c r="V24" s="134"/>
    </row>
    <row r="25" spans="1:22" x14ac:dyDescent="0.25">
      <c r="B25" s="188">
        <v>42997</v>
      </c>
      <c r="C25" s="10">
        <v>50</v>
      </c>
      <c r="D25" s="39">
        <v>81.08</v>
      </c>
      <c r="E25" s="39">
        <v>81.209999999999994</v>
      </c>
      <c r="F25" s="39">
        <f t="shared" ref="F25" si="1">C25*(E25-D25)</f>
        <v>6.4999999999997726</v>
      </c>
      <c r="G25" s="39">
        <f t="shared" ref="G25" si="2">D25*C25</f>
        <v>4054</v>
      </c>
      <c r="H25" s="226">
        <f t="shared" ref="H25" si="3">(E25-D25)/D25</f>
        <v>1.6033547113960959E-3</v>
      </c>
      <c r="I25" s="197">
        <v>80.5</v>
      </c>
      <c r="J25" s="39"/>
      <c r="K25" s="39"/>
      <c r="L25" s="39"/>
      <c r="V25" s="134"/>
    </row>
    <row r="26" spans="1:22" x14ac:dyDescent="0.25">
      <c r="A26" s="1">
        <v>43028</v>
      </c>
      <c r="B26" s="188">
        <v>43014</v>
      </c>
      <c r="C26" s="10">
        <v>100</v>
      </c>
      <c r="D26" s="39">
        <v>78.180000000000007</v>
      </c>
      <c r="E26" s="39">
        <v>75.86</v>
      </c>
      <c r="F26" s="39">
        <f t="shared" ref="F26" si="4">C26*(E26-D26)</f>
        <v>-232.00000000000074</v>
      </c>
      <c r="G26" s="39">
        <f t="shared" ref="G26" si="5">D26*C26</f>
        <v>7818.0000000000009</v>
      </c>
      <c r="H26" s="226">
        <f t="shared" ref="H26" si="6">(E26-D26)/D26</f>
        <v>-2.9675108723458778E-2</v>
      </c>
      <c r="I26" s="197">
        <v>78</v>
      </c>
      <c r="J26" s="39"/>
      <c r="K26" s="39"/>
      <c r="L26" s="39"/>
      <c r="V26" s="134"/>
    </row>
    <row r="27" spans="1:22" x14ac:dyDescent="0.25">
      <c r="A27" s="1">
        <v>43028</v>
      </c>
      <c r="B27" s="188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7">C27*(E27-D27)</f>
        <v>-499.9949999999991</v>
      </c>
      <c r="G27" s="39">
        <f t="shared" ref="G27" si="8">D27*C27</f>
        <v>11476.995000000001</v>
      </c>
      <c r="H27" s="226">
        <f t="shared" ref="H27" si="9">(E27-D27)/D27</f>
        <v>-4.3564974978206328E-2</v>
      </c>
      <c r="I27" s="197">
        <v>76</v>
      </c>
      <c r="J27" s="39"/>
      <c r="K27" s="39"/>
      <c r="L27" s="158"/>
      <c r="V27" s="134"/>
    </row>
    <row r="28" spans="1:22" x14ac:dyDescent="0.25">
      <c r="A28" s="1">
        <v>43028</v>
      </c>
      <c r="B28" s="188">
        <v>43017</v>
      </c>
      <c r="C28" s="10">
        <v>200</v>
      </c>
      <c r="D28" s="39">
        <v>75.23</v>
      </c>
      <c r="E28" s="39">
        <v>70.87</v>
      </c>
      <c r="F28" s="39">
        <f t="shared" ref="F28" si="10">C28*(E28-D28)</f>
        <v>-871.99999999999989</v>
      </c>
      <c r="G28" s="39">
        <f t="shared" ref="G28" si="11">D28*C28</f>
        <v>15046</v>
      </c>
      <c r="H28" s="226">
        <f t="shared" ref="H28" si="12">(E28-D28)/D28</f>
        <v>-5.7955602818024712E-2</v>
      </c>
      <c r="I28" s="197">
        <v>75</v>
      </c>
      <c r="J28" s="39"/>
      <c r="K28" s="39"/>
      <c r="L28" s="158"/>
      <c r="V28" s="134"/>
    </row>
    <row r="29" spans="1:22" x14ac:dyDescent="0.25">
      <c r="B29" s="188">
        <v>43018</v>
      </c>
      <c r="C29" s="10">
        <v>200</v>
      </c>
      <c r="D29" s="39">
        <v>75.23</v>
      </c>
      <c r="E29" s="39">
        <v>70.87</v>
      </c>
      <c r="F29" s="39">
        <f t="shared" ref="F29" si="13">C29*(E29-D29)</f>
        <v>-871.99999999999989</v>
      </c>
      <c r="G29" s="39">
        <f t="shared" ref="G29" si="14">D29*C29</f>
        <v>15046</v>
      </c>
      <c r="H29" s="226">
        <f t="shared" ref="H29" si="15">(E29-D29)/D29</f>
        <v>-5.7955602818024712E-2</v>
      </c>
      <c r="I29" s="197"/>
      <c r="J29" s="39"/>
      <c r="K29" s="39"/>
      <c r="L29" s="744"/>
      <c r="V29" s="134"/>
    </row>
    <row r="30" spans="1:22" x14ac:dyDescent="0.25">
      <c r="B30" s="188">
        <v>43023</v>
      </c>
      <c r="C30" s="10">
        <v>200</v>
      </c>
      <c r="D30" s="39">
        <v>75.23</v>
      </c>
      <c r="E30" s="39">
        <v>67.56</v>
      </c>
      <c r="F30" s="39">
        <f t="shared" ref="F30:F40" si="16">C30*(E30-D30)</f>
        <v>-1534.0000000000005</v>
      </c>
      <c r="G30" s="39">
        <f t="shared" ref="G30:G40" si="17">D30*C30</f>
        <v>15046</v>
      </c>
      <c r="H30" s="226">
        <f t="shared" ref="H30:H40" si="18">(E30-D30)/D30</f>
        <v>-0.10195400770969031</v>
      </c>
      <c r="I30" s="197"/>
      <c r="J30" s="39"/>
      <c r="K30" s="39"/>
      <c r="L30" s="744">
        <v>15.91</v>
      </c>
      <c r="V30" s="134"/>
    </row>
    <row r="31" spans="1:22" x14ac:dyDescent="0.25">
      <c r="B31" s="188">
        <v>43032</v>
      </c>
      <c r="C31" s="10">
        <v>250</v>
      </c>
      <c r="D31" s="39">
        <v>73.64</v>
      </c>
      <c r="E31" s="39">
        <v>67.290000000000006</v>
      </c>
      <c r="F31" s="39">
        <f t="shared" si="16"/>
        <v>-1587.4999999999986</v>
      </c>
      <c r="G31" s="39">
        <f t="shared" si="17"/>
        <v>18410</v>
      </c>
      <c r="H31" s="226">
        <f t="shared" si="18"/>
        <v>-8.6230309614339959E-2</v>
      </c>
      <c r="I31" s="197">
        <v>73.2</v>
      </c>
      <c r="J31" s="39"/>
      <c r="K31" s="39"/>
      <c r="L31" s="744"/>
      <c r="V31" s="134"/>
    </row>
    <row r="32" spans="1:22" x14ac:dyDescent="0.25">
      <c r="B32" s="188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6"/>
        <v>-2364.9899999999975</v>
      </c>
      <c r="G32" s="39">
        <f t="shared" si="17"/>
        <v>21618.989999999998</v>
      </c>
      <c r="H32" s="226">
        <f t="shared" si="18"/>
        <v>-0.10939410212965534</v>
      </c>
      <c r="I32" s="197">
        <v>71.5</v>
      </c>
      <c r="J32" s="39"/>
      <c r="K32" s="39"/>
      <c r="L32" s="744"/>
      <c r="V32" s="134"/>
    </row>
    <row r="33" spans="1:22" x14ac:dyDescent="0.25">
      <c r="A33" s="29"/>
      <c r="B33" s="188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6"/>
        <v>-1469.1599999999994</v>
      </c>
      <c r="G33" s="39">
        <f t="shared" si="17"/>
        <v>14871.16</v>
      </c>
      <c r="H33" s="226">
        <f t="shared" si="18"/>
        <v>-9.8792562248002133E-2</v>
      </c>
      <c r="I33" s="197" t="s">
        <v>817</v>
      </c>
      <c r="J33" s="39"/>
      <c r="K33" s="39"/>
      <c r="L33" s="744"/>
      <c r="V33" s="134"/>
    </row>
    <row r="34" spans="1:22" x14ac:dyDescent="0.25">
      <c r="B34" s="188">
        <v>43052</v>
      </c>
      <c r="C34" s="7">
        <v>150</v>
      </c>
      <c r="D34" s="43">
        <v>74.7149</v>
      </c>
      <c r="E34" s="39">
        <v>70.459999999999994</v>
      </c>
      <c r="F34" s="39">
        <f t="shared" si="16"/>
        <v>-638.23500000000092</v>
      </c>
      <c r="G34" s="39">
        <f t="shared" si="17"/>
        <v>11207.235000000001</v>
      </c>
      <c r="H34" s="226">
        <f t="shared" si="18"/>
        <v>-5.6948480155899379E-2</v>
      </c>
      <c r="I34" s="197" t="s">
        <v>819</v>
      </c>
      <c r="J34" s="39"/>
      <c r="K34" s="39"/>
      <c r="L34" s="744"/>
      <c r="V34" s="134"/>
    </row>
    <row r="35" spans="1:22" x14ac:dyDescent="0.25">
      <c r="B35" s="188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6"/>
        <v>-571.24000000000024</v>
      </c>
      <c r="G35" s="39">
        <f t="shared" si="17"/>
        <v>14701.240000000002</v>
      </c>
      <c r="H35" s="226">
        <f t="shared" si="18"/>
        <v>-3.885658624714651E-2</v>
      </c>
      <c r="I35" s="39"/>
      <c r="J35" s="39"/>
      <c r="K35" s="39"/>
      <c r="L35" s="744"/>
      <c r="V35" s="134"/>
    </row>
    <row r="36" spans="1:22" x14ac:dyDescent="0.25">
      <c r="A36">
        <v>100</v>
      </c>
      <c r="B36" s="188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6"/>
        <v>-163.3199999999988</v>
      </c>
      <c r="G36" s="39">
        <f t="shared" si="17"/>
        <v>11077.32</v>
      </c>
      <c r="H36" s="226">
        <f t="shared" si="18"/>
        <v>-1.4743638352958912E-2</v>
      </c>
      <c r="I36" s="197" t="s">
        <v>824</v>
      </c>
      <c r="J36" s="39"/>
      <c r="K36" s="39"/>
      <c r="L36" s="744"/>
      <c r="V36" s="134"/>
    </row>
    <row r="37" spans="1:22" x14ac:dyDescent="0.25">
      <c r="A37">
        <v>100</v>
      </c>
      <c r="B37" s="188">
        <v>43082</v>
      </c>
      <c r="C37" s="7">
        <v>150</v>
      </c>
      <c r="D37" s="43">
        <v>73.3155</v>
      </c>
      <c r="E37" s="39">
        <v>71.72</v>
      </c>
      <c r="F37" s="39">
        <f t="shared" si="16"/>
        <v>-239.32500000000019</v>
      </c>
      <c r="G37" s="39">
        <f t="shared" si="17"/>
        <v>10997.325000000001</v>
      </c>
      <c r="H37" s="226">
        <f t="shared" si="18"/>
        <v>-2.1762110331376056E-2</v>
      </c>
      <c r="I37" s="39" t="s">
        <v>829</v>
      </c>
      <c r="J37" s="39"/>
      <c r="K37" s="39"/>
      <c r="L37" s="39"/>
      <c r="V37" s="134"/>
    </row>
    <row r="38" spans="1:22" x14ac:dyDescent="0.25">
      <c r="A38">
        <v>0</v>
      </c>
      <c r="B38" s="188">
        <v>43090</v>
      </c>
      <c r="C38" s="10">
        <v>50</v>
      </c>
      <c r="D38" s="39">
        <v>73.13</v>
      </c>
      <c r="E38" s="39">
        <v>73.41</v>
      </c>
      <c r="F38" s="39">
        <f t="shared" si="16"/>
        <v>14.000000000000057</v>
      </c>
      <c r="G38" s="39">
        <f t="shared" si="17"/>
        <v>3656.5</v>
      </c>
      <c r="H38" s="226">
        <f t="shared" si="18"/>
        <v>3.8287980309038858E-3</v>
      </c>
      <c r="I38" s="39" t="s">
        <v>836</v>
      </c>
      <c r="J38" s="39"/>
      <c r="K38" s="39"/>
      <c r="L38" s="39"/>
      <c r="V38" s="134"/>
    </row>
    <row r="39" spans="1:22" x14ac:dyDescent="0.25">
      <c r="A39">
        <v>50</v>
      </c>
      <c r="B39" s="188">
        <v>43104</v>
      </c>
      <c r="C39" s="10">
        <v>100</v>
      </c>
      <c r="D39" s="39">
        <v>72.049899999999994</v>
      </c>
      <c r="E39" s="39">
        <v>70.97</v>
      </c>
      <c r="F39" s="39">
        <f t="shared" si="16"/>
        <v>-107.9899999999995</v>
      </c>
      <c r="G39" s="39">
        <f t="shared" si="17"/>
        <v>7204.99</v>
      </c>
      <c r="H39" s="226">
        <f t="shared" si="18"/>
        <v>-1.4988223439588328E-2</v>
      </c>
      <c r="I39" s="39" t="s">
        <v>903</v>
      </c>
      <c r="J39" s="39"/>
      <c r="K39" s="39"/>
      <c r="L39" s="39"/>
      <c r="V39" s="134"/>
    </row>
    <row r="40" spans="1:22" ht="20.25" thickBot="1" x14ac:dyDescent="0.35">
      <c r="A40">
        <v>0</v>
      </c>
      <c r="B40" s="188">
        <v>43105</v>
      </c>
      <c r="C40" s="10">
        <v>50</v>
      </c>
      <c r="D40" s="39">
        <v>71.481399999999994</v>
      </c>
      <c r="E40" s="39">
        <v>72.92</v>
      </c>
      <c r="F40" s="39">
        <f t="shared" si="16"/>
        <v>71.930000000000405</v>
      </c>
      <c r="G40" s="39">
        <f t="shared" si="17"/>
        <v>3574.0699999999997</v>
      </c>
      <c r="H40" s="226">
        <f t="shared" si="18"/>
        <v>2.0125515168981138E-2</v>
      </c>
      <c r="I40" s="39" t="s">
        <v>909</v>
      </c>
      <c r="J40" s="39"/>
      <c r="K40" s="39"/>
      <c r="L40" s="39"/>
      <c r="O40" s="804" t="s">
        <v>78</v>
      </c>
      <c r="P40" s="804"/>
      <c r="V40" s="134"/>
    </row>
    <row r="41" spans="1:22" ht="15.75" thickTop="1" x14ac:dyDescent="0.25">
      <c r="A41" s="1"/>
      <c r="B41" s="188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19">C41*(E41-D41)</f>
        <v>118.43000000000004</v>
      </c>
      <c r="G41" s="39">
        <f t="shared" ref="G41" si="20">D41*C41</f>
        <v>3574.0699999999997</v>
      </c>
      <c r="H41" s="226">
        <f t="shared" ref="H41" si="21">(E41-D41)/D41</f>
        <v>3.3135892693763706E-2</v>
      </c>
      <c r="I41" s="39"/>
      <c r="J41" s="39"/>
      <c r="K41" s="39"/>
      <c r="L41" s="39"/>
      <c r="O41" s="81">
        <v>1.1000000000000001</v>
      </c>
      <c r="P41" s="81">
        <f>O41*$Q$4</f>
        <v>75.305999999999997</v>
      </c>
      <c r="Q41" s="2"/>
      <c r="V41" s="134"/>
    </row>
    <row r="42" spans="1:22" ht="20.25" thickBot="1" x14ac:dyDescent="0.35">
      <c r="A42">
        <v>50</v>
      </c>
      <c r="B42" s="188">
        <v>43117</v>
      </c>
      <c r="C42" s="10">
        <v>50</v>
      </c>
      <c r="D42" s="39">
        <v>71.481399999999994</v>
      </c>
      <c r="E42" s="39">
        <v>75.78</v>
      </c>
      <c r="F42" s="39">
        <f t="shared" ref="F42:F44" si="22">C42*(E42-D42)</f>
        <v>214.93000000000038</v>
      </c>
      <c r="G42" s="39">
        <f t="shared" ref="G42:G44" si="23">D42*C42</f>
        <v>3574.0699999999997</v>
      </c>
      <c r="H42" s="226">
        <f t="shared" ref="H42:H44" si="24">(E42-D42)/D42</f>
        <v>6.0135923471000961E-2</v>
      </c>
      <c r="I42" s="39"/>
      <c r="J42" s="39"/>
      <c r="K42" s="39"/>
      <c r="L42" s="39"/>
      <c r="O42" s="81">
        <v>1.0900000000000001</v>
      </c>
      <c r="P42" s="81">
        <f t="shared" ref="P42:P61" si="25">O42*$Q$4</f>
        <v>74.621399999999994</v>
      </c>
      <c r="Q42" s="2"/>
      <c r="T42" s="89"/>
      <c r="V42" s="134"/>
    </row>
    <row r="43" spans="1:22" ht="15.75" thickTop="1" x14ac:dyDescent="0.25">
      <c r="A43">
        <v>50</v>
      </c>
      <c r="B43" s="188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2"/>
        <v>-39.509999999999934</v>
      </c>
      <c r="G43" s="39">
        <f t="shared" si="23"/>
        <v>7082.51</v>
      </c>
      <c r="H43" s="226">
        <f t="shared" si="24"/>
        <v>-5.5785307751065553E-3</v>
      </c>
      <c r="I43" s="39"/>
      <c r="J43" s="39"/>
      <c r="K43" s="39"/>
      <c r="L43" s="39"/>
      <c r="O43" s="81">
        <v>1.08</v>
      </c>
      <c r="P43" s="81">
        <f t="shared" si="25"/>
        <v>73.936800000000005</v>
      </c>
      <c r="Q43" s="2"/>
      <c r="T43" s="125"/>
      <c r="U43" s="126"/>
      <c r="V43" s="134"/>
    </row>
    <row r="44" spans="1:22" x14ac:dyDescent="0.25">
      <c r="A44">
        <v>50</v>
      </c>
      <c r="B44" s="188">
        <v>43139</v>
      </c>
      <c r="C44" s="7">
        <v>150</v>
      </c>
      <c r="D44" s="43">
        <v>70.043400000000005</v>
      </c>
      <c r="E44" s="39">
        <v>68.22</v>
      </c>
      <c r="F44" s="39">
        <f t="shared" si="22"/>
        <v>-273.51000000000101</v>
      </c>
      <c r="G44" s="39">
        <f t="shared" si="23"/>
        <v>10506.51</v>
      </c>
      <c r="H44" s="226">
        <f t="shared" si="24"/>
        <v>-2.6032431321152405E-2</v>
      </c>
      <c r="I44" s="39"/>
      <c r="J44" s="39"/>
      <c r="K44" s="39"/>
      <c r="L44" s="39"/>
      <c r="O44" s="81">
        <v>1.07</v>
      </c>
      <c r="P44" s="81">
        <f t="shared" si="25"/>
        <v>73.252200000000002</v>
      </c>
      <c r="Q44" s="2"/>
      <c r="T44" s="91"/>
      <c r="U44" s="127"/>
      <c r="V44" s="134"/>
    </row>
    <row r="45" spans="1:22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25"/>
        <v>72.567599999999999</v>
      </c>
      <c r="Q45" s="2"/>
      <c r="T45" s="91"/>
      <c r="U45" s="127"/>
      <c r="V45" s="134"/>
    </row>
    <row r="46" spans="1:22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25"/>
        <v>71.882999999999996</v>
      </c>
      <c r="Q46" s="2"/>
      <c r="T46" s="91"/>
      <c r="U46" s="127"/>
      <c r="V46" s="134"/>
    </row>
    <row r="47" spans="1:22" x14ac:dyDescent="0.25">
      <c r="B47" s="188"/>
      <c r="C47" s="10"/>
      <c r="D47" s="39"/>
      <c r="E47" s="39"/>
      <c r="F47" s="39"/>
      <c r="G47" s="39"/>
      <c r="H47" s="226"/>
      <c r="I47" s="39"/>
      <c r="J47" s="39"/>
      <c r="K47" s="39"/>
      <c r="L47" s="39"/>
      <c r="O47" s="81">
        <v>1.04</v>
      </c>
      <c r="P47" s="81">
        <f t="shared" si="25"/>
        <v>71.198399999999992</v>
      </c>
      <c r="Q47" s="2"/>
      <c r="T47" s="91"/>
      <c r="U47" s="127"/>
      <c r="V47" s="134"/>
    </row>
    <row r="48" spans="1:22" x14ac:dyDescent="0.25">
      <c r="B48" s="188"/>
      <c r="C48" s="10"/>
      <c r="D48" s="39"/>
      <c r="E48" s="39"/>
      <c r="F48" s="39"/>
      <c r="G48" s="39"/>
      <c r="H48" s="226"/>
      <c r="I48" s="39"/>
      <c r="J48" s="39"/>
      <c r="K48" s="39"/>
      <c r="L48" s="39"/>
      <c r="O48" s="81">
        <v>1.03</v>
      </c>
      <c r="P48" s="81">
        <f t="shared" si="25"/>
        <v>70.513799999999989</v>
      </c>
      <c r="Q48" s="2"/>
      <c r="T48" s="91"/>
      <c r="U48" s="127"/>
      <c r="V48" s="134"/>
    </row>
    <row r="49" spans="1:22" x14ac:dyDescent="0.25">
      <c r="B49" s="188"/>
      <c r="C49" s="10"/>
      <c r="D49" s="39"/>
      <c r="E49" s="39"/>
      <c r="F49" s="39"/>
      <c r="G49" s="39"/>
      <c r="H49" s="226"/>
      <c r="I49" s="39"/>
      <c r="J49" s="39"/>
      <c r="K49" s="39"/>
      <c r="L49" s="39"/>
      <c r="O49" s="81">
        <v>1.02</v>
      </c>
      <c r="P49" s="81">
        <f t="shared" si="25"/>
        <v>69.8292</v>
      </c>
      <c r="Q49" s="2"/>
      <c r="T49" s="91"/>
      <c r="U49" s="127"/>
      <c r="V49" s="134"/>
    </row>
    <row r="50" spans="1:22" x14ac:dyDescent="0.25">
      <c r="B50" s="188"/>
      <c r="C50" s="10"/>
      <c r="D50" s="39"/>
      <c r="E50" s="39"/>
      <c r="F50" s="39"/>
      <c r="G50" s="39"/>
      <c r="H50" s="226"/>
      <c r="I50" s="39"/>
      <c r="J50" s="39"/>
      <c r="K50" s="39"/>
      <c r="L50" s="39"/>
      <c r="O50" s="81">
        <v>1.01</v>
      </c>
      <c r="P50" s="81">
        <f t="shared" si="25"/>
        <v>69.144599999999997</v>
      </c>
      <c r="Q50" s="2"/>
      <c r="T50" s="91"/>
      <c r="U50" s="127"/>
      <c r="V50" s="134"/>
    </row>
    <row r="51" spans="1:22" x14ac:dyDescent="0.25">
      <c r="B51" s="188"/>
      <c r="C51" s="10"/>
      <c r="D51" s="39"/>
      <c r="E51" s="39"/>
      <c r="F51" s="39"/>
      <c r="G51" s="39"/>
      <c r="H51" s="226"/>
      <c r="I51" s="39"/>
      <c r="J51" s="39"/>
      <c r="K51" s="39"/>
      <c r="L51" s="39"/>
      <c r="O51" s="81">
        <v>1</v>
      </c>
      <c r="P51" s="81">
        <f t="shared" si="25"/>
        <v>68.459999999999994</v>
      </c>
      <c r="Q51" s="2"/>
      <c r="T51" s="91"/>
      <c r="U51" s="127"/>
      <c r="V51" s="134"/>
    </row>
    <row r="52" spans="1:22" x14ac:dyDescent="0.25">
      <c r="B52" s="188"/>
      <c r="C52" s="10"/>
      <c r="D52" s="39"/>
      <c r="E52" s="39"/>
      <c r="F52" s="39"/>
      <c r="G52" s="39"/>
      <c r="H52" s="226"/>
      <c r="I52" s="39"/>
      <c r="J52" s="39"/>
      <c r="K52" s="39"/>
      <c r="L52" s="39"/>
      <c r="O52" s="81">
        <v>0.99</v>
      </c>
      <c r="P52" s="81">
        <f t="shared" si="25"/>
        <v>67.775399999999991</v>
      </c>
      <c r="Q52" s="2"/>
      <c r="T52" s="91"/>
      <c r="U52" s="127"/>
      <c r="V52" s="134"/>
    </row>
    <row r="53" spans="1:22" x14ac:dyDescent="0.25">
      <c r="B53" s="188"/>
      <c r="C53" s="10"/>
      <c r="D53" s="39"/>
      <c r="E53" s="39"/>
      <c r="F53" s="39"/>
      <c r="G53" s="39"/>
      <c r="H53" s="226"/>
      <c r="I53" s="39"/>
      <c r="J53" s="39"/>
      <c r="K53" s="39"/>
      <c r="L53" s="39"/>
      <c r="O53" s="81">
        <v>0.98</v>
      </c>
      <c r="P53" s="81">
        <f t="shared" si="25"/>
        <v>67.090799999999987</v>
      </c>
      <c r="Q53" s="2"/>
      <c r="T53" s="91"/>
      <c r="U53" s="128"/>
      <c r="V53" s="134"/>
    </row>
    <row r="54" spans="1:22" x14ac:dyDescent="0.25">
      <c r="A54" s="4"/>
      <c r="B54" s="188"/>
      <c r="C54" s="10"/>
      <c r="D54" s="39"/>
      <c r="E54" s="39"/>
      <c r="F54" s="39"/>
      <c r="G54" s="39"/>
      <c r="H54" s="226"/>
      <c r="I54" s="39"/>
      <c r="J54" s="39"/>
      <c r="K54" s="39"/>
      <c r="L54" s="39"/>
      <c r="O54" s="81">
        <v>0.97</v>
      </c>
      <c r="P54" s="81">
        <f t="shared" si="25"/>
        <v>66.406199999999998</v>
      </c>
      <c r="T54" s="91"/>
      <c r="U54" s="128"/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25"/>
        <v>65.721599999999995</v>
      </c>
      <c r="T55" s="91"/>
      <c r="U55" s="127"/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25"/>
        <v>65.036999999999992</v>
      </c>
      <c r="T56" s="91"/>
      <c r="U56" s="127"/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25"/>
        <v>64.352399999999989</v>
      </c>
      <c r="T57" s="91"/>
      <c r="U57" s="127"/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25"/>
        <v>63.6678</v>
      </c>
      <c r="T58" s="91"/>
      <c r="U58" s="127"/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25"/>
        <v>62.983199999999997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25"/>
        <v>62.298599999999993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25"/>
        <v>61.613999999999997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V66" s="134"/>
    </row>
    <row r="67" spans="1:22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V67" s="134"/>
    </row>
    <row r="68" spans="1:22" x14ac:dyDescent="0.25">
      <c r="A68" s="527" t="s">
        <v>785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V68" s="134"/>
    </row>
    <row r="69" spans="1:22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V69" s="134"/>
    </row>
    <row r="70" spans="1:22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2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2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2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2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2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2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2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2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2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2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55:F63 H55:H63">
    <cfRule type="expression" dxfId="1133" priority="21">
      <formula>F55&gt;0</formula>
    </cfRule>
    <cfRule type="expression" dxfId="1132" priority="22">
      <formula>F55&lt;0</formula>
    </cfRule>
  </conditionalFormatting>
  <conditionalFormatting sqref="Q7">
    <cfRule type="expression" dxfId="1131" priority="19">
      <formula>Q7&gt;0</formula>
    </cfRule>
    <cfRule type="expression" dxfId="1130" priority="20">
      <formula>Q7&lt;0</formula>
    </cfRule>
  </conditionalFormatting>
  <conditionalFormatting sqref="Q8">
    <cfRule type="expression" dxfId="1129" priority="17">
      <formula>Q8&gt;0</formula>
    </cfRule>
    <cfRule type="expression" dxfId="1128" priority="18">
      <formula>Q8&lt;0</formula>
    </cfRule>
  </conditionalFormatting>
  <conditionalFormatting sqref="F25:F54">
    <cfRule type="expression" dxfId="1127" priority="15">
      <formula>F25&gt;0</formula>
    </cfRule>
    <cfRule type="expression" dxfId="1126" priority="16">
      <formula>F25&lt;0</formula>
    </cfRule>
  </conditionalFormatting>
  <conditionalFormatting sqref="H25:H54">
    <cfRule type="expression" dxfId="1125" priority="13">
      <formula>H25&gt;0</formula>
    </cfRule>
    <cfRule type="expression" dxfId="1124" priority="14">
      <formula>H25&lt;0</formula>
    </cfRule>
  </conditionalFormatting>
  <conditionalFormatting sqref="F89:F110">
    <cfRule type="expression" dxfId="1123" priority="11">
      <formula>F89&gt;0</formula>
    </cfRule>
    <cfRule type="expression" dxfId="1122" priority="12">
      <formula>F89&lt;0</formula>
    </cfRule>
  </conditionalFormatting>
  <conditionalFormatting sqref="H89:H110">
    <cfRule type="expression" dxfId="1121" priority="9">
      <formula>H89&gt;0</formula>
    </cfRule>
    <cfRule type="expression" dxfId="1120" priority="10">
      <formula>H89&lt;0</formula>
    </cfRule>
  </conditionalFormatting>
  <conditionalFormatting sqref="Q10">
    <cfRule type="expression" dxfId="1119" priority="7">
      <formula>Q10&gt;0</formula>
    </cfRule>
    <cfRule type="expression" dxfId="1118" priority="8">
      <formula>Q10&lt;0</formula>
    </cfRule>
  </conditionalFormatting>
  <conditionalFormatting sqref="J25:J38">
    <cfRule type="expression" dxfId="1117" priority="5">
      <formula>J25&gt;0</formula>
    </cfRule>
    <cfRule type="expression" dxfId="1116" priority="6">
      <formula>J25&lt;0</formula>
    </cfRule>
  </conditionalFormatting>
  <conditionalFormatting sqref="K25:K38">
    <cfRule type="expression" dxfId="1115" priority="3">
      <formula>K25&gt;0</formula>
    </cfRule>
    <cfRule type="expression" dxfId="1114" priority="4">
      <formula>K25&lt;0</formula>
    </cfRule>
  </conditionalFormatting>
  <conditionalFormatting sqref="L25:L38">
    <cfRule type="expression" dxfId="1113" priority="1">
      <formula>L25&gt;0</formula>
    </cfRule>
    <cfRule type="expression" dxfId="111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785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723.5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723.5</v>
      </c>
      <c r="R4" s="509">
        <v>6.8999999999999999E-3</v>
      </c>
      <c r="T4" s="159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209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8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6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8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6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8">
        <v>43042</v>
      </c>
      <c r="C27" s="10">
        <v>0</v>
      </c>
      <c r="D27" s="39"/>
      <c r="E27" s="39"/>
      <c r="F27" s="39">
        <v>559.89</v>
      </c>
      <c r="G27" s="39"/>
      <c r="H27" s="226"/>
      <c r="I27" s="39"/>
      <c r="J27" s="39"/>
      <c r="K27" s="39"/>
      <c r="L27" s="158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795.85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6">O42*$Q$4</f>
        <v>788.61500000000001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6"/>
        <v>781.38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6"/>
        <v>774.1450000000001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6"/>
        <v>766.91000000000008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6"/>
        <v>759.67500000000007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6"/>
        <v>752.44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6"/>
        <v>745.20500000000004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6"/>
        <v>737.97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6"/>
        <v>730.73500000000001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6"/>
        <v>723.5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6"/>
        <v>716.26499999999999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6"/>
        <v>709.03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6"/>
        <v>701.79499999999996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6"/>
        <v>694.56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6"/>
        <v>687.32499999999993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6"/>
        <v>680.08999999999992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6"/>
        <v>672.85500000000002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6"/>
        <v>665.62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6"/>
        <v>658.38499999999999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6"/>
        <v>651.15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27" t="s">
        <v>785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513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AD69" s="2"/>
      <c r="AE69" s="134"/>
    </row>
    <row r="70" spans="1:31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31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31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31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31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31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31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31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31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31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31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8</v>
      </c>
      <c r="D84" s="532"/>
      <c r="E84" s="532"/>
      <c r="F84" s="532">
        <f>SUM(F68:F72)</f>
        <v>4304</v>
      </c>
      <c r="G84" s="531"/>
      <c r="H84" s="553">
        <f>SUM(H68:H71)</f>
        <v>8</v>
      </c>
      <c r="I84" s="532"/>
      <c r="J84" s="532"/>
      <c r="K84" s="532">
        <f>SUM(K68:K71)</f>
        <v>4863.8900000000003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11" priority="21">
      <formula>F47&gt;0</formula>
    </cfRule>
    <cfRule type="expression" dxfId="1110" priority="22">
      <formula>F47&lt;0</formula>
    </cfRule>
  </conditionalFormatting>
  <conditionalFormatting sqref="Q7">
    <cfRule type="expression" dxfId="1109" priority="19">
      <formula>Q7&gt;0</formula>
    </cfRule>
    <cfRule type="expression" dxfId="1108" priority="20">
      <formula>Q7&lt;0</formula>
    </cfRule>
  </conditionalFormatting>
  <conditionalFormatting sqref="Q8">
    <cfRule type="expression" dxfId="1107" priority="17">
      <formula>Q8&gt;0</formula>
    </cfRule>
    <cfRule type="expression" dxfId="1106" priority="18">
      <formula>Q8&lt;0</formula>
    </cfRule>
  </conditionalFormatting>
  <conditionalFormatting sqref="F25:F46">
    <cfRule type="expression" dxfId="1105" priority="15">
      <formula>F25&gt;0</formula>
    </cfRule>
    <cfRule type="expression" dxfId="1104" priority="16">
      <formula>F25&lt;0</formula>
    </cfRule>
  </conditionalFormatting>
  <conditionalFormatting sqref="H25:H46">
    <cfRule type="expression" dxfId="1103" priority="13">
      <formula>H25&gt;0</formula>
    </cfRule>
    <cfRule type="expression" dxfId="1102" priority="14">
      <formula>H25&lt;0</formula>
    </cfRule>
  </conditionalFormatting>
  <conditionalFormatting sqref="F89:F110">
    <cfRule type="expression" dxfId="1101" priority="11">
      <formula>F89&gt;0</formula>
    </cfRule>
    <cfRule type="expression" dxfId="1100" priority="12">
      <formula>F89&lt;0</formula>
    </cfRule>
  </conditionalFormatting>
  <conditionalFormatting sqref="H89:H110">
    <cfRule type="expression" dxfId="1099" priority="9">
      <formula>H89&gt;0</formula>
    </cfRule>
    <cfRule type="expression" dxfId="1098" priority="10">
      <formula>H89&lt;0</formula>
    </cfRule>
  </conditionalFormatting>
  <conditionalFormatting sqref="Q10">
    <cfRule type="expression" dxfId="1097" priority="7">
      <formula>Q10&gt;0</formula>
    </cfRule>
    <cfRule type="expression" dxfId="1096" priority="8">
      <formula>Q10&lt;0</formula>
    </cfRule>
  </conditionalFormatting>
  <conditionalFormatting sqref="J25:J38">
    <cfRule type="expression" dxfId="1095" priority="5">
      <formula>J25&gt;0</formula>
    </cfRule>
    <cfRule type="expression" dxfId="1094" priority="6">
      <formula>J25&lt;0</formula>
    </cfRule>
  </conditionalFormatting>
  <conditionalFormatting sqref="K25:K38">
    <cfRule type="expression" dxfId="1093" priority="3">
      <formula>K25&gt;0</formula>
    </cfRule>
    <cfRule type="expression" dxfId="1092" priority="4">
      <formula>K25&lt;0</formula>
    </cfRule>
  </conditionalFormatting>
  <conditionalFormatting sqref="L25:L38">
    <cfRule type="expression" dxfId="1091" priority="1">
      <formula>L25&gt;0</formula>
    </cfRule>
    <cfRule type="expression" dxfId="109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985</v>
      </c>
      <c r="B2" s="486">
        <v>43137</v>
      </c>
      <c r="C2" s="4">
        <v>200</v>
      </c>
      <c r="D2" s="3">
        <v>30.58</v>
      </c>
      <c r="E2" s="3">
        <v>0</v>
      </c>
      <c r="F2" s="3">
        <f t="shared" ref="F2" si="0">C2*D2+E2</f>
        <v>6116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  <c r="U2" t="s">
        <v>990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30.58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30.83</v>
      </c>
      <c r="R4" s="509">
        <v>1.38E-2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6166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6116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50</v>
      </c>
      <c r="R7" s="29">
        <v>43168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50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8.1752779594506213E-3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6116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4" spans="1:1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</row>
    <row r="25" spans="1:13" x14ac:dyDescent="0.25">
      <c r="B25" s="188">
        <v>43137</v>
      </c>
      <c r="C25" s="10">
        <v>200</v>
      </c>
      <c r="D25" s="39">
        <v>30.58</v>
      </c>
      <c r="E25" s="39">
        <v>31.24</v>
      </c>
      <c r="F25" s="39">
        <f t="shared" ref="F25" si="1">C25*(E25-D25)</f>
        <v>132.00000000000003</v>
      </c>
      <c r="G25" s="39">
        <f t="shared" ref="G25" si="2">D25*C25</f>
        <v>6116</v>
      </c>
      <c r="H25" s="226">
        <f t="shared" ref="H25" si="3">(E25-D25)/D25</f>
        <v>2.1582733812949645E-2</v>
      </c>
      <c r="I25" s="39"/>
      <c r="J25" s="39"/>
      <c r="K25" s="39"/>
      <c r="L25" s="39"/>
    </row>
    <row r="26" spans="1:1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</row>
    <row r="27" spans="1:1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</row>
    <row r="28" spans="1:1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</row>
    <row r="29" spans="1:1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</row>
    <row r="30" spans="1:1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</row>
    <row r="31" spans="1:1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</row>
    <row r="32" spans="1:1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</row>
    <row r="40" spans="2:17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</row>
    <row r="41" spans="2:17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33.913000000000004</v>
      </c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4">O42*$Q$4</f>
        <v>33.604700000000001</v>
      </c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4"/>
        <v>33.296399999999998</v>
      </c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4"/>
        <v>32.988100000000003</v>
      </c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4"/>
        <v>32.6798</v>
      </c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4"/>
        <v>32.371499999999997</v>
      </c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4"/>
        <v>32.063200000000002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4"/>
        <v>31.754899999999999</v>
      </c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4"/>
        <v>31.4466</v>
      </c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4"/>
        <v>31.138299999999997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4"/>
        <v>30.83</v>
      </c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4"/>
        <v>30.521699999999999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4"/>
        <v>30.213399999999996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4"/>
        <v>29.905099999999997</v>
      </c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4"/>
        <v>29.596799999999998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4"/>
        <v>29.288499999999996</v>
      </c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4"/>
        <v>28.980199999999996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4"/>
        <v>28.671900000000001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4"/>
        <v>28.363599999999998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4"/>
        <v>28.055299999999999</v>
      </c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4"/>
        <v>27.747</v>
      </c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985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89" priority="31">
      <formula>F47&gt;0</formula>
    </cfRule>
    <cfRule type="expression" dxfId="1088" priority="32">
      <formula>F47&lt;0</formula>
    </cfRule>
  </conditionalFormatting>
  <conditionalFormatting sqref="Q7">
    <cfRule type="expression" dxfId="1087" priority="29">
      <formula>Q7&gt;0</formula>
    </cfRule>
    <cfRule type="expression" dxfId="1086" priority="30">
      <formula>Q7&lt;0</formula>
    </cfRule>
  </conditionalFormatting>
  <conditionalFormatting sqref="Q8">
    <cfRule type="expression" dxfId="1085" priority="27">
      <formula>Q8&gt;0</formula>
    </cfRule>
    <cfRule type="expression" dxfId="1084" priority="28">
      <formula>Q8&lt;0</formula>
    </cfRule>
  </conditionalFormatting>
  <conditionalFormatting sqref="F30:F46">
    <cfRule type="expression" dxfId="1083" priority="25">
      <formula>F30&gt;0</formula>
    </cfRule>
    <cfRule type="expression" dxfId="1082" priority="26">
      <formula>F30&lt;0</formula>
    </cfRule>
  </conditionalFormatting>
  <conditionalFormatting sqref="H30:H46">
    <cfRule type="expression" dxfId="1081" priority="23">
      <formula>H30&gt;0</formula>
    </cfRule>
    <cfRule type="expression" dxfId="1080" priority="24">
      <formula>H30&lt;0</formula>
    </cfRule>
  </conditionalFormatting>
  <conditionalFormatting sqref="Q10">
    <cfRule type="expression" dxfId="1079" priority="21">
      <formula>Q10&gt;0</formula>
    </cfRule>
    <cfRule type="expression" dxfId="1078" priority="22">
      <formula>Q10&lt;0</formula>
    </cfRule>
  </conditionalFormatting>
  <conditionalFormatting sqref="J25:J38">
    <cfRule type="expression" dxfId="1077" priority="19">
      <formula>J25&gt;0</formula>
    </cfRule>
    <cfRule type="expression" dxfId="1076" priority="20">
      <formula>J25&lt;0</formula>
    </cfRule>
  </conditionalFormatting>
  <conditionalFormatting sqref="K25:K38">
    <cfRule type="expression" dxfId="1075" priority="17">
      <formula>K25&gt;0</formula>
    </cfRule>
    <cfRule type="expression" dxfId="1074" priority="18">
      <formula>K25&lt;0</formula>
    </cfRule>
  </conditionalFormatting>
  <conditionalFormatting sqref="L25:L38">
    <cfRule type="expression" dxfId="1073" priority="15">
      <formula>L25&gt;0</formula>
    </cfRule>
    <cfRule type="expression" dxfId="1072" priority="16">
      <formula>L25&lt;0</formula>
    </cfRule>
  </conditionalFormatting>
  <conditionalFormatting sqref="F89:F110">
    <cfRule type="expression" dxfId="1071" priority="13">
      <formula>F89&gt;0</formula>
    </cfRule>
    <cfRule type="expression" dxfId="1070" priority="14">
      <formula>F89&lt;0</formula>
    </cfRule>
  </conditionalFormatting>
  <conditionalFormatting sqref="H89:H110">
    <cfRule type="expression" dxfId="1069" priority="11">
      <formula>H89&gt;0</formula>
    </cfRule>
    <cfRule type="expression" dxfId="1068" priority="12">
      <formula>H89&lt;0</formula>
    </cfRule>
  </conditionalFormatting>
  <conditionalFormatting sqref="J89:J102">
    <cfRule type="expression" dxfId="1067" priority="9">
      <formula>J89&gt;0</formula>
    </cfRule>
    <cfRule type="expression" dxfId="1066" priority="10">
      <formula>J89&lt;0</formula>
    </cfRule>
  </conditionalFormatting>
  <conditionalFormatting sqref="K89:K102">
    <cfRule type="expression" dxfId="1065" priority="7">
      <formula>K89&gt;0</formula>
    </cfRule>
    <cfRule type="expression" dxfId="1064" priority="8">
      <formula>K89&lt;0</formula>
    </cfRule>
  </conditionalFormatting>
  <conditionalFormatting sqref="L89:L102">
    <cfRule type="expression" dxfId="1063" priority="5">
      <formula>L89&gt;0</formula>
    </cfRule>
    <cfRule type="expression" dxfId="1062" priority="6">
      <formula>L89&lt;0</formula>
    </cfRule>
  </conditionalFormatting>
  <conditionalFormatting sqref="F25:F29">
    <cfRule type="expression" dxfId="1061" priority="3">
      <formula>F25&gt;0</formula>
    </cfRule>
    <cfRule type="expression" dxfId="1060" priority="4">
      <formula>F25&lt;0</formula>
    </cfRule>
  </conditionalFormatting>
  <conditionalFormatting sqref="H25:H29">
    <cfRule type="expression" dxfId="1059" priority="1">
      <formula>H25&gt;0</formula>
    </cfRule>
    <cfRule type="expression" dxfId="105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982</v>
      </c>
      <c r="B2" s="486">
        <v>43133</v>
      </c>
      <c r="C2" s="4">
        <v>20</v>
      </c>
      <c r="D2" s="3">
        <v>150</v>
      </c>
      <c r="E2" s="3">
        <v>0</v>
      </c>
      <c r="F2" s="3">
        <f t="shared" ref="F2" si="0">C2*D2+E2</f>
        <v>3000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150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147.05000000000001</v>
      </c>
      <c r="R4" s="509">
        <v>1.1299999999999999E-2</v>
      </c>
      <c r="T4" s="792"/>
      <c r="U4" s="30"/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2941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3000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-59</v>
      </c>
      <c r="R7" s="29">
        <v>43164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-59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-1.9666666666666666E-2</v>
      </c>
      <c r="T9" s="159"/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6" ht="20.25" thickBot="1" x14ac:dyDescent="0.3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3000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01" t="s">
        <v>78</v>
      </c>
      <c r="P18" s="801"/>
    </row>
    <row r="19" spans="1:16" ht="16.5" thickTop="1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81">
        <v>1.1000000000000001</v>
      </c>
      <c r="P19" s="81">
        <f>O19*$Q$4</f>
        <v>161.75500000000002</v>
      </c>
    </row>
    <row r="20" spans="1:16" x14ac:dyDescent="0.25">
      <c r="O20" s="81">
        <v>1.0900000000000001</v>
      </c>
      <c r="P20" s="81">
        <f t="shared" ref="P20:P39" si="1">O20*$Q$4</f>
        <v>160.28450000000004</v>
      </c>
    </row>
    <row r="21" spans="1:16" x14ac:dyDescent="0.25">
      <c r="O21" s="81">
        <v>1.08</v>
      </c>
      <c r="P21" s="81">
        <f t="shared" si="1"/>
        <v>158.81400000000002</v>
      </c>
    </row>
    <row r="22" spans="1:16" x14ac:dyDescent="0.25">
      <c r="O22" s="81">
        <v>1.07</v>
      </c>
      <c r="P22" s="81">
        <f t="shared" si="1"/>
        <v>157.34350000000003</v>
      </c>
    </row>
    <row r="23" spans="1:16" x14ac:dyDescent="0.25">
      <c r="O23" s="81">
        <v>1.06</v>
      </c>
      <c r="P23" s="81">
        <f t="shared" si="1"/>
        <v>155.87300000000002</v>
      </c>
    </row>
    <row r="24" spans="1:16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1.05</v>
      </c>
      <c r="P24" s="81">
        <f t="shared" si="1"/>
        <v>154.40250000000003</v>
      </c>
    </row>
    <row r="25" spans="1:16" x14ac:dyDescent="0.25">
      <c r="B25" s="188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6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152.93200000000002</v>
      </c>
    </row>
    <row r="26" spans="1:16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1.03</v>
      </c>
      <c r="P26" s="81">
        <f t="shared" si="1"/>
        <v>151.46150000000003</v>
      </c>
    </row>
    <row r="27" spans="1:16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1.02</v>
      </c>
      <c r="P27" s="81">
        <f t="shared" si="1"/>
        <v>149.99100000000001</v>
      </c>
    </row>
    <row r="28" spans="1:16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1.01</v>
      </c>
      <c r="P28" s="81">
        <f t="shared" si="1"/>
        <v>148.52050000000003</v>
      </c>
    </row>
    <row r="29" spans="1:16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</v>
      </c>
      <c r="P29" s="81">
        <f t="shared" si="1"/>
        <v>147.05000000000001</v>
      </c>
    </row>
    <row r="30" spans="1:16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0.99</v>
      </c>
      <c r="P30" s="81">
        <f t="shared" si="1"/>
        <v>145.5795</v>
      </c>
    </row>
    <row r="31" spans="1:16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0.98</v>
      </c>
      <c r="P31" s="81">
        <f t="shared" si="1"/>
        <v>144.10900000000001</v>
      </c>
    </row>
    <row r="32" spans="1:16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0.97</v>
      </c>
      <c r="P32" s="81">
        <f t="shared" si="1"/>
        <v>142.63849999999999</v>
      </c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0.96</v>
      </c>
      <c r="P33" s="81">
        <f t="shared" si="1"/>
        <v>141.16800000000001</v>
      </c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0.95</v>
      </c>
      <c r="P34" s="81">
        <f t="shared" si="1"/>
        <v>139.69749999999999</v>
      </c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0.94</v>
      </c>
      <c r="P35" s="81">
        <f t="shared" si="1"/>
        <v>138.227</v>
      </c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0.93</v>
      </c>
      <c r="P36" s="81">
        <f t="shared" si="1"/>
        <v>136.75650000000002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0.92</v>
      </c>
      <c r="P37" s="81">
        <f t="shared" si="1"/>
        <v>135.28600000000003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0.91</v>
      </c>
      <c r="P38" s="81">
        <f t="shared" si="1"/>
        <v>133.81550000000001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</v>
      </c>
      <c r="P39" s="81">
        <f t="shared" si="1"/>
        <v>132.34500000000003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73"/>
      <c r="I47" s="271"/>
      <c r="Q47" s="2"/>
    </row>
    <row r="48" spans="2:17" x14ac:dyDescent="0.25">
      <c r="B48" s="72"/>
      <c r="C48" s="4"/>
      <c r="D48" s="3"/>
      <c r="E48" s="3"/>
      <c r="F48" s="3"/>
      <c r="G48" s="3"/>
      <c r="H48" s="273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73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73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73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73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73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982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57" priority="31">
      <formula>F47&gt;0</formula>
    </cfRule>
    <cfRule type="expression" dxfId="1056" priority="32">
      <formula>F47&lt;0</formula>
    </cfRule>
  </conditionalFormatting>
  <conditionalFormatting sqref="Q7">
    <cfRule type="expression" dxfId="1055" priority="29">
      <formula>Q7&gt;0</formula>
    </cfRule>
    <cfRule type="expression" dxfId="1054" priority="30">
      <formula>Q7&lt;0</formula>
    </cfRule>
  </conditionalFormatting>
  <conditionalFormatting sqref="Q8">
    <cfRule type="expression" dxfId="1053" priority="27">
      <formula>Q8&gt;0</formula>
    </cfRule>
    <cfRule type="expression" dxfId="1052" priority="28">
      <formula>Q8&lt;0</formula>
    </cfRule>
  </conditionalFormatting>
  <conditionalFormatting sqref="F30:F46">
    <cfRule type="expression" dxfId="1051" priority="25">
      <formula>F30&gt;0</formula>
    </cfRule>
    <cfRule type="expression" dxfId="1050" priority="26">
      <formula>F30&lt;0</formula>
    </cfRule>
  </conditionalFormatting>
  <conditionalFormatting sqref="H30:H46">
    <cfRule type="expression" dxfId="1049" priority="23">
      <formula>H30&gt;0</formula>
    </cfRule>
    <cfRule type="expression" dxfId="1048" priority="24">
      <formula>H30&lt;0</formula>
    </cfRule>
  </conditionalFormatting>
  <conditionalFormatting sqref="Q10">
    <cfRule type="expression" dxfId="1047" priority="21">
      <formula>Q10&gt;0</formula>
    </cfRule>
    <cfRule type="expression" dxfId="1046" priority="22">
      <formula>Q10&lt;0</formula>
    </cfRule>
  </conditionalFormatting>
  <conditionalFormatting sqref="J25:J38">
    <cfRule type="expression" dxfId="1045" priority="19">
      <formula>J25&gt;0</formula>
    </cfRule>
    <cfRule type="expression" dxfId="1044" priority="20">
      <formula>J25&lt;0</formula>
    </cfRule>
  </conditionalFormatting>
  <conditionalFormatting sqref="K25:K38">
    <cfRule type="expression" dxfId="1043" priority="17">
      <formula>K25&gt;0</formula>
    </cfRule>
    <cfRule type="expression" dxfId="1042" priority="18">
      <formula>K25&lt;0</formula>
    </cfRule>
  </conditionalFormatting>
  <conditionalFormatting sqref="L25:L38">
    <cfRule type="expression" dxfId="1041" priority="15">
      <formula>L25&gt;0</formula>
    </cfRule>
    <cfRule type="expression" dxfId="1040" priority="16">
      <formula>L25&lt;0</formula>
    </cfRule>
  </conditionalFormatting>
  <conditionalFormatting sqref="F89:F110">
    <cfRule type="expression" dxfId="1039" priority="13">
      <formula>F89&gt;0</formula>
    </cfRule>
    <cfRule type="expression" dxfId="1038" priority="14">
      <formula>F89&lt;0</formula>
    </cfRule>
  </conditionalFormatting>
  <conditionalFormatting sqref="H89:H110">
    <cfRule type="expression" dxfId="1037" priority="11">
      <formula>H89&gt;0</formula>
    </cfRule>
    <cfRule type="expression" dxfId="1036" priority="12">
      <formula>H89&lt;0</formula>
    </cfRule>
  </conditionalFormatting>
  <conditionalFormatting sqref="J89:J102">
    <cfRule type="expression" dxfId="1035" priority="9">
      <formula>J89&gt;0</formula>
    </cfRule>
    <cfRule type="expression" dxfId="1034" priority="10">
      <formula>J89&lt;0</formula>
    </cfRule>
  </conditionalFormatting>
  <conditionalFormatting sqref="K89:K102">
    <cfRule type="expression" dxfId="1033" priority="7">
      <formula>K89&gt;0</formula>
    </cfRule>
    <cfRule type="expression" dxfId="1032" priority="8">
      <formula>K89&lt;0</formula>
    </cfRule>
  </conditionalFormatting>
  <conditionalFormatting sqref="L89:L102">
    <cfRule type="expression" dxfId="1031" priority="5">
      <formula>L89&gt;0</formula>
    </cfRule>
    <cfRule type="expression" dxfId="1030" priority="6">
      <formula>L89&lt;0</formula>
    </cfRule>
  </conditionalFormatting>
  <conditionalFormatting sqref="F25:F29">
    <cfRule type="expression" dxfId="1029" priority="3">
      <formula>F25&gt;0</formula>
    </cfRule>
    <cfRule type="expression" dxfId="1028" priority="4">
      <formula>F25&lt;0</formula>
    </cfRule>
  </conditionalFormatting>
  <conditionalFormatting sqref="H25:H29">
    <cfRule type="expression" dxfId="1027" priority="1">
      <formula>H25&gt;0</formula>
    </cfRule>
    <cfRule type="expression" dxfId="102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981</v>
      </c>
      <c r="B2" s="445">
        <v>43133</v>
      </c>
      <c r="C2" s="4">
        <v>15</v>
      </c>
      <c r="D2" s="3">
        <v>255.28</v>
      </c>
      <c r="E2" s="3">
        <v>0</v>
      </c>
      <c r="F2" s="3">
        <f t="shared" ref="F2:F4" si="0">C2*D2+E2</f>
        <v>3829.2</v>
      </c>
      <c r="G2" s="445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/>
      <c r="M2" s="3"/>
      <c r="O2" s="11" t="s">
        <v>57</v>
      </c>
      <c r="Q2">
        <f>C18-H18</f>
        <v>45</v>
      </c>
      <c r="T2" s="1">
        <v>43080</v>
      </c>
      <c r="U2" t="s">
        <v>874</v>
      </c>
    </row>
    <row r="3" spans="1:21" x14ac:dyDescent="0.25">
      <c r="A3" s="22" t="s">
        <v>71</v>
      </c>
      <c r="B3" s="486">
        <v>43136</v>
      </c>
      <c r="C3" s="7">
        <v>15</v>
      </c>
      <c r="D3" s="43">
        <v>240.11</v>
      </c>
      <c r="E3" s="43">
        <v>0</v>
      </c>
      <c r="F3" s="43">
        <f t="shared" si="0"/>
        <v>3601.65</v>
      </c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241.09177777777779</v>
      </c>
      <c r="T3" s="1"/>
    </row>
    <row r="4" spans="1:21" x14ac:dyDescent="0.25">
      <c r="B4" s="486">
        <v>43140</v>
      </c>
      <c r="C4" s="4">
        <v>30</v>
      </c>
      <c r="D4" s="3">
        <v>234.88</v>
      </c>
      <c r="E4" s="3">
        <v>0</v>
      </c>
      <c r="F4" s="3">
        <f t="shared" si="0"/>
        <v>7046.4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242.03</v>
      </c>
      <c r="R4" s="509">
        <v>1.41E-2</v>
      </c>
      <c r="T4" s="792">
        <v>43103</v>
      </c>
      <c r="U4" s="30" t="s">
        <v>899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10891.35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10849.130000000001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42.219999999999345</v>
      </c>
      <c r="R7" s="29">
        <v>43167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42.219999999999345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3.8915562814713566E-3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R11">
        <v>0.14369999999999999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14477.25</v>
      </c>
      <c r="G18" s="14"/>
      <c r="H18" s="71">
        <f>SUM(H2:H5)</f>
        <v>15</v>
      </c>
      <c r="I18" s="18"/>
      <c r="J18" s="18"/>
      <c r="K18" s="18">
        <f>SUM(K2:K5)</f>
        <v>3628.12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1" t="s">
        <v>78</v>
      </c>
      <c r="P22" s="801"/>
    </row>
    <row r="23" spans="1:17" ht="15.75" thickTop="1" x14ac:dyDescent="0.25">
      <c r="O23" s="81">
        <v>1.1000000000000001</v>
      </c>
      <c r="P23" s="81">
        <f>O23*$Q$4</f>
        <v>266.233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1.0900000000000001</v>
      </c>
      <c r="P24" s="81">
        <f t="shared" ref="P24:P43" si="1">O24*$Q$4</f>
        <v>263.81270000000001</v>
      </c>
      <c r="Q24" s="2"/>
    </row>
    <row r="25" spans="1:17" x14ac:dyDescent="0.25">
      <c r="B25" s="188">
        <v>43133</v>
      </c>
      <c r="C25" s="10">
        <v>15</v>
      </c>
      <c r="D25" s="39">
        <v>255.28</v>
      </c>
      <c r="E25" s="39">
        <v>254.93</v>
      </c>
      <c r="F25" s="39">
        <f t="shared" ref="F25" si="2">C25*(E25-D25)</f>
        <v>-5.2499999999999147</v>
      </c>
      <c r="G25" s="39">
        <f t="shared" ref="G25" si="3">D25*C25</f>
        <v>3829.2</v>
      </c>
      <c r="H25" s="226">
        <f t="shared" ref="H25" si="4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1"/>
        <v>261.39240000000001</v>
      </c>
      <c r="Q25" s="2"/>
    </row>
    <row r="26" spans="1:17" x14ac:dyDescent="0.25">
      <c r="B26" s="188">
        <v>43136</v>
      </c>
      <c r="C26" s="10">
        <v>30</v>
      </c>
      <c r="D26" s="39">
        <v>247.69499999999999</v>
      </c>
      <c r="E26" s="39">
        <v>243.27</v>
      </c>
      <c r="F26" s="39">
        <f t="shared" ref="F26" si="5">C26*(E26-D26)</f>
        <v>-132.74999999999949</v>
      </c>
      <c r="G26" s="39">
        <f t="shared" ref="G26" si="6">D26*C26</f>
        <v>7430.8499999999995</v>
      </c>
      <c r="H26" s="226">
        <f t="shared" ref="H26" si="7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1"/>
        <v>258.97210000000001</v>
      </c>
      <c r="Q26" s="2"/>
    </row>
    <row r="27" spans="1:17" x14ac:dyDescent="0.25">
      <c r="B27" s="188">
        <v>43140</v>
      </c>
      <c r="C27" s="10">
        <v>60</v>
      </c>
      <c r="D27" s="39">
        <v>241.29</v>
      </c>
      <c r="E27" s="39">
        <v>242.03</v>
      </c>
      <c r="F27" s="39">
        <f t="shared" ref="F27:F29" si="8">C27*(E27-D27)</f>
        <v>44.400000000000546</v>
      </c>
      <c r="G27" s="39">
        <f t="shared" ref="G27:G29" si="9">D27*C27</f>
        <v>14477.4</v>
      </c>
      <c r="H27" s="226">
        <f t="shared" ref="H27:H29" si="10">(E27-D27)/D27</f>
        <v>3.0668490198516685E-3</v>
      </c>
      <c r="I27" s="39"/>
      <c r="J27" s="39"/>
      <c r="K27" s="39"/>
      <c r="L27" s="158"/>
      <c r="O27" s="81">
        <v>1.06</v>
      </c>
      <c r="P27" s="81">
        <f t="shared" si="1"/>
        <v>256.55180000000001</v>
      </c>
      <c r="Q27" s="2"/>
    </row>
    <row r="28" spans="1:17" x14ac:dyDescent="0.25">
      <c r="B28" s="188">
        <v>43140</v>
      </c>
      <c r="C28" s="10">
        <v>45</v>
      </c>
      <c r="D28" s="39">
        <v>241.09180000000001</v>
      </c>
      <c r="E28" s="39">
        <v>242.03</v>
      </c>
      <c r="F28" s="39">
        <f t="shared" si="8"/>
        <v>42.218999999999767</v>
      </c>
      <c r="G28" s="39">
        <f t="shared" si="9"/>
        <v>10849.130999999999</v>
      </c>
      <c r="H28" s="226">
        <f t="shared" si="10"/>
        <v>3.89146374949291E-3</v>
      </c>
      <c r="I28" s="39"/>
      <c r="J28" s="39"/>
      <c r="K28" s="39"/>
      <c r="L28" s="158"/>
      <c r="O28" s="81">
        <v>1.05</v>
      </c>
      <c r="P28" s="81">
        <f t="shared" si="1"/>
        <v>254.13150000000002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251.71120000000002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249.29089999999999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246.8706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244.4503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242.03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239.6097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237.18940000000001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234.76910000000001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232.34879999999998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229.92849999999999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227.50819999999999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225.08790000000002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222.66760000000002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220.2473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217.827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981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25" priority="31">
      <formula>F47&gt;0</formula>
    </cfRule>
    <cfRule type="expression" dxfId="1024" priority="32">
      <formula>F47&lt;0</formula>
    </cfRule>
  </conditionalFormatting>
  <conditionalFormatting sqref="Q7">
    <cfRule type="expression" dxfId="1023" priority="29">
      <formula>Q7&gt;0</formula>
    </cfRule>
    <cfRule type="expression" dxfId="1022" priority="30">
      <formula>Q7&lt;0</formula>
    </cfRule>
  </conditionalFormatting>
  <conditionalFormatting sqref="Q8">
    <cfRule type="expression" dxfId="1021" priority="27">
      <formula>Q8&gt;0</formula>
    </cfRule>
    <cfRule type="expression" dxfId="1020" priority="28">
      <formula>Q8&lt;0</formula>
    </cfRule>
  </conditionalFormatting>
  <conditionalFormatting sqref="F30:F46">
    <cfRule type="expression" dxfId="1019" priority="25">
      <formula>F30&gt;0</formula>
    </cfRule>
    <cfRule type="expression" dxfId="1018" priority="26">
      <formula>F30&lt;0</formula>
    </cfRule>
  </conditionalFormatting>
  <conditionalFormatting sqref="H30:H46">
    <cfRule type="expression" dxfId="1017" priority="23">
      <formula>H30&gt;0</formula>
    </cfRule>
    <cfRule type="expression" dxfId="1016" priority="24">
      <formula>H30&lt;0</formula>
    </cfRule>
  </conditionalFormatting>
  <conditionalFormatting sqref="Q10">
    <cfRule type="expression" dxfId="1015" priority="21">
      <formula>Q10&gt;0</formula>
    </cfRule>
    <cfRule type="expression" dxfId="1014" priority="22">
      <formula>Q10&lt;0</formula>
    </cfRule>
  </conditionalFormatting>
  <conditionalFormatting sqref="J25:J38">
    <cfRule type="expression" dxfId="1013" priority="19">
      <formula>J25&gt;0</formula>
    </cfRule>
    <cfRule type="expression" dxfId="1012" priority="20">
      <formula>J25&lt;0</formula>
    </cfRule>
  </conditionalFormatting>
  <conditionalFormatting sqref="K25:K38">
    <cfRule type="expression" dxfId="1011" priority="17">
      <formula>K25&gt;0</formula>
    </cfRule>
    <cfRule type="expression" dxfId="1010" priority="18">
      <formula>K25&lt;0</formula>
    </cfRule>
  </conditionalFormatting>
  <conditionalFormatting sqref="L25:L38">
    <cfRule type="expression" dxfId="1009" priority="15">
      <formula>L25&gt;0</formula>
    </cfRule>
    <cfRule type="expression" dxfId="1008" priority="16">
      <formula>L25&lt;0</formula>
    </cfRule>
  </conditionalFormatting>
  <conditionalFormatting sqref="F89:F110">
    <cfRule type="expression" dxfId="1007" priority="13">
      <formula>F89&gt;0</formula>
    </cfRule>
    <cfRule type="expression" dxfId="1006" priority="14">
      <formula>F89&lt;0</formula>
    </cfRule>
  </conditionalFormatting>
  <conditionalFormatting sqref="H89:H110">
    <cfRule type="expression" dxfId="1005" priority="11">
      <formula>H89&gt;0</formula>
    </cfRule>
    <cfRule type="expression" dxfId="1004" priority="12">
      <formula>H89&lt;0</formula>
    </cfRule>
  </conditionalFormatting>
  <conditionalFormatting sqref="J89:J102">
    <cfRule type="expression" dxfId="1003" priority="9">
      <formula>J89&gt;0</formula>
    </cfRule>
    <cfRule type="expression" dxfId="1002" priority="10">
      <formula>J89&lt;0</formula>
    </cfRule>
  </conditionalFormatting>
  <conditionalFormatting sqref="K89:K102">
    <cfRule type="expression" dxfId="1001" priority="7">
      <formula>K89&gt;0</formula>
    </cfRule>
    <cfRule type="expression" dxfId="1000" priority="8">
      <formula>K89&lt;0</formula>
    </cfRule>
  </conditionalFormatting>
  <conditionalFormatting sqref="L89:L102">
    <cfRule type="expression" dxfId="999" priority="5">
      <formula>L89&gt;0</formula>
    </cfRule>
    <cfRule type="expression" dxfId="998" priority="6">
      <formula>L89&lt;0</formula>
    </cfRule>
  </conditionalFormatting>
  <conditionalFormatting sqref="F25:F29">
    <cfRule type="expression" dxfId="997" priority="3">
      <formula>F25&gt;0</formula>
    </cfRule>
    <cfRule type="expression" dxfId="996" priority="4">
      <formula>F25&lt;0</formula>
    </cfRule>
  </conditionalFormatting>
  <conditionalFormatting sqref="H25:H29">
    <cfRule type="expression" dxfId="995" priority="1">
      <formula>H25&gt;0</formula>
    </cfRule>
    <cfRule type="expression" dxfId="99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986</v>
      </c>
      <c r="B2" s="486">
        <v>43139</v>
      </c>
      <c r="C2" s="4">
        <v>40</v>
      </c>
      <c r="D2" s="3">
        <v>67.58</v>
      </c>
      <c r="E2" s="3">
        <v>0</v>
      </c>
      <c r="F2" s="3">
        <f t="shared" ref="F2" si="0">C2*D2+E2</f>
        <v>2703.2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>
        <v>43080</v>
      </c>
      <c r="U2" t="s">
        <v>874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67.58</v>
      </c>
      <c r="T3" s="1"/>
    </row>
    <row r="4" spans="1:2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68.45</v>
      </c>
      <c r="R4" s="509">
        <v>2.1600000000000001E-2</v>
      </c>
      <c r="T4" s="792">
        <v>43103</v>
      </c>
      <c r="U4" s="30" t="s">
        <v>899</v>
      </c>
    </row>
    <row r="5" spans="1:2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2738</v>
      </c>
    </row>
    <row r="6" spans="1:2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2703.2</v>
      </c>
    </row>
    <row r="7" spans="1:2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34.800000000000182</v>
      </c>
      <c r="R7" s="29">
        <v>43171</v>
      </c>
    </row>
    <row r="8" spans="1:2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34.800000000000182</v>
      </c>
    </row>
    <row r="9" spans="1:21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1.2873631251849729E-2</v>
      </c>
      <c r="T9" s="159">
        <v>43174</v>
      </c>
      <c r="U9" t="s">
        <v>82</v>
      </c>
    </row>
    <row r="10" spans="1:21" x14ac:dyDescent="0.25">
      <c r="B10" s="4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40</v>
      </c>
      <c r="D18" s="18"/>
      <c r="E18" s="18"/>
      <c r="F18" s="18">
        <f>SUM(F2:F8)</f>
        <v>2703.2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</row>
    <row r="22" spans="1:17" ht="20.25" thickBot="1" x14ac:dyDescent="0.35">
      <c r="O22" s="802" t="s">
        <v>78</v>
      </c>
      <c r="P22" s="802"/>
    </row>
    <row r="23" spans="1:17" ht="15.75" thickTop="1" x14ac:dyDescent="0.25">
      <c r="O23" s="81">
        <v>1.1000000000000001</v>
      </c>
      <c r="P23" s="81">
        <f>O23*$Q$4</f>
        <v>75.295000000000016</v>
      </c>
      <c r="Q23" s="2"/>
    </row>
    <row r="24" spans="1:17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150</v>
      </c>
      <c r="K24" s="224" t="s">
        <v>714</v>
      </c>
      <c r="L24" s="224" t="s">
        <v>720</v>
      </c>
      <c r="O24" s="81">
        <v>1.0900000000000001</v>
      </c>
      <c r="P24" s="81">
        <f t="shared" ref="P24:P43" si="1">O24*$Q$4</f>
        <v>74.610500000000002</v>
      </c>
      <c r="Q24" s="2"/>
    </row>
    <row r="25" spans="1:17" x14ac:dyDescent="0.25">
      <c r="B25" s="188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6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73.926000000000002</v>
      </c>
      <c r="Q25" s="2"/>
    </row>
    <row r="26" spans="1:17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O26" s="81">
        <v>1.07</v>
      </c>
      <c r="P26" s="81">
        <f t="shared" si="1"/>
        <v>73.241500000000002</v>
      </c>
      <c r="Q26" s="2"/>
    </row>
    <row r="27" spans="1:17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1.06</v>
      </c>
      <c r="P27" s="81">
        <f t="shared" si="1"/>
        <v>72.557000000000002</v>
      </c>
      <c r="Q27" s="2"/>
    </row>
    <row r="28" spans="1:17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1.05</v>
      </c>
      <c r="P28" s="81">
        <f t="shared" si="1"/>
        <v>71.872500000000002</v>
      </c>
      <c r="Q28" s="2"/>
    </row>
    <row r="29" spans="1:17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1.04</v>
      </c>
      <c r="P29" s="81">
        <f t="shared" si="1"/>
        <v>71.188000000000002</v>
      </c>
      <c r="Q29" s="2"/>
    </row>
    <row r="30" spans="1:17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1.03</v>
      </c>
      <c r="P30" s="81">
        <f t="shared" si="1"/>
        <v>70.503500000000003</v>
      </c>
      <c r="Q30" s="2"/>
    </row>
    <row r="31" spans="1:17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1.02</v>
      </c>
      <c r="P31" s="81">
        <f t="shared" si="1"/>
        <v>69.819000000000003</v>
      </c>
      <c r="Q31" s="2"/>
    </row>
    <row r="32" spans="1:17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1.01</v>
      </c>
      <c r="P32" s="81">
        <f t="shared" si="1"/>
        <v>69.134500000000003</v>
      </c>
      <c r="Q32" s="2"/>
    </row>
    <row r="33" spans="2:17" x14ac:dyDescent="0.25"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O33" s="81">
        <v>1</v>
      </c>
      <c r="P33" s="81">
        <f t="shared" si="1"/>
        <v>68.45</v>
      </c>
      <c r="Q33" s="2"/>
    </row>
    <row r="34" spans="2:17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0.99</v>
      </c>
      <c r="P34" s="81">
        <f t="shared" si="1"/>
        <v>67.765500000000003</v>
      </c>
      <c r="Q34" s="2"/>
    </row>
    <row r="35" spans="2:17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0.98</v>
      </c>
      <c r="P35" s="81">
        <f t="shared" si="1"/>
        <v>67.081000000000003</v>
      </c>
      <c r="Q35" s="2"/>
    </row>
    <row r="36" spans="2:17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O36" s="81">
        <v>0.97</v>
      </c>
      <c r="P36" s="81">
        <f t="shared" si="1"/>
        <v>66.396500000000003</v>
      </c>
    </row>
    <row r="37" spans="2:17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O37" s="81">
        <v>0.96</v>
      </c>
      <c r="P37" s="81">
        <f t="shared" si="1"/>
        <v>65.712000000000003</v>
      </c>
    </row>
    <row r="38" spans="2:17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O38" s="81">
        <v>0.95</v>
      </c>
      <c r="P38" s="81">
        <f t="shared" si="1"/>
        <v>65.027500000000003</v>
      </c>
    </row>
    <row r="39" spans="2:17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O39" s="81">
        <v>0.94</v>
      </c>
      <c r="P39" s="81">
        <f t="shared" si="1"/>
        <v>64.343000000000004</v>
      </c>
    </row>
    <row r="40" spans="2:17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1">
        <v>0.93</v>
      </c>
      <c r="P40" s="81">
        <f t="shared" si="1"/>
        <v>63.658500000000004</v>
      </c>
    </row>
    <row r="41" spans="2:17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0.92</v>
      </c>
      <c r="P41" s="81">
        <f t="shared" si="1"/>
        <v>62.974000000000004</v>
      </c>
    </row>
    <row r="42" spans="2:17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0.91</v>
      </c>
      <c r="P42" s="81">
        <f t="shared" si="1"/>
        <v>62.289500000000004</v>
      </c>
    </row>
    <row r="43" spans="2:17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0.9</v>
      </c>
      <c r="P43" s="81">
        <f t="shared" si="1"/>
        <v>61.605000000000004</v>
      </c>
    </row>
    <row r="44" spans="2:17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</row>
    <row r="45" spans="2:17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</row>
    <row r="46" spans="2:17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73"/>
      <c r="I47" s="271"/>
    </row>
    <row r="48" spans="2:17" x14ac:dyDescent="0.25">
      <c r="B48" s="72"/>
      <c r="C48" s="4"/>
      <c r="D48" s="3"/>
      <c r="E48" s="3"/>
      <c r="F48" s="3"/>
      <c r="G48" s="3"/>
      <c r="H48" s="273"/>
      <c r="I48" s="3"/>
    </row>
    <row r="49" spans="1:12" x14ac:dyDescent="0.25">
      <c r="B49" s="72"/>
      <c r="C49" s="4"/>
      <c r="D49" s="3"/>
      <c r="E49" s="3"/>
      <c r="F49" s="3"/>
      <c r="G49" s="3"/>
      <c r="H49" s="273"/>
      <c r="I49" s="3"/>
    </row>
    <row r="50" spans="1:12" x14ac:dyDescent="0.25">
      <c r="B50" s="72"/>
      <c r="C50" s="4"/>
      <c r="D50" s="3"/>
      <c r="E50" s="3"/>
      <c r="F50" s="3"/>
      <c r="G50" s="3"/>
      <c r="H50" s="273"/>
      <c r="I50" s="3"/>
    </row>
    <row r="51" spans="1:12" x14ac:dyDescent="0.25">
      <c r="B51" s="72"/>
      <c r="C51" s="4"/>
      <c r="D51" s="3"/>
      <c r="E51" s="3"/>
      <c r="F51" s="3"/>
      <c r="G51" s="3"/>
      <c r="H51" s="273"/>
      <c r="I51" s="3"/>
    </row>
    <row r="52" spans="1:12" x14ac:dyDescent="0.25">
      <c r="B52" s="72"/>
      <c r="C52" s="4"/>
      <c r="D52" s="3"/>
      <c r="E52" s="3"/>
      <c r="F52" s="3"/>
      <c r="G52" s="3"/>
      <c r="H52" s="273"/>
      <c r="I52" s="3"/>
    </row>
    <row r="53" spans="1:12" x14ac:dyDescent="0.25">
      <c r="B53" s="72"/>
      <c r="C53" s="4"/>
      <c r="D53" s="3"/>
      <c r="E53" s="3"/>
      <c r="F53" s="3"/>
      <c r="G53" s="3"/>
      <c r="H53" s="273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78"/>
      <c r="B66" s="578"/>
      <c r="C66" s="578"/>
      <c r="D66" s="579"/>
      <c r="E66" s="579"/>
      <c r="F66" s="579"/>
      <c r="G66" s="578"/>
      <c r="H66" s="578"/>
      <c r="I66" s="579"/>
      <c r="J66" s="579"/>
      <c r="K66" s="579"/>
      <c r="L66" s="578" t="s">
        <v>65</v>
      </c>
      <c r="M66" s="579">
        <f>M84+K84-F84</f>
        <v>0</v>
      </c>
    </row>
    <row r="67" spans="1:13" x14ac:dyDescent="0.25">
      <c r="A67" s="701" t="s">
        <v>1</v>
      </c>
      <c r="B67" s="701" t="s">
        <v>2</v>
      </c>
      <c r="C67" s="701" t="s">
        <v>4</v>
      </c>
      <c r="D67" s="702" t="s">
        <v>5</v>
      </c>
      <c r="E67" s="702" t="s">
        <v>94</v>
      </c>
      <c r="F67" s="702" t="s">
        <v>60</v>
      </c>
      <c r="G67" s="701" t="s">
        <v>3</v>
      </c>
      <c r="H67" s="701" t="s">
        <v>6</v>
      </c>
      <c r="I67" s="702" t="s">
        <v>7</v>
      </c>
      <c r="J67" s="702" t="s">
        <v>95</v>
      </c>
      <c r="K67" s="702" t="s">
        <v>61</v>
      </c>
      <c r="L67" s="701" t="s">
        <v>37</v>
      </c>
      <c r="M67" s="701" t="s">
        <v>38</v>
      </c>
    </row>
    <row r="68" spans="1:13" x14ac:dyDescent="0.25">
      <c r="A68" s="703" t="s">
        <v>986</v>
      </c>
      <c r="B68" s="581"/>
      <c r="C68" s="578"/>
      <c r="D68" s="579"/>
      <c r="E68" s="579"/>
      <c r="F68" s="579"/>
      <c r="G68" s="581"/>
      <c r="H68" s="578"/>
      <c r="I68" s="579"/>
      <c r="J68" s="579"/>
      <c r="K68" s="579"/>
      <c r="L68" s="581"/>
      <c r="M68" s="579"/>
    </row>
    <row r="69" spans="1:13" x14ac:dyDescent="0.25">
      <c r="A69" s="704"/>
      <c r="B69" s="581"/>
      <c r="C69" s="578"/>
      <c r="D69" s="579"/>
      <c r="E69" s="579"/>
      <c r="F69" s="579"/>
      <c r="G69" s="581"/>
      <c r="H69" s="580"/>
      <c r="I69" s="579"/>
      <c r="J69" s="579"/>
      <c r="K69" s="579"/>
      <c r="L69" s="578"/>
      <c r="M69" s="578"/>
    </row>
    <row r="70" spans="1:13" x14ac:dyDescent="0.25">
      <c r="A70" s="578"/>
      <c r="B70" s="581"/>
      <c r="C70" s="578"/>
      <c r="D70" s="579"/>
      <c r="E70" s="579"/>
      <c r="F70" s="579"/>
      <c r="G70" s="581"/>
      <c r="H70" s="580"/>
      <c r="I70" s="579"/>
      <c r="J70" s="579"/>
      <c r="K70" s="579"/>
      <c r="L70" s="578"/>
      <c r="M70" s="578"/>
    </row>
    <row r="71" spans="1:13" x14ac:dyDescent="0.25">
      <c r="A71" s="578"/>
      <c r="B71" s="581"/>
      <c r="C71" s="578"/>
      <c r="D71" s="579"/>
      <c r="E71" s="579"/>
      <c r="F71" s="579"/>
      <c r="G71" s="578"/>
      <c r="H71" s="580"/>
      <c r="I71" s="579"/>
      <c r="J71" s="579"/>
      <c r="K71" s="579"/>
      <c r="L71" s="578"/>
      <c r="M71" s="578"/>
    </row>
    <row r="72" spans="1:13" x14ac:dyDescent="0.25">
      <c r="A72" s="578"/>
      <c r="B72" s="581"/>
      <c r="C72" s="578"/>
      <c r="D72" s="579"/>
      <c r="E72" s="579"/>
      <c r="F72" s="579"/>
      <c r="G72" s="578"/>
      <c r="H72" s="580"/>
      <c r="I72" s="579"/>
      <c r="J72" s="579"/>
      <c r="K72" s="579"/>
      <c r="L72" s="578"/>
      <c r="M72" s="578"/>
    </row>
    <row r="73" spans="1:13" x14ac:dyDescent="0.25">
      <c r="A73" s="578"/>
      <c r="B73" s="578"/>
      <c r="C73" s="578"/>
      <c r="D73" s="579"/>
      <c r="E73" s="579"/>
      <c r="F73" s="579"/>
      <c r="G73" s="578"/>
      <c r="H73" s="580"/>
      <c r="I73" s="579"/>
      <c r="J73" s="579"/>
      <c r="K73" s="579"/>
      <c r="L73" s="578"/>
      <c r="M73" s="578"/>
    </row>
    <row r="74" spans="1:13" x14ac:dyDescent="0.25">
      <c r="A74" s="578"/>
      <c r="B74" s="578"/>
      <c r="C74" s="578"/>
      <c r="D74" s="579"/>
      <c r="E74" s="579"/>
      <c r="F74" s="579"/>
      <c r="G74" s="578"/>
      <c r="H74" s="580"/>
      <c r="I74" s="579"/>
      <c r="J74" s="579"/>
      <c r="K74" s="579"/>
      <c r="L74" s="578"/>
      <c r="M74" s="578"/>
    </row>
    <row r="75" spans="1:13" x14ac:dyDescent="0.25">
      <c r="A75" s="578"/>
      <c r="B75" s="578"/>
      <c r="C75" s="578"/>
      <c r="D75" s="579"/>
      <c r="E75" s="579"/>
      <c r="F75" s="579"/>
      <c r="G75" s="578"/>
      <c r="H75" s="580"/>
      <c r="I75" s="579"/>
      <c r="J75" s="579"/>
      <c r="K75" s="579"/>
      <c r="L75" s="578"/>
      <c r="M75" s="578"/>
    </row>
    <row r="76" spans="1:13" x14ac:dyDescent="0.25">
      <c r="A76" s="578"/>
      <c r="B76" s="578"/>
      <c r="C76" s="578"/>
      <c r="D76" s="579"/>
      <c r="E76" s="579"/>
      <c r="F76" s="579"/>
      <c r="G76" s="578"/>
      <c r="H76" s="580"/>
      <c r="I76" s="579"/>
      <c r="J76" s="579"/>
      <c r="K76" s="579"/>
      <c r="L76" s="578"/>
      <c r="M76" s="578"/>
    </row>
    <row r="77" spans="1:13" x14ac:dyDescent="0.25">
      <c r="A77" s="578"/>
      <c r="B77" s="578"/>
      <c r="C77" s="578"/>
      <c r="D77" s="579"/>
      <c r="E77" s="579"/>
      <c r="F77" s="579"/>
      <c r="G77" s="578"/>
      <c r="H77" s="580"/>
      <c r="I77" s="579"/>
      <c r="J77" s="579"/>
      <c r="K77" s="579"/>
      <c r="L77" s="578"/>
      <c r="M77" s="578"/>
    </row>
    <row r="78" spans="1:13" x14ac:dyDescent="0.25">
      <c r="A78" s="578"/>
      <c r="B78" s="578"/>
      <c r="C78" s="578"/>
      <c r="D78" s="579"/>
      <c r="E78" s="579"/>
      <c r="F78" s="579"/>
      <c r="G78" s="578"/>
      <c r="H78" s="580"/>
      <c r="I78" s="579"/>
      <c r="J78" s="579"/>
      <c r="K78" s="579"/>
      <c r="L78" s="578"/>
      <c r="M78" s="578"/>
    </row>
    <row r="79" spans="1:13" x14ac:dyDescent="0.25">
      <c r="A79" s="578"/>
      <c r="B79" s="578"/>
      <c r="C79" s="578"/>
      <c r="D79" s="579"/>
      <c r="E79" s="579"/>
      <c r="F79" s="579"/>
      <c r="G79" s="578"/>
      <c r="H79" s="580"/>
      <c r="I79" s="579"/>
      <c r="J79" s="579"/>
      <c r="K79" s="579"/>
      <c r="L79" s="578"/>
      <c r="M79" s="578"/>
    </row>
    <row r="80" spans="1:13" x14ac:dyDescent="0.25">
      <c r="A80" s="578"/>
      <c r="B80" s="578"/>
      <c r="C80" s="578"/>
      <c r="D80" s="579"/>
      <c r="E80" s="579"/>
      <c r="F80" s="579"/>
      <c r="G80" s="578"/>
      <c r="H80" s="580"/>
      <c r="I80" s="579"/>
      <c r="J80" s="579"/>
      <c r="K80" s="579"/>
      <c r="L80" s="578"/>
      <c r="M80" s="578"/>
    </row>
    <row r="81" spans="1:13" x14ac:dyDescent="0.25">
      <c r="A81" s="578"/>
      <c r="B81" s="578"/>
      <c r="C81" s="578"/>
      <c r="D81" s="579"/>
      <c r="E81" s="579"/>
      <c r="F81" s="579"/>
      <c r="G81" s="578"/>
      <c r="H81" s="580"/>
      <c r="I81" s="579"/>
      <c r="J81" s="579"/>
      <c r="K81" s="579"/>
      <c r="L81" s="578"/>
      <c r="M81" s="578"/>
    </row>
    <row r="82" spans="1:13" x14ac:dyDescent="0.25">
      <c r="A82" s="578"/>
      <c r="B82" s="578"/>
      <c r="C82" s="578"/>
      <c r="D82" s="579"/>
      <c r="E82" s="579"/>
      <c r="F82" s="579"/>
      <c r="G82" s="578"/>
      <c r="H82" s="580"/>
      <c r="I82" s="579"/>
      <c r="J82" s="579"/>
      <c r="K82" s="579"/>
      <c r="L82" s="578"/>
      <c r="M82" s="578"/>
    </row>
    <row r="83" spans="1:13" x14ac:dyDescent="0.25">
      <c r="A83" s="578"/>
      <c r="B83" s="578"/>
      <c r="C83" s="578"/>
      <c r="D83" s="579"/>
      <c r="E83" s="579"/>
      <c r="F83" s="579"/>
      <c r="G83" s="578"/>
      <c r="H83" s="578"/>
      <c r="I83" s="579"/>
      <c r="J83" s="579"/>
      <c r="K83" s="579"/>
      <c r="L83" s="578"/>
      <c r="M83" s="578"/>
    </row>
    <row r="84" spans="1:13" x14ac:dyDescent="0.25">
      <c r="A84" s="705" t="s">
        <v>81</v>
      </c>
      <c r="B84" s="706"/>
      <c r="C84" s="706">
        <f>SUM(C68:C72)</f>
        <v>0</v>
      </c>
      <c r="D84" s="707"/>
      <c r="E84" s="707"/>
      <c r="F84" s="707">
        <f>SUM(F68:F72)</f>
        <v>0</v>
      </c>
      <c r="G84" s="706"/>
      <c r="H84" s="708">
        <f>SUM(H68:H71)</f>
        <v>0</v>
      </c>
      <c r="I84" s="707"/>
      <c r="J84" s="707"/>
      <c r="K84" s="707">
        <f>SUM(K68:K71)</f>
        <v>0</v>
      </c>
      <c r="L84" s="706"/>
      <c r="M84" s="707">
        <f>SUM(M68:M76)</f>
        <v>0</v>
      </c>
    </row>
    <row r="85" spans="1:13" ht="15.75" thickBot="1" x14ac:dyDescent="0.3">
      <c r="A85" s="709" t="s">
        <v>194</v>
      </c>
      <c r="B85" s="742"/>
      <c r="C85" s="710">
        <f>SumByColor($A$19,C68:C83)</f>
        <v>0</v>
      </c>
      <c r="D85" s="710"/>
      <c r="E85" s="710"/>
      <c r="F85" s="711">
        <f>SumByColor($A$19,F68:F83)</f>
        <v>0</v>
      </c>
      <c r="G85" s="710"/>
      <c r="H85" s="710">
        <f>SumByColor($A$19,H68:H83)</f>
        <v>0</v>
      </c>
      <c r="I85" s="710"/>
      <c r="J85" s="710"/>
      <c r="K85" s="711">
        <f>SumByColor($A$19,K69:K83)</f>
        <v>0</v>
      </c>
      <c r="L85" s="710"/>
      <c r="M85" s="711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150</v>
      </c>
      <c r="K88" s="224" t="s">
        <v>714</v>
      </c>
      <c r="L88" s="224" t="s">
        <v>720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  <c r="J89" s="39"/>
      <c r="K89" s="39"/>
      <c r="L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  <c r="J90" s="39"/>
      <c r="K90" s="39"/>
      <c r="L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  <c r="J91" s="39"/>
      <c r="K91" s="39"/>
      <c r="L91" s="158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  <c r="J92" s="39"/>
      <c r="K92" s="39"/>
      <c r="L92" s="158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  <c r="J93" s="39"/>
      <c r="K93" s="39"/>
      <c r="L93" s="158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  <c r="L94" s="158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  <c r="L95" s="158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  <c r="L96" s="158"/>
    </row>
    <row r="97" spans="2:12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  <c r="L97" s="158"/>
    </row>
    <row r="98" spans="2:12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  <c r="L98" s="158"/>
    </row>
    <row r="99" spans="2:12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  <c r="L99" s="158"/>
    </row>
    <row r="100" spans="2:12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  <c r="L100" s="39"/>
    </row>
    <row r="101" spans="2:12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  <c r="L101" s="39"/>
    </row>
    <row r="102" spans="2:12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  <c r="L102" s="39"/>
    </row>
    <row r="103" spans="2:12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  <c r="L103" s="39"/>
    </row>
    <row r="104" spans="2:12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  <c r="L104" s="39"/>
    </row>
    <row r="105" spans="2:12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  <c r="L105" s="39"/>
    </row>
    <row r="106" spans="2:12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  <c r="L106" s="39"/>
    </row>
    <row r="107" spans="2:12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  <c r="L107" s="39"/>
    </row>
    <row r="108" spans="2:12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  <c r="L108" s="39"/>
    </row>
    <row r="109" spans="2:12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  <c r="L109" s="39"/>
    </row>
    <row r="110" spans="2:12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993" priority="31">
      <formula>F47&gt;0</formula>
    </cfRule>
    <cfRule type="expression" dxfId="992" priority="32">
      <formula>F47&lt;0</formula>
    </cfRule>
  </conditionalFormatting>
  <conditionalFormatting sqref="Q7">
    <cfRule type="expression" dxfId="991" priority="29">
      <formula>Q7&gt;0</formula>
    </cfRule>
    <cfRule type="expression" dxfId="990" priority="30">
      <formula>Q7&lt;0</formula>
    </cfRule>
  </conditionalFormatting>
  <conditionalFormatting sqref="Q8">
    <cfRule type="expression" dxfId="989" priority="27">
      <formula>Q8&gt;0</formula>
    </cfRule>
    <cfRule type="expression" dxfId="988" priority="28">
      <formula>Q8&lt;0</formula>
    </cfRule>
  </conditionalFormatting>
  <conditionalFormatting sqref="F30:F46">
    <cfRule type="expression" dxfId="987" priority="25">
      <formula>F30&gt;0</formula>
    </cfRule>
    <cfRule type="expression" dxfId="986" priority="26">
      <formula>F30&lt;0</formula>
    </cfRule>
  </conditionalFormatting>
  <conditionalFormatting sqref="H30:H46">
    <cfRule type="expression" dxfId="985" priority="23">
      <formula>H30&gt;0</formula>
    </cfRule>
    <cfRule type="expression" dxfId="984" priority="24">
      <formula>H30&lt;0</formula>
    </cfRule>
  </conditionalFormatting>
  <conditionalFormatting sqref="Q10">
    <cfRule type="expression" dxfId="983" priority="21">
      <formula>Q10&gt;0</formula>
    </cfRule>
    <cfRule type="expression" dxfId="982" priority="22">
      <formula>Q10&lt;0</formula>
    </cfRule>
  </conditionalFormatting>
  <conditionalFormatting sqref="J25:J38">
    <cfRule type="expression" dxfId="981" priority="19">
      <formula>J25&gt;0</formula>
    </cfRule>
    <cfRule type="expression" dxfId="980" priority="20">
      <formula>J25&lt;0</formula>
    </cfRule>
  </conditionalFormatting>
  <conditionalFormatting sqref="K25:K38">
    <cfRule type="expression" dxfId="979" priority="17">
      <formula>K25&gt;0</formula>
    </cfRule>
    <cfRule type="expression" dxfId="978" priority="18">
      <formula>K25&lt;0</formula>
    </cfRule>
  </conditionalFormatting>
  <conditionalFormatting sqref="L25:L38">
    <cfRule type="expression" dxfId="977" priority="15">
      <formula>L25&gt;0</formula>
    </cfRule>
    <cfRule type="expression" dxfId="976" priority="16">
      <formula>L25&lt;0</formula>
    </cfRule>
  </conditionalFormatting>
  <conditionalFormatting sqref="F89:F110">
    <cfRule type="expression" dxfId="975" priority="13">
      <formula>F89&gt;0</formula>
    </cfRule>
    <cfRule type="expression" dxfId="974" priority="14">
      <formula>F89&lt;0</formula>
    </cfRule>
  </conditionalFormatting>
  <conditionalFormatting sqref="H89:H110">
    <cfRule type="expression" dxfId="973" priority="11">
      <formula>H89&gt;0</formula>
    </cfRule>
    <cfRule type="expression" dxfId="972" priority="12">
      <formula>H89&lt;0</formula>
    </cfRule>
  </conditionalFormatting>
  <conditionalFormatting sqref="J89:J102">
    <cfRule type="expression" dxfId="971" priority="9">
      <formula>J89&gt;0</formula>
    </cfRule>
    <cfRule type="expression" dxfId="970" priority="10">
      <formula>J89&lt;0</formula>
    </cfRule>
  </conditionalFormatting>
  <conditionalFormatting sqref="K89:K102">
    <cfRule type="expression" dxfId="969" priority="7">
      <formula>K89&gt;0</formula>
    </cfRule>
    <cfRule type="expression" dxfId="968" priority="8">
      <formula>K89&lt;0</formula>
    </cfRule>
  </conditionalFormatting>
  <conditionalFormatting sqref="L89:L102">
    <cfRule type="expression" dxfId="967" priority="5">
      <formula>L89&gt;0</formula>
    </cfRule>
    <cfRule type="expression" dxfId="966" priority="6">
      <formula>L89&lt;0</formula>
    </cfRule>
  </conditionalFormatting>
  <conditionalFormatting sqref="F25:F29">
    <cfRule type="expression" dxfId="965" priority="3">
      <formula>F25&gt;0</formula>
    </cfRule>
    <cfRule type="expression" dxfId="964" priority="4">
      <formula>F25&lt;0</formula>
    </cfRule>
  </conditionalFormatting>
  <conditionalFormatting sqref="H25:H29">
    <cfRule type="expression" dxfId="963" priority="1">
      <formula>H25&gt;0</formula>
    </cfRule>
    <cfRule type="expression" dxfId="96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65.489999999999995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9"/>
      <c r="AO3" s="229"/>
    </row>
    <row r="4" spans="1:42" x14ac:dyDescent="0.25">
      <c r="B4" s="4"/>
      <c r="C4" s="4"/>
      <c r="D4" s="4"/>
      <c r="E4" s="4"/>
      <c r="F4" s="4"/>
      <c r="G4" s="72"/>
      <c r="H4" s="180"/>
      <c r="I4" s="3"/>
      <c r="J4" s="3"/>
      <c r="K4" s="3"/>
      <c r="L4" s="4"/>
      <c r="M4" s="4"/>
      <c r="O4" s="11" t="s">
        <v>66</v>
      </c>
      <c r="Q4" s="196">
        <v>65.489999999999995</v>
      </c>
      <c r="R4" s="487">
        <v>4.82E-2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9"/>
      <c r="AO4" s="229"/>
    </row>
    <row r="5" spans="1:4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9"/>
      <c r="AO5" s="229"/>
    </row>
    <row r="6" spans="1:4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9"/>
      <c r="AO6" s="229"/>
    </row>
    <row r="7" spans="1:42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9"/>
      <c r="AO8" s="229"/>
      <c r="AP8" s="229"/>
    </row>
    <row r="9" spans="1:42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209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9"/>
      <c r="AO10" s="229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9"/>
      <c r="AO12" s="229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9"/>
      <c r="AO14" s="229"/>
      <c r="AP14" s="229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9"/>
      <c r="AO18" s="229"/>
    </row>
    <row r="19" spans="1:4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SumByColor($A$19,F2:F5)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90" t="s">
        <v>65</v>
      </c>
      <c r="G22" s="224" t="s">
        <v>151</v>
      </c>
      <c r="H22" s="224" t="s">
        <v>154</v>
      </c>
      <c r="I22" s="224" t="s">
        <v>514</v>
      </c>
      <c r="J22" s="224" t="s">
        <v>150</v>
      </c>
      <c r="K22" s="224" t="s">
        <v>714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8">
        <v>42873</v>
      </c>
      <c r="C23" s="10">
        <v>50</v>
      </c>
      <c r="D23" s="195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8"/>
      <c r="C24" s="10"/>
      <c r="D24" s="195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8"/>
      <c r="C25" s="10"/>
      <c r="D25" s="195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8"/>
      <c r="C26" s="10"/>
      <c r="D26" s="195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8"/>
      <c r="C27" s="10"/>
      <c r="D27" s="195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276</v>
      </c>
      <c r="Y27" s="10"/>
      <c r="Z27" s="10"/>
      <c r="AA27" s="10"/>
      <c r="AB27" s="93"/>
      <c r="AC27" s="10"/>
      <c r="AE27" s="134"/>
    </row>
    <row r="28" spans="1:41" x14ac:dyDescent="0.25">
      <c r="B28" s="188"/>
      <c r="C28" s="10"/>
      <c r="D28" s="195"/>
      <c r="E28" s="39"/>
      <c r="F28" s="39"/>
      <c r="G28" s="39"/>
      <c r="H28" s="227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8"/>
      <c r="C29" s="10"/>
      <c r="D29" s="195"/>
      <c r="E29" s="39"/>
      <c r="F29" s="39"/>
      <c r="G29" s="39"/>
      <c r="H29" s="227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8"/>
      <c r="C30" s="10"/>
      <c r="D30" s="195"/>
      <c r="E30" s="39"/>
      <c r="F30" s="39"/>
      <c r="G30" s="39"/>
      <c r="H30" s="227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8"/>
      <c r="C31" s="10"/>
      <c r="D31" s="195"/>
      <c r="E31" s="39"/>
      <c r="F31" s="39"/>
      <c r="G31" s="39"/>
      <c r="H31" s="227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8"/>
      <c r="C32" s="10"/>
      <c r="D32" s="195"/>
      <c r="E32" s="39"/>
      <c r="F32" s="39"/>
      <c r="G32" s="39"/>
      <c r="H32" s="227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8"/>
      <c r="C33" s="10"/>
      <c r="D33" s="195"/>
      <c r="E33" s="39"/>
      <c r="F33" s="39"/>
      <c r="G33" s="39"/>
      <c r="H33" s="227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8"/>
      <c r="C34" s="10"/>
      <c r="D34" s="195"/>
      <c r="E34" s="39"/>
      <c r="F34" s="39"/>
      <c r="G34" s="39"/>
      <c r="H34" s="227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9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81" t="s">
        <v>7</v>
      </c>
      <c r="J37" s="481" t="s">
        <v>95</v>
      </c>
      <c r="K37" s="481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8" t="s">
        <v>195</v>
      </c>
      <c r="B38" s="562">
        <v>42472</v>
      </c>
      <c r="C38" s="254">
        <v>50</v>
      </c>
      <c r="D38" s="255">
        <v>56.99</v>
      </c>
      <c r="E38" s="255">
        <v>0</v>
      </c>
      <c r="F38" s="255">
        <f t="shared" ref="F38:F46" si="0">C38*D38+E38</f>
        <v>2849.5</v>
      </c>
      <c r="G38" s="562">
        <v>42550</v>
      </c>
      <c r="H38" s="260">
        <v>50</v>
      </c>
      <c r="I38" s="255">
        <v>54.95</v>
      </c>
      <c r="J38" s="255">
        <v>7.01</v>
      </c>
      <c r="K38" s="255">
        <f>I38*H38-J38</f>
        <v>2740.49</v>
      </c>
      <c r="L38" s="259">
        <v>42556</v>
      </c>
      <c r="M38" s="255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61" t="s">
        <v>71</v>
      </c>
      <c r="B39" s="562">
        <v>42521</v>
      </c>
      <c r="C39" s="254">
        <v>20</v>
      </c>
      <c r="D39" s="255">
        <v>55.21</v>
      </c>
      <c r="E39" s="255">
        <v>0</v>
      </c>
      <c r="F39" s="255">
        <f t="shared" si="0"/>
        <v>1104.2</v>
      </c>
      <c r="G39" s="562"/>
      <c r="H39" s="260"/>
      <c r="I39" s="255"/>
      <c r="J39" s="255"/>
      <c r="K39" s="255"/>
      <c r="L39" s="254"/>
      <c r="M39" s="254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4"/>
      <c r="B40" s="562">
        <v>42524</v>
      </c>
      <c r="C40" s="254">
        <v>30</v>
      </c>
      <c r="D40" s="255">
        <v>53.75</v>
      </c>
      <c r="E40" s="255">
        <v>0</v>
      </c>
      <c r="F40" s="255">
        <f t="shared" si="0"/>
        <v>1612.5</v>
      </c>
      <c r="G40" s="562"/>
      <c r="H40" s="260"/>
      <c r="I40" s="255"/>
      <c r="J40" s="255"/>
      <c r="K40" s="255"/>
      <c r="L40" s="254"/>
      <c r="M40" s="254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4"/>
      <c r="B41" s="562">
        <v>42524</v>
      </c>
      <c r="C41" s="254">
        <v>20</v>
      </c>
      <c r="D41" s="255">
        <v>53.4</v>
      </c>
      <c r="E41" s="255">
        <v>0</v>
      </c>
      <c r="F41" s="255">
        <f t="shared" si="0"/>
        <v>1068</v>
      </c>
      <c r="G41" s="562">
        <v>42563</v>
      </c>
      <c r="H41" s="260">
        <v>70</v>
      </c>
      <c r="I41" s="255">
        <v>57.78</v>
      </c>
      <c r="J41" s="255">
        <v>0.09</v>
      </c>
      <c r="K41" s="255">
        <f>I41*H41-J41</f>
        <v>4044.5099999999998</v>
      </c>
      <c r="L41" s="254"/>
      <c r="M41" s="254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4"/>
      <c r="B42" s="562">
        <v>42545</v>
      </c>
      <c r="C42" s="254">
        <v>30</v>
      </c>
      <c r="D42" s="255">
        <v>52.38</v>
      </c>
      <c r="E42" s="255">
        <v>0</v>
      </c>
      <c r="F42" s="255">
        <f t="shared" si="0"/>
        <v>1571.4</v>
      </c>
      <c r="G42" s="562">
        <v>42593</v>
      </c>
      <c r="H42" s="260">
        <v>30</v>
      </c>
      <c r="I42" s="255">
        <v>56.38</v>
      </c>
      <c r="J42" s="255">
        <v>0.04</v>
      </c>
      <c r="K42" s="255">
        <f>I42*H42-J42</f>
        <v>1691.3600000000001</v>
      </c>
      <c r="L42" s="254"/>
      <c r="M42" s="254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9"/>
      <c r="AO42" s="229"/>
    </row>
    <row r="43" spans="1:41" ht="15.75" thickTop="1" x14ac:dyDescent="0.25">
      <c r="A43" s="254"/>
      <c r="B43" s="635">
        <v>42640</v>
      </c>
      <c r="C43" s="371">
        <v>20</v>
      </c>
      <c r="D43" s="372">
        <v>52.68</v>
      </c>
      <c r="E43" s="372">
        <v>0</v>
      </c>
      <c r="F43" s="372">
        <f t="shared" si="0"/>
        <v>1053.5999999999999</v>
      </c>
      <c r="G43" s="635">
        <v>42724</v>
      </c>
      <c r="H43" s="371">
        <v>20</v>
      </c>
      <c r="I43" s="372">
        <v>54.68</v>
      </c>
      <c r="J43" s="372">
        <v>0.02</v>
      </c>
      <c r="K43" s="372">
        <f>H43*I43-J43</f>
        <v>1093.58</v>
      </c>
      <c r="L43" s="370">
        <v>42739</v>
      </c>
      <c r="M43" s="372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4"/>
      <c r="B44" s="635">
        <v>42640</v>
      </c>
      <c r="C44" s="371">
        <v>20</v>
      </c>
      <c r="D44" s="372">
        <v>52.68</v>
      </c>
      <c r="E44" s="372">
        <v>0</v>
      </c>
      <c r="F44" s="372">
        <f t="shared" si="0"/>
        <v>1053.5999999999999</v>
      </c>
      <c r="G44" s="635">
        <v>42741</v>
      </c>
      <c r="H44" s="375">
        <v>20</v>
      </c>
      <c r="I44" s="372">
        <v>53.94</v>
      </c>
      <c r="J44" s="372">
        <v>0.12</v>
      </c>
      <c r="K44" s="372">
        <f>H44*I44-J44</f>
        <v>1078.68</v>
      </c>
      <c r="L44" s="371"/>
      <c r="M44" s="371"/>
      <c r="O44" s="804" t="s">
        <v>78</v>
      </c>
      <c r="P44" s="80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4"/>
      <c r="B45" s="655">
        <v>42724</v>
      </c>
      <c r="C45" s="541">
        <v>20</v>
      </c>
      <c r="D45" s="542">
        <v>52.68</v>
      </c>
      <c r="E45" s="542">
        <v>0</v>
      </c>
      <c r="F45" s="542">
        <f t="shared" si="0"/>
        <v>1053.5999999999999</v>
      </c>
      <c r="G45" s="655">
        <v>42774</v>
      </c>
      <c r="H45" s="543">
        <v>20</v>
      </c>
      <c r="I45" s="542">
        <v>53.88</v>
      </c>
      <c r="J45" s="542">
        <v>0.02</v>
      </c>
      <c r="K45" s="542">
        <f>I45*H45-J45</f>
        <v>1077.5800000000002</v>
      </c>
      <c r="L45" s="537"/>
      <c r="M45" s="542"/>
      <c r="O45" s="81">
        <v>1.1000000000000001</v>
      </c>
      <c r="P45" s="81">
        <f>O45*$Q$4</f>
        <v>72.039000000000001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4"/>
      <c r="B46" s="655">
        <v>42766</v>
      </c>
      <c r="C46" s="541">
        <v>20</v>
      </c>
      <c r="D46" s="542">
        <v>51.72</v>
      </c>
      <c r="E46" s="542">
        <v>0</v>
      </c>
      <c r="F46" s="542">
        <f t="shared" si="0"/>
        <v>1034.4000000000001</v>
      </c>
      <c r="G46" s="655">
        <v>42803</v>
      </c>
      <c r="H46" s="543">
        <v>20</v>
      </c>
      <c r="I46" s="542">
        <v>56.41</v>
      </c>
      <c r="J46" s="542">
        <v>0.12</v>
      </c>
      <c r="K46" s="542">
        <f>I46*H46-J46</f>
        <v>1128.08</v>
      </c>
      <c r="L46" s="541"/>
      <c r="M46" s="541"/>
      <c r="O46" s="81">
        <v>1.0900000000000001</v>
      </c>
      <c r="P46" s="81">
        <f t="shared" ref="P46:P65" si="1">O46*$Q$4</f>
        <v>71.384100000000004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4"/>
      <c r="B47" s="562"/>
      <c r="C47" s="254"/>
      <c r="D47" s="254"/>
      <c r="E47" s="254"/>
      <c r="F47" s="254"/>
      <c r="G47" s="562"/>
      <c r="H47" s="260"/>
      <c r="I47" s="255"/>
      <c r="J47" s="255"/>
      <c r="K47" s="255"/>
      <c r="L47" s="259">
        <v>42829</v>
      </c>
      <c r="M47" s="255">
        <v>3.6</v>
      </c>
      <c r="O47" s="81">
        <v>1.08</v>
      </c>
      <c r="P47" s="81">
        <f t="shared" si="1"/>
        <v>70.729200000000006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4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9">
        <v>42921</v>
      </c>
      <c r="M48" s="255">
        <v>9</v>
      </c>
      <c r="O48" s="81">
        <v>1.07</v>
      </c>
      <c r="P48" s="81">
        <f t="shared" si="1"/>
        <v>70.074299999999994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4"/>
      <c r="B49" s="562"/>
      <c r="C49" s="254"/>
      <c r="D49" s="254"/>
      <c r="E49" s="254"/>
      <c r="F49" s="254"/>
      <c r="G49" s="562"/>
      <c r="H49" s="260"/>
      <c r="I49" s="255"/>
      <c r="J49" s="255"/>
      <c r="K49" s="255"/>
      <c r="L49" s="254"/>
      <c r="M49" s="254"/>
      <c r="O49" s="81">
        <v>1.06</v>
      </c>
      <c r="P49" s="81">
        <f t="shared" si="1"/>
        <v>69.419399999999996</v>
      </c>
      <c r="T49" s="91" t="s">
        <v>121</v>
      </c>
      <c r="U49" s="127" t="s">
        <v>541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4"/>
      <c r="B50" s="562"/>
      <c r="C50" s="254"/>
      <c r="D50" s="254"/>
      <c r="E50" s="254"/>
      <c r="F50" s="254"/>
      <c r="G50" s="562"/>
      <c r="H50" s="260"/>
      <c r="I50" s="255"/>
      <c r="J50" s="255"/>
      <c r="K50" s="255"/>
      <c r="L50" s="254"/>
      <c r="M50" s="254"/>
      <c r="O50" s="81">
        <v>1.05</v>
      </c>
      <c r="P50" s="81">
        <f t="shared" si="1"/>
        <v>68.764499999999998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9"/>
      <c r="AO50" s="229"/>
    </row>
    <row r="51" spans="1:41" x14ac:dyDescent="0.25">
      <c r="A51" s="254"/>
      <c r="B51" s="562"/>
      <c r="C51" s="254"/>
      <c r="D51" s="254"/>
      <c r="E51" s="254"/>
      <c r="F51" s="254"/>
      <c r="G51" s="562"/>
      <c r="H51" s="260"/>
      <c r="I51" s="255"/>
      <c r="J51" s="255"/>
      <c r="K51" s="255"/>
      <c r="L51" s="254"/>
      <c r="M51" s="254"/>
      <c r="O51" s="81">
        <v>1.04</v>
      </c>
      <c r="P51" s="81">
        <f t="shared" si="1"/>
        <v>68.1096</v>
      </c>
      <c r="T51" s="91" t="s">
        <v>104</v>
      </c>
      <c r="U51" s="127" t="s">
        <v>634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4"/>
      <c r="B52" s="562"/>
      <c r="C52" s="254"/>
      <c r="D52" s="254"/>
      <c r="E52" s="254"/>
      <c r="F52" s="254"/>
      <c r="G52" s="562"/>
      <c r="H52" s="260"/>
      <c r="I52" s="255"/>
      <c r="J52" s="255"/>
      <c r="K52" s="255"/>
      <c r="L52" s="254"/>
      <c r="M52" s="254"/>
      <c r="O52" s="81">
        <v>1.03</v>
      </c>
      <c r="P52" s="81">
        <f t="shared" si="1"/>
        <v>67.454700000000003</v>
      </c>
      <c r="T52" s="91" t="s">
        <v>105</v>
      </c>
      <c r="U52" s="127" t="s">
        <v>635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4"/>
      <c r="B53" s="562"/>
      <c r="C53" s="254"/>
      <c r="D53" s="254"/>
      <c r="E53" s="254"/>
      <c r="F53" s="254"/>
      <c r="G53" s="562"/>
      <c r="H53" s="260"/>
      <c r="I53" s="255"/>
      <c r="J53" s="255"/>
      <c r="K53" s="255"/>
      <c r="L53" s="254"/>
      <c r="M53" s="254"/>
      <c r="O53" s="81">
        <v>1.02</v>
      </c>
      <c r="P53" s="81">
        <f t="shared" si="1"/>
        <v>66.799799999999991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66.144899999999993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9"/>
      <c r="AO54" s="229"/>
    </row>
    <row r="55" spans="1:41" ht="15.75" thickBot="1" x14ac:dyDescent="0.3">
      <c r="A55" s="450" t="s">
        <v>194</v>
      </c>
      <c r="B55" s="451"/>
      <c r="C55" s="452">
        <f>SumByColor($A$19,C38:C53)</f>
        <v>0</v>
      </c>
      <c r="D55" s="452"/>
      <c r="E55" s="452"/>
      <c r="F55" s="453">
        <f>SumByColor($A$19,F38:F41)</f>
        <v>0</v>
      </c>
      <c r="G55" s="452"/>
      <c r="H55" s="452">
        <f>SumByColor($A$19,H38:H53)</f>
        <v>0</v>
      </c>
      <c r="I55" s="452"/>
      <c r="J55" s="452"/>
      <c r="K55" s="453">
        <f>SumByColor($A$19,K38:K53)</f>
        <v>0</v>
      </c>
      <c r="L55" s="452"/>
      <c r="M55" s="453">
        <f>SumByColor($A$19,M38:M53)</f>
        <v>0</v>
      </c>
      <c r="O55" s="81">
        <v>1</v>
      </c>
      <c r="P55" s="81">
        <f t="shared" si="1"/>
        <v>65.489999999999995</v>
      </c>
      <c r="T55" s="91" t="s">
        <v>107</v>
      </c>
      <c r="U55" s="127" t="s">
        <v>636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64.835099999999997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64.180199999999999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63.525299999999994</v>
      </c>
      <c r="T58" s="91" t="s">
        <v>108</v>
      </c>
      <c r="U58" s="127" t="s">
        <v>562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9"/>
      <c r="AO58" s="229"/>
    </row>
    <row r="59" spans="1:41" x14ac:dyDescent="0.25">
      <c r="O59" s="81">
        <v>0.96</v>
      </c>
      <c r="P59" s="81">
        <f t="shared" si="1"/>
        <v>62.870399999999989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62.215499999999992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61.560599999999994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60.905699999999996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60.250799999999998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59.5959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58.940999999999995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7" t="s">
        <v>120</v>
      </c>
      <c r="AB69" s="230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961" priority="57">
      <formula>F27&gt;0</formula>
    </cfRule>
    <cfRule type="expression" dxfId="960" priority="58">
      <formula>F27&lt;0</formula>
    </cfRule>
  </conditionalFormatting>
  <conditionalFormatting sqref="H28:H33">
    <cfRule type="expression" dxfId="959" priority="53">
      <formula>H28&gt;0</formula>
    </cfRule>
    <cfRule type="expression" dxfId="958" priority="54">
      <formula>H28&lt;0</formula>
    </cfRule>
  </conditionalFormatting>
  <conditionalFormatting sqref="F24:F26">
    <cfRule type="expression" dxfId="957" priority="39">
      <formula>F24&gt;0</formula>
    </cfRule>
    <cfRule type="expression" dxfId="956" priority="40">
      <formula>F24&lt;0</formula>
    </cfRule>
  </conditionalFormatting>
  <conditionalFormatting sqref="Q8">
    <cfRule type="expression" dxfId="955" priority="33">
      <formula>Q8&gt;0</formula>
    </cfRule>
    <cfRule type="expression" dxfId="954" priority="34">
      <formula>Q8&lt;0</formula>
    </cfRule>
  </conditionalFormatting>
  <conditionalFormatting sqref="Q7">
    <cfRule type="expression" dxfId="953" priority="35">
      <formula>Q7&gt;0</formula>
    </cfRule>
    <cfRule type="expression" dxfId="952" priority="36">
      <formula>Q7&lt;0</formula>
    </cfRule>
  </conditionalFormatting>
  <conditionalFormatting sqref="F34">
    <cfRule type="expression" dxfId="951" priority="31">
      <formula>F34&gt;0</formula>
    </cfRule>
    <cfRule type="expression" dxfId="950" priority="32">
      <formula>F34&lt;0</formula>
    </cfRule>
  </conditionalFormatting>
  <conditionalFormatting sqref="H34">
    <cfRule type="expression" dxfId="949" priority="29">
      <formula>H34&gt;0</formula>
    </cfRule>
    <cfRule type="expression" dxfId="948" priority="30">
      <formula>H34&lt;0</formula>
    </cfRule>
  </conditionalFormatting>
  <conditionalFormatting sqref="M36">
    <cfRule type="expression" dxfId="947" priority="19">
      <formula>M36&gt;0</formula>
    </cfRule>
    <cfRule type="expression" dxfId="946" priority="20">
      <formula>M36&lt;0</formula>
    </cfRule>
  </conditionalFormatting>
  <conditionalFormatting sqref="Q10">
    <cfRule type="expression" dxfId="945" priority="15">
      <formula>Q10&gt;0</formula>
    </cfRule>
    <cfRule type="expression" dxfId="944" priority="16">
      <formula>Q10&lt;0</formula>
    </cfRule>
  </conditionalFormatting>
  <conditionalFormatting sqref="F23">
    <cfRule type="expression" dxfId="943" priority="13">
      <formula>F23&gt;0</formula>
    </cfRule>
    <cfRule type="expression" dxfId="942" priority="14">
      <formula>F23&lt;0</formula>
    </cfRule>
  </conditionalFormatting>
  <conditionalFormatting sqref="I25:J25">
    <cfRule type="expression" dxfId="941" priority="9">
      <formula>I25&gt;0</formula>
    </cfRule>
    <cfRule type="expression" dxfId="940" priority="10">
      <formula>I25&lt;0</formula>
    </cfRule>
  </conditionalFormatting>
  <conditionalFormatting sqref="I26:J27">
    <cfRule type="expression" dxfId="939" priority="7">
      <formula>I26&gt;0</formula>
    </cfRule>
    <cfRule type="expression" dxfId="938" priority="8">
      <formula>I26&lt;0</formula>
    </cfRule>
  </conditionalFormatting>
  <conditionalFormatting sqref="K25:K27">
    <cfRule type="expression" dxfId="937" priority="5">
      <formula>K25&gt;0</formula>
    </cfRule>
    <cfRule type="expression" dxfId="936" priority="6">
      <formula>K25&lt;0</formula>
    </cfRule>
  </conditionalFormatting>
  <conditionalFormatting sqref="I23:J23">
    <cfRule type="expression" dxfId="935" priority="3">
      <formula>I23&gt;0</formula>
    </cfRule>
    <cfRule type="expression" dxfId="934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D146"/>
  <sheetViews>
    <sheetView zoomScale="98" zoomScaleNormal="98" workbookViewId="0">
      <pane ySplit="1" topLeftCell="A37" activePane="bottomLeft" state="frozen"/>
      <selection activeCell="A2" sqref="A2"/>
      <selection pane="bottomLeft" activeCell="A69" sqref="A69"/>
    </sheetView>
  </sheetViews>
  <sheetFormatPr defaultRowHeight="15" x14ac:dyDescent="0.25"/>
  <cols>
    <col min="4" max="6" width="9.140625" style="2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6.85546875" bestFit="1" customWidth="1"/>
    <col min="21" max="21" width="18.140625" customWidth="1"/>
    <col min="22" max="22" width="10.7109375" bestFit="1" customWidth="1"/>
    <col min="23" max="23" width="15.5703125" customWidth="1"/>
    <col min="24" max="24" width="14.140625" bestFit="1" customWidth="1"/>
    <col min="25" max="25" width="6" bestFit="1" customWidth="1"/>
    <col min="26" max="27" width="6.7109375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23"/>
      <c r="U1" s="748" t="s">
        <v>812</v>
      </c>
      <c r="V1" s="748" t="s">
        <v>762</v>
      </c>
      <c r="W1" s="748" t="s">
        <v>811</v>
      </c>
      <c r="X1" s="723"/>
      <c r="Y1" s="723"/>
      <c r="AC1" s="11" t="s">
        <v>70</v>
      </c>
    </row>
    <row r="2" spans="1:30" x14ac:dyDescent="0.25">
      <c r="A2" s="6" t="s">
        <v>227</v>
      </c>
      <c r="B2" s="445">
        <v>42758</v>
      </c>
      <c r="C2">
        <v>100</v>
      </c>
      <c r="D2" s="2">
        <v>31.18</v>
      </c>
      <c r="E2" s="2">
        <v>0</v>
      </c>
      <c r="F2" s="3">
        <f t="shared" ref="F2:F9" si="0">D2*C2+E2</f>
        <v>3118</v>
      </c>
      <c r="G2" s="445">
        <v>42809</v>
      </c>
      <c r="H2" s="7">
        <v>100</v>
      </c>
      <c r="I2" s="43">
        <v>28.91</v>
      </c>
      <c r="J2" s="43">
        <v>0.06</v>
      </c>
      <c r="K2" s="43">
        <f t="shared" ref="K2:K12" si="1">I2*H2-J2</f>
        <v>2890.94</v>
      </c>
      <c r="L2" s="72">
        <v>42810</v>
      </c>
      <c r="M2" s="43">
        <v>27.5</v>
      </c>
      <c r="O2" s="11" t="s">
        <v>57</v>
      </c>
      <c r="Q2">
        <f>C22-H22</f>
        <v>600</v>
      </c>
      <c r="T2" s="724" t="s">
        <v>813</v>
      </c>
      <c r="U2" s="747">
        <v>42948</v>
      </c>
      <c r="V2" s="747">
        <v>43039</v>
      </c>
      <c r="W2" s="691"/>
      <c r="X2" s="691"/>
      <c r="Y2" s="691"/>
    </row>
    <row r="3" spans="1:30" x14ac:dyDescent="0.25">
      <c r="A3" s="22" t="s">
        <v>71</v>
      </c>
      <c r="B3" s="445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45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5">
        <f>IF(Q2=0, Q4, (F22-K22-M22)/Q2)</f>
        <v>23.379166666666656</v>
      </c>
      <c r="T3" s="725" t="s">
        <v>757</v>
      </c>
      <c r="U3" s="691"/>
      <c r="V3" s="691"/>
      <c r="W3" s="691"/>
      <c r="X3" s="691"/>
      <c r="Y3" s="691"/>
    </row>
    <row r="4" spans="1:30" x14ac:dyDescent="0.25">
      <c r="B4" s="445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45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24.35</v>
      </c>
      <c r="R4" s="487">
        <v>9.1000000000000004E-3</v>
      </c>
      <c r="T4" s="726" t="s">
        <v>775</v>
      </c>
      <c r="U4" s="730">
        <v>320</v>
      </c>
      <c r="V4" s="730">
        <v>310</v>
      </c>
      <c r="W4" s="730">
        <v>320</v>
      </c>
      <c r="X4" s="691"/>
      <c r="Y4" s="691"/>
    </row>
    <row r="5" spans="1:30" x14ac:dyDescent="0.25">
      <c r="B5" s="445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45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14610</v>
      </c>
      <c r="T5" s="727" t="s">
        <v>768</v>
      </c>
      <c r="U5" s="730">
        <v>340</v>
      </c>
      <c r="V5" s="730">
        <v>330</v>
      </c>
      <c r="W5" s="730">
        <v>350</v>
      </c>
      <c r="X5" s="691"/>
      <c r="Y5" s="691"/>
    </row>
    <row r="6" spans="1:30" x14ac:dyDescent="0.25">
      <c r="B6" s="445">
        <v>42858</v>
      </c>
      <c r="C6" s="4">
        <v>100</v>
      </c>
      <c r="D6" s="3">
        <v>23.98</v>
      </c>
      <c r="E6" s="3">
        <v>0</v>
      </c>
      <c r="F6" s="3">
        <f t="shared" si="0"/>
        <v>2398</v>
      </c>
      <c r="G6" s="445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4"/>
      <c r="O6" s="11" t="s">
        <v>64</v>
      </c>
      <c r="Q6" s="2">
        <f>Q3*Q2</f>
        <v>14027.499999999993</v>
      </c>
      <c r="T6" s="728" t="s">
        <v>760</v>
      </c>
      <c r="U6" s="730">
        <v>336</v>
      </c>
      <c r="V6" s="745">
        <v>329</v>
      </c>
      <c r="W6" s="745"/>
      <c r="X6" s="691"/>
      <c r="Y6" s="691"/>
      <c r="AC6" s="159">
        <v>43150</v>
      </c>
      <c r="AD6" t="s">
        <v>82</v>
      </c>
    </row>
    <row r="7" spans="1:30" x14ac:dyDescent="0.25">
      <c r="B7" s="445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45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4"/>
      <c r="O7" s="11" t="s">
        <v>178</v>
      </c>
      <c r="Q7" s="2">
        <f>Q10+Q8</f>
        <v>2034.7600000000057</v>
      </c>
      <c r="R7">
        <v>50</v>
      </c>
      <c r="T7" s="728" t="s">
        <v>799</v>
      </c>
      <c r="U7" s="730">
        <v>343</v>
      </c>
      <c r="V7" s="730">
        <v>326</v>
      </c>
      <c r="W7" s="730"/>
      <c r="X7" s="691"/>
      <c r="Y7" s="691"/>
    </row>
    <row r="8" spans="1:30" x14ac:dyDescent="0.25">
      <c r="B8" s="445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45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K22+M22-F22+Q2*Q4</f>
        <v>582.50000000000728</v>
      </c>
      <c r="T8" s="728" t="s">
        <v>769</v>
      </c>
      <c r="U8" s="730">
        <v>2.2999999999999998</v>
      </c>
      <c r="V8" s="730">
        <v>2.2000000000000002</v>
      </c>
      <c r="W8" s="730">
        <v>2.2999999999999998</v>
      </c>
      <c r="X8" s="691"/>
      <c r="Y8" s="691"/>
    </row>
    <row r="9" spans="1:30" x14ac:dyDescent="0.25">
      <c r="B9" s="72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45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210</v>
      </c>
      <c r="Q9" s="134">
        <f>IF(Q2=0, 0, Q8/Q6)</f>
        <v>4.1525574763857251E-2</v>
      </c>
      <c r="T9" s="728" t="s">
        <v>770</v>
      </c>
      <c r="U9" s="730">
        <v>2.6</v>
      </c>
      <c r="V9" s="730">
        <v>2.5</v>
      </c>
      <c r="W9" s="730">
        <v>2.6</v>
      </c>
      <c r="X9" s="691"/>
      <c r="Y9" s="691"/>
    </row>
    <row r="10" spans="1:30" x14ac:dyDescent="0.25">
      <c r="B10" s="445">
        <v>42927</v>
      </c>
      <c r="C10" s="7">
        <v>150</v>
      </c>
      <c r="D10" s="43">
        <v>23.3</v>
      </c>
      <c r="E10" s="43">
        <v>0</v>
      </c>
      <c r="F10" s="43">
        <f t="shared" ref="F10" si="2">D10*C10+E10</f>
        <v>3495</v>
      </c>
      <c r="G10" s="445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209</v>
      </c>
      <c r="P10" s="33"/>
      <c r="Q10" s="2">
        <f>M127</f>
        <v>1452.2599999999984</v>
      </c>
      <c r="T10" s="728" t="s">
        <v>788</v>
      </c>
      <c r="U10" s="730">
        <v>2.6</v>
      </c>
      <c r="V10" s="730">
        <v>2.1</v>
      </c>
      <c r="W10" s="730"/>
      <c r="X10" s="691"/>
      <c r="Y10" s="691"/>
    </row>
    <row r="11" spans="1:30" x14ac:dyDescent="0.25">
      <c r="B11" s="445">
        <v>42942</v>
      </c>
      <c r="C11" s="7">
        <v>200</v>
      </c>
      <c r="D11" s="43">
        <v>24.28</v>
      </c>
      <c r="E11" s="43">
        <v>0</v>
      </c>
      <c r="F11" s="43">
        <f t="shared" ref="F11:F18" si="3">D11*C11+E11</f>
        <v>4856</v>
      </c>
      <c r="G11" s="445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4.1067761806981521E-3</v>
      </c>
      <c r="R11">
        <f>0.025</f>
        <v>2.5000000000000001E-2</v>
      </c>
      <c r="T11" s="691"/>
      <c r="U11" s="730"/>
      <c r="V11" s="691"/>
      <c r="W11" s="691"/>
      <c r="X11" s="691"/>
      <c r="Y11" s="691"/>
    </row>
    <row r="12" spans="1:30" x14ac:dyDescent="0.25">
      <c r="B12" s="445">
        <v>42948</v>
      </c>
      <c r="C12" s="7">
        <v>100</v>
      </c>
      <c r="D12" s="43">
        <v>22.88</v>
      </c>
      <c r="E12" s="43">
        <v>0</v>
      </c>
      <c r="F12" s="43">
        <f t="shared" si="3"/>
        <v>2288</v>
      </c>
      <c r="G12" s="445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T12" s="728" t="s">
        <v>763</v>
      </c>
      <c r="U12" s="730"/>
      <c r="V12" s="736">
        <v>7.0000000000000007E-2</v>
      </c>
      <c r="W12" s="736" t="s">
        <v>814</v>
      </c>
      <c r="X12" s="691"/>
      <c r="Y12" s="691"/>
    </row>
    <row r="13" spans="1:30" x14ac:dyDescent="0.25">
      <c r="B13" s="445">
        <v>42948</v>
      </c>
      <c r="C13" s="7">
        <v>100</v>
      </c>
      <c r="D13" s="43">
        <v>22.08</v>
      </c>
      <c r="E13" s="43">
        <v>0</v>
      </c>
      <c r="F13" s="43">
        <f t="shared" si="3"/>
        <v>2208</v>
      </c>
      <c r="H13" s="70"/>
      <c r="T13" s="728" t="s">
        <v>771</v>
      </c>
      <c r="U13" s="730"/>
      <c r="V13" s="736">
        <v>0.09</v>
      </c>
      <c r="W13" s="736"/>
      <c r="X13" s="691"/>
      <c r="Y13" s="691"/>
    </row>
    <row r="14" spans="1:30" x14ac:dyDescent="0.25">
      <c r="B14" s="445">
        <v>42983</v>
      </c>
      <c r="C14" s="7">
        <v>100</v>
      </c>
      <c r="D14" s="43">
        <v>19.61</v>
      </c>
      <c r="E14" s="43">
        <v>-0.38</v>
      </c>
      <c r="F14" s="43">
        <f t="shared" si="3"/>
        <v>1960.62</v>
      </c>
      <c r="H14" s="70"/>
      <c r="T14" s="728" t="s">
        <v>797</v>
      </c>
      <c r="U14" s="737">
        <v>0.08</v>
      </c>
      <c r="V14" s="746">
        <v>0.09</v>
      </c>
      <c r="W14" s="746"/>
      <c r="X14" s="691"/>
      <c r="Y14" s="691"/>
    </row>
    <row r="15" spans="1:30" x14ac:dyDescent="0.25">
      <c r="B15" s="486">
        <v>43116</v>
      </c>
      <c r="C15" s="7">
        <v>50</v>
      </c>
      <c r="D15" s="43">
        <v>25.78</v>
      </c>
      <c r="E15" s="43">
        <v>0</v>
      </c>
      <c r="F15" s="43">
        <f t="shared" si="3"/>
        <v>1289</v>
      </c>
      <c r="H15" s="70"/>
      <c r="T15" s="728" t="s">
        <v>764</v>
      </c>
      <c r="U15" s="730"/>
      <c r="V15" s="691"/>
      <c r="W15" s="691"/>
      <c r="X15" s="691"/>
      <c r="Y15" s="691"/>
    </row>
    <row r="16" spans="1:30" x14ac:dyDescent="0.25">
      <c r="B16" s="486">
        <v>43131</v>
      </c>
      <c r="C16" s="4">
        <v>100</v>
      </c>
      <c r="D16" s="3">
        <v>26.88</v>
      </c>
      <c r="E16" s="3">
        <v>0</v>
      </c>
      <c r="F16" s="3">
        <f t="shared" si="3"/>
        <v>2688</v>
      </c>
      <c r="H16" s="70"/>
      <c r="T16" s="728" t="s">
        <v>765</v>
      </c>
      <c r="U16" s="730"/>
      <c r="V16" s="691"/>
      <c r="W16" s="691"/>
      <c r="X16" s="691"/>
      <c r="Y16" s="691"/>
    </row>
    <row r="17" spans="1:27" x14ac:dyDescent="0.25">
      <c r="B17" s="486">
        <v>43133</v>
      </c>
      <c r="C17" s="4">
        <v>200</v>
      </c>
      <c r="D17" s="2">
        <v>25.88</v>
      </c>
      <c r="E17" s="2">
        <v>0</v>
      </c>
      <c r="F17" s="2">
        <f t="shared" si="3"/>
        <v>5176</v>
      </c>
      <c r="T17" s="728" t="s">
        <v>780</v>
      </c>
      <c r="U17" s="730">
        <v>76</v>
      </c>
      <c r="V17" s="730">
        <v>67</v>
      </c>
      <c r="W17" s="730"/>
      <c r="X17" s="691"/>
      <c r="Y17" s="691"/>
    </row>
    <row r="18" spans="1:27" x14ac:dyDescent="0.25">
      <c r="B18" s="486">
        <v>43140</v>
      </c>
      <c r="C18" s="7">
        <v>200</v>
      </c>
      <c r="D18" s="43">
        <v>23.58</v>
      </c>
      <c r="E18" s="43">
        <v>0</v>
      </c>
      <c r="F18" s="43">
        <f t="shared" si="3"/>
        <v>4716</v>
      </c>
      <c r="T18" s="691"/>
      <c r="U18" s="730"/>
      <c r="V18" s="691"/>
      <c r="W18" s="691"/>
      <c r="X18" s="691"/>
      <c r="Y18" s="691"/>
    </row>
    <row r="19" spans="1:27" x14ac:dyDescent="0.25">
      <c r="C19" s="4"/>
      <c r="D19" s="3"/>
      <c r="E19" s="3"/>
      <c r="F19" s="3"/>
      <c r="T19" s="728" t="s">
        <v>776</v>
      </c>
      <c r="U19" s="733" t="s">
        <v>779</v>
      </c>
      <c r="V19" s="728" t="s">
        <v>779</v>
      </c>
      <c r="W19" s="728" t="s">
        <v>779</v>
      </c>
      <c r="X19" s="691"/>
      <c r="Y19" s="691"/>
    </row>
    <row r="20" spans="1:27" x14ac:dyDescent="0.25">
      <c r="T20" s="728" t="s">
        <v>777</v>
      </c>
      <c r="U20" s="736">
        <v>0.84</v>
      </c>
      <c r="V20" s="746">
        <v>0.8</v>
      </c>
      <c r="W20" s="746"/>
      <c r="X20" s="691"/>
      <c r="Y20" s="691"/>
    </row>
    <row r="21" spans="1:27" x14ac:dyDescent="0.25">
      <c r="T21" s="728" t="s">
        <v>799</v>
      </c>
      <c r="U21" s="736">
        <v>0.82</v>
      </c>
      <c r="V21" s="736">
        <v>0.84</v>
      </c>
      <c r="W21" s="736"/>
      <c r="X21" s="691"/>
      <c r="Y21" s="691"/>
    </row>
    <row r="22" spans="1:27" x14ac:dyDescent="0.25">
      <c r="A22" s="31" t="s">
        <v>81</v>
      </c>
      <c r="B22" s="14"/>
      <c r="C22" s="14">
        <f>SUM(C2:C18)</f>
        <v>2150</v>
      </c>
      <c r="D22" s="18"/>
      <c r="E22" s="18"/>
      <c r="F22" s="18">
        <f>SUM(F2:F18)</f>
        <v>52773.62</v>
      </c>
      <c r="G22" s="14"/>
      <c r="H22" s="14">
        <f>SUM(H2:H12)</f>
        <v>1550</v>
      </c>
      <c r="I22" s="18"/>
      <c r="J22" s="18"/>
      <c r="K22" s="18">
        <f>SUM(K2:K12)</f>
        <v>38481.12000000001</v>
      </c>
      <c r="L22" s="14"/>
      <c r="M22" s="18">
        <f>SUM(M2:M10)</f>
        <v>265</v>
      </c>
      <c r="T22" s="735" t="s">
        <v>796</v>
      </c>
      <c r="U22" s="730">
        <v>975</v>
      </c>
      <c r="V22" s="730">
        <v>799</v>
      </c>
      <c r="W22" s="730"/>
      <c r="X22" s="691"/>
      <c r="Y22" s="691"/>
    </row>
    <row r="23" spans="1:27" ht="15.75" thickBot="1" x14ac:dyDescent="0.3">
      <c r="A23" s="347" t="s">
        <v>194</v>
      </c>
      <c r="B23" s="348"/>
      <c r="C23" s="349">
        <f>SumByColor($A$23,C2:C21)</f>
        <v>1450</v>
      </c>
      <c r="D23" s="349"/>
      <c r="E23" s="349"/>
      <c r="F23" s="350">
        <f>SumByColor($A$23,F2:F21)</f>
        <v>34678</v>
      </c>
      <c r="G23" s="349"/>
      <c r="H23" s="349">
        <f>SumByColor($A$23,H2:H21)</f>
        <v>1350</v>
      </c>
      <c r="I23" s="349"/>
      <c r="J23" s="349"/>
      <c r="K23" s="350">
        <f>SumByColor($A$23,K2:K21)</f>
        <v>33586</v>
      </c>
      <c r="L23" s="349"/>
      <c r="M23" s="350">
        <f>SumByColor($A$23,M2:M21)</f>
        <v>266</v>
      </c>
      <c r="T23" s="691"/>
      <c r="U23" s="730"/>
      <c r="V23" s="691"/>
      <c r="W23" s="691"/>
      <c r="X23" s="691"/>
      <c r="Y23" s="691"/>
    </row>
    <row r="24" spans="1:27" x14ac:dyDescent="0.25">
      <c r="T24" s="725" t="s">
        <v>758</v>
      </c>
      <c r="U24" s="730"/>
      <c r="V24" s="691"/>
      <c r="W24" s="691"/>
      <c r="X24" s="691"/>
      <c r="Y24" s="691"/>
    </row>
    <row r="25" spans="1:27" x14ac:dyDescent="0.25">
      <c r="T25" s="726" t="s">
        <v>772</v>
      </c>
      <c r="U25" s="730">
        <v>170</v>
      </c>
      <c r="V25" s="730">
        <v>165</v>
      </c>
      <c r="W25" s="730">
        <v>175</v>
      </c>
      <c r="X25" s="691"/>
      <c r="Y25" s="691"/>
    </row>
    <row r="26" spans="1:27" x14ac:dyDescent="0.25">
      <c r="B26" s="498" t="s">
        <v>113</v>
      </c>
      <c r="C26" s="498" t="s">
        <v>146</v>
      </c>
      <c r="D26" s="499" t="s">
        <v>145</v>
      </c>
      <c r="E26" s="500" t="s">
        <v>147</v>
      </c>
      <c r="F26" s="500" t="s">
        <v>65</v>
      </c>
      <c r="G26" s="502" t="s">
        <v>151</v>
      </c>
      <c r="H26" s="502" t="s">
        <v>88</v>
      </c>
      <c r="I26" s="502" t="s">
        <v>154</v>
      </c>
      <c r="J26" s="502" t="s">
        <v>514</v>
      </c>
      <c r="K26" s="502" t="s">
        <v>150</v>
      </c>
      <c r="T26" s="727" t="s">
        <v>773</v>
      </c>
      <c r="U26" s="730">
        <v>185</v>
      </c>
      <c r="V26" s="730">
        <v>180</v>
      </c>
      <c r="W26" s="730">
        <v>195</v>
      </c>
      <c r="X26" s="691"/>
      <c r="Y26" s="691"/>
      <c r="AA26" s="2"/>
    </row>
    <row r="27" spans="1:27" x14ac:dyDescent="0.25">
      <c r="B27" s="537">
        <v>42754</v>
      </c>
      <c r="C27" s="541">
        <v>100</v>
      </c>
      <c r="D27" s="542">
        <v>27.58</v>
      </c>
      <c r="E27" s="542">
        <v>30.25</v>
      </c>
      <c r="F27" s="542">
        <f t="shared" ref="F27:F32" si="4">C27*(E27-D27)</f>
        <v>267.00000000000017</v>
      </c>
      <c r="G27" s="542">
        <f t="shared" ref="G27:G32" si="5">D27*C27</f>
        <v>2758</v>
      </c>
      <c r="H27" s="583">
        <f t="shared" ref="H27:H32" si="6">(E27-D27)/D27</f>
        <v>9.6809282088469978E-2</v>
      </c>
      <c r="I27" s="542"/>
      <c r="J27" s="542"/>
      <c r="K27" s="542"/>
      <c r="T27" s="728" t="s">
        <v>760</v>
      </c>
      <c r="U27" s="730">
        <v>179</v>
      </c>
      <c r="V27" s="745">
        <v>182</v>
      </c>
      <c r="W27" s="745"/>
      <c r="X27" s="691"/>
      <c r="Y27" s="691"/>
      <c r="AA27" s="2"/>
    </row>
    <row r="28" spans="1:27" x14ac:dyDescent="0.25">
      <c r="B28" s="537">
        <v>42758</v>
      </c>
      <c r="C28" s="541">
        <v>100</v>
      </c>
      <c r="D28" s="542">
        <v>27.180700000000002</v>
      </c>
      <c r="E28" s="542">
        <v>31.55</v>
      </c>
      <c r="F28" s="542">
        <f t="shared" si="4"/>
        <v>436.92999999999989</v>
      </c>
      <c r="G28" s="542">
        <f t="shared" si="5"/>
        <v>2718.07</v>
      </c>
      <c r="H28" s="583">
        <f t="shared" si="6"/>
        <v>0.16075009105725749</v>
      </c>
      <c r="I28" s="542"/>
      <c r="J28" s="542"/>
      <c r="K28" s="542"/>
      <c r="T28" s="728" t="s">
        <v>799</v>
      </c>
      <c r="U28" s="730">
        <v>178</v>
      </c>
      <c r="V28" s="730">
        <v>160</v>
      </c>
      <c r="W28" s="730"/>
      <c r="X28" s="691"/>
      <c r="Y28" s="691"/>
      <c r="Z28" s="2"/>
      <c r="AA28" s="2"/>
    </row>
    <row r="29" spans="1:27" x14ac:dyDescent="0.25">
      <c r="A29" t="s">
        <v>360</v>
      </c>
      <c r="B29" s="188">
        <v>42758</v>
      </c>
      <c r="C29" s="10">
        <v>100</v>
      </c>
      <c r="D29" s="39">
        <v>31.18</v>
      </c>
      <c r="E29" s="39">
        <v>31.55</v>
      </c>
      <c r="F29" s="39">
        <f t="shared" si="4"/>
        <v>37.000000000000099</v>
      </c>
      <c r="G29" s="39">
        <f t="shared" si="5"/>
        <v>3118</v>
      </c>
      <c r="H29" s="226">
        <f t="shared" si="6"/>
        <v>1.1866581141757569E-2</v>
      </c>
      <c r="I29" s="39"/>
      <c r="J29" s="39"/>
      <c r="K29" s="39"/>
      <c r="T29" s="728" t="s">
        <v>769</v>
      </c>
      <c r="U29" s="730">
        <v>2</v>
      </c>
      <c r="V29" s="730">
        <v>1.9</v>
      </c>
      <c r="W29" s="730">
        <v>1.9</v>
      </c>
      <c r="X29" s="691"/>
      <c r="Y29" s="691"/>
      <c r="Z29" s="2"/>
      <c r="AA29" s="2"/>
    </row>
    <row r="30" spans="1:27" x14ac:dyDescent="0.25">
      <c r="A30" t="s">
        <v>360</v>
      </c>
      <c r="B30" s="188">
        <v>42760</v>
      </c>
      <c r="C30" s="10">
        <v>100</v>
      </c>
      <c r="D30" s="39">
        <v>31.18</v>
      </c>
      <c r="E30" s="39">
        <v>33.26</v>
      </c>
      <c r="F30" s="39">
        <f t="shared" si="4"/>
        <v>207.99999999999983</v>
      </c>
      <c r="G30" s="39">
        <f t="shared" si="5"/>
        <v>3118</v>
      </c>
      <c r="H30" s="226">
        <f t="shared" si="6"/>
        <v>6.6709429121231498E-2</v>
      </c>
      <c r="I30" s="39"/>
      <c r="J30" s="39"/>
      <c r="K30" s="39"/>
      <c r="T30" s="728" t="s">
        <v>770</v>
      </c>
      <c r="U30" s="730">
        <v>2.2999999999999998</v>
      </c>
      <c r="V30" s="730">
        <v>2.2000000000000002</v>
      </c>
      <c r="W30" s="730">
        <v>2.2000000000000002</v>
      </c>
      <c r="X30" s="691"/>
      <c r="Y30" s="691"/>
      <c r="Z30" s="2"/>
      <c r="AA30" s="2"/>
    </row>
    <row r="31" spans="1:27" x14ac:dyDescent="0.25">
      <c r="A31" t="s">
        <v>349</v>
      </c>
      <c r="B31" s="188">
        <v>42787</v>
      </c>
      <c r="C31" s="10">
        <v>100</v>
      </c>
      <c r="D31" s="39">
        <v>31.18</v>
      </c>
      <c r="E31" s="39">
        <v>33.64</v>
      </c>
      <c r="F31" s="39">
        <f t="shared" si="4"/>
        <v>246.00000000000009</v>
      </c>
      <c r="G31" s="39">
        <f t="shared" si="5"/>
        <v>3118</v>
      </c>
      <c r="H31" s="226">
        <f t="shared" si="6"/>
        <v>7.8896728672225816E-2</v>
      </c>
      <c r="I31" s="39"/>
      <c r="J31" s="39"/>
      <c r="K31" s="39"/>
      <c r="T31" s="728" t="s">
        <v>761</v>
      </c>
      <c r="U31" s="730">
        <v>2.2000000000000002</v>
      </c>
      <c r="V31" s="745">
        <v>2.2000000000000002</v>
      </c>
      <c r="W31" s="745"/>
      <c r="X31" s="691"/>
      <c r="Y31" s="691"/>
      <c r="Z31" s="2"/>
    </row>
    <row r="32" spans="1:27" x14ac:dyDescent="0.25">
      <c r="A32">
        <v>100</v>
      </c>
      <c r="B32" s="188">
        <v>42808</v>
      </c>
      <c r="C32" s="232">
        <v>200</v>
      </c>
      <c r="D32" s="233">
        <v>29.83</v>
      </c>
      <c r="E32" s="39">
        <v>28.6</v>
      </c>
      <c r="F32" s="39">
        <f t="shared" si="4"/>
        <v>-245.99999999999937</v>
      </c>
      <c r="G32" s="39">
        <f t="shared" si="5"/>
        <v>5966</v>
      </c>
      <c r="H32" s="226">
        <f t="shared" si="6"/>
        <v>-4.1233657391887259E-2</v>
      </c>
      <c r="I32" s="39"/>
      <c r="J32" s="39">
        <v>30.72</v>
      </c>
      <c r="K32" s="39">
        <v>1207</v>
      </c>
      <c r="T32" s="691"/>
      <c r="U32" s="730"/>
      <c r="V32" s="691"/>
      <c r="W32" s="691"/>
      <c r="X32" s="691"/>
      <c r="Y32" s="691"/>
      <c r="Z32" s="2"/>
      <c r="AA32" s="2"/>
    </row>
    <row r="33" spans="1:26" x14ac:dyDescent="0.25">
      <c r="A33">
        <v>0</v>
      </c>
      <c r="B33" s="188">
        <v>42809</v>
      </c>
      <c r="C33" s="10">
        <v>100</v>
      </c>
      <c r="D33" s="39">
        <v>30.750599999999999</v>
      </c>
      <c r="E33" s="39">
        <v>29.14</v>
      </c>
      <c r="F33" s="39">
        <f t="shared" ref="F33" si="7">C33*(E33-D33)</f>
        <v>-161.0599999999998</v>
      </c>
      <c r="G33" s="39">
        <f t="shared" ref="G33" si="8">D33*C33</f>
        <v>3075.06</v>
      </c>
      <c r="H33" s="226">
        <f t="shared" ref="H33" si="9">(E33-D33)/D33</f>
        <v>-5.2376213797454295E-2</v>
      </c>
      <c r="I33" s="39"/>
      <c r="J33" s="39"/>
      <c r="K33" s="39">
        <v>1291</v>
      </c>
      <c r="T33" s="728" t="s">
        <v>763</v>
      </c>
      <c r="U33" s="730"/>
      <c r="V33" s="736">
        <v>0.15</v>
      </c>
      <c r="W33" s="749" t="s">
        <v>815</v>
      </c>
      <c r="X33" s="691"/>
      <c r="Y33" s="691"/>
    </row>
    <row r="34" spans="1:26" x14ac:dyDescent="0.25">
      <c r="A34">
        <v>0</v>
      </c>
      <c r="B34" s="188">
        <v>42811</v>
      </c>
      <c r="C34" s="10">
        <v>100</v>
      </c>
      <c r="D34" s="39">
        <v>30.4756</v>
      </c>
      <c r="E34" s="39">
        <v>29.17</v>
      </c>
      <c r="F34" s="39">
        <f t="shared" ref="F34:F47" si="10">C34*(E34-D34)</f>
        <v>-130.55999999999983</v>
      </c>
      <c r="G34" s="39">
        <f t="shared" ref="G34:G47" si="11">D34*C34</f>
        <v>3047.56</v>
      </c>
      <c r="H34" s="226">
        <f t="shared" ref="H34:H47" si="12">(E34-D34)/D34</f>
        <v>-4.2840830041081988E-2</v>
      </c>
      <c r="I34" s="39"/>
      <c r="J34" s="39">
        <v>30</v>
      </c>
      <c r="K34" s="39">
        <v>1321</v>
      </c>
      <c r="T34" s="728" t="s">
        <v>771</v>
      </c>
      <c r="U34" s="730"/>
      <c r="V34" s="736">
        <v>0.18</v>
      </c>
      <c r="W34" s="736"/>
      <c r="X34" s="691"/>
      <c r="Y34" s="691"/>
      <c r="Z34" s="2"/>
    </row>
    <row r="35" spans="1:26" x14ac:dyDescent="0.25">
      <c r="A35">
        <v>0</v>
      </c>
      <c r="B35" s="188">
        <v>42836</v>
      </c>
      <c r="C35" s="232">
        <v>200</v>
      </c>
      <c r="D35" s="233">
        <v>29.412800000000001</v>
      </c>
      <c r="E35" s="39">
        <v>28.69</v>
      </c>
      <c r="F35" s="39">
        <f t="shared" si="10"/>
        <v>-144.55999999999989</v>
      </c>
      <c r="G35" s="39">
        <f t="shared" si="11"/>
        <v>5882.56</v>
      </c>
      <c r="H35" s="226">
        <f t="shared" si="12"/>
        <v>-2.4574334983408566E-2</v>
      </c>
      <c r="I35" s="39">
        <v>29</v>
      </c>
      <c r="J35" s="39"/>
      <c r="K35" s="39">
        <v>1308</v>
      </c>
      <c r="T35" s="728" t="s">
        <v>797</v>
      </c>
      <c r="U35" s="736">
        <v>0.23</v>
      </c>
      <c r="V35" s="746">
        <v>0.21</v>
      </c>
      <c r="W35" s="746"/>
      <c r="X35" s="691"/>
      <c r="Y35" s="691"/>
    </row>
    <row r="36" spans="1:26" x14ac:dyDescent="0.25">
      <c r="A36">
        <v>100</v>
      </c>
      <c r="B36" s="188">
        <v>42857</v>
      </c>
      <c r="C36" s="10">
        <v>300</v>
      </c>
      <c r="D36" s="39">
        <v>27.9452</v>
      </c>
      <c r="E36" s="39">
        <v>24.95</v>
      </c>
      <c r="F36" s="39">
        <f t="shared" si="10"/>
        <v>-898.56000000000017</v>
      </c>
      <c r="G36" s="39">
        <f t="shared" si="11"/>
        <v>8383.56</v>
      </c>
      <c r="H36" s="226">
        <f t="shared" si="12"/>
        <v>-0.10718119748650932</v>
      </c>
      <c r="I36" s="39"/>
      <c r="J36" s="39"/>
      <c r="K36" s="39">
        <v>554</v>
      </c>
      <c r="T36" s="728" t="s">
        <v>764</v>
      </c>
      <c r="U36" s="730"/>
      <c r="V36" s="691"/>
      <c r="W36" s="691"/>
      <c r="X36" s="691"/>
      <c r="Y36" s="691"/>
    </row>
    <row r="37" spans="1:26" x14ac:dyDescent="0.25">
      <c r="A37">
        <v>100</v>
      </c>
      <c r="B37" s="188">
        <v>42858</v>
      </c>
      <c r="C37" s="7">
        <v>400</v>
      </c>
      <c r="D37" s="43">
        <v>26.953900000000001</v>
      </c>
      <c r="E37" s="39">
        <v>23.98</v>
      </c>
      <c r="F37" s="39">
        <f t="shared" si="10"/>
        <v>-1189.5600000000002</v>
      </c>
      <c r="G37" s="39">
        <f t="shared" si="11"/>
        <v>10781.56</v>
      </c>
      <c r="H37" s="226">
        <f t="shared" si="12"/>
        <v>-0.11033282753145186</v>
      </c>
      <c r="I37" s="39"/>
      <c r="J37" s="39"/>
      <c r="K37" s="39"/>
      <c r="T37" s="728" t="s">
        <v>765</v>
      </c>
      <c r="U37" s="730"/>
      <c r="V37" s="691"/>
      <c r="W37" s="691"/>
      <c r="X37" s="691"/>
      <c r="Y37" s="691"/>
    </row>
    <row r="38" spans="1:26" x14ac:dyDescent="0.25">
      <c r="A38">
        <v>100</v>
      </c>
      <c r="B38" s="188">
        <v>42862</v>
      </c>
      <c r="C38" s="10">
        <v>400</v>
      </c>
      <c r="D38" s="39">
        <v>26.953900000000001</v>
      </c>
      <c r="E38" s="39">
        <v>23.45</v>
      </c>
      <c r="F38" s="39">
        <f t="shared" si="10"/>
        <v>-1401.5600000000006</v>
      </c>
      <c r="G38" s="39">
        <f t="shared" si="11"/>
        <v>10781.56</v>
      </c>
      <c r="H38" s="226">
        <f t="shared" si="12"/>
        <v>-0.12999603025907203</v>
      </c>
      <c r="I38" s="39"/>
      <c r="J38" s="39"/>
      <c r="K38" s="39">
        <v>50</v>
      </c>
      <c r="T38" s="728" t="s">
        <v>798</v>
      </c>
      <c r="U38" s="730">
        <v>110</v>
      </c>
      <c r="V38" s="745">
        <v>99</v>
      </c>
      <c r="W38" s="745"/>
      <c r="X38" s="691"/>
      <c r="Y38" s="691"/>
    </row>
    <row r="39" spans="1:26" x14ac:dyDescent="0.25">
      <c r="A39">
        <v>200</v>
      </c>
      <c r="B39" s="188">
        <v>42867</v>
      </c>
      <c r="C39" s="10">
        <v>600</v>
      </c>
      <c r="D39" s="39">
        <v>25.63</v>
      </c>
      <c r="E39" s="39">
        <v>22.91</v>
      </c>
      <c r="F39" s="39">
        <f t="shared" si="10"/>
        <v>-1631.9999999999993</v>
      </c>
      <c r="G39" s="39">
        <f t="shared" si="11"/>
        <v>15378</v>
      </c>
      <c r="H39" s="226">
        <f t="shared" si="12"/>
        <v>-0.10612563402262969</v>
      </c>
      <c r="I39" s="39"/>
      <c r="J39" s="39"/>
      <c r="K39" s="39">
        <v>-179</v>
      </c>
      <c r="T39" s="728" t="s">
        <v>776</v>
      </c>
      <c r="U39" s="733" t="s">
        <v>789</v>
      </c>
      <c r="V39" s="728" t="s">
        <v>779</v>
      </c>
      <c r="W39" s="728" t="s">
        <v>816</v>
      </c>
      <c r="X39" s="691"/>
      <c r="Y39" s="691"/>
    </row>
    <row r="40" spans="1:26" ht="20.25" thickBot="1" x14ac:dyDescent="0.35">
      <c r="B40" s="188">
        <v>42898</v>
      </c>
      <c r="C40" s="10">
        <v>400</v>
      </c>
      <c r="D40" s="39">
        <v>26.354199999999999</v>
      </c>
      <c r="E40" s="39">
        <v>23.55</v>
      </c>
      <c r="F40" s="39">
        <f t="shared" si="10"/>
        <v>-1121.6799999999992</v>
      </c>
      <c r="G40" s="39">
        <f t="shared" si="11"/>
        <v>10541.68</v>
      </c>
      <c r="H40" s="226">
        <f t="shared" si="12"/>
        <v>-0.1064042922949662</v>
      </c>
      <c r="I40" s="39"/>
      <c r="J40" s="39"/>
      <c r="K40" s="39">
        <v>331</v>
      </c>
      <c r="O40" s="804" t="s">
        <v>78</v>
      </c>
      <c r="P40" s="804"/>
      <c r="T40" s="728" t="s">
        <v>777</v>
      </c>
      <c r="U40" s="736">
        <v>0.93</v>
      </c>
      <c r="V40" s="746">
        <v>0.87</v>
      </c>
      <c r="W40" s="746"/>
      <c r="X40" s="691"/>
      <c r="Y40" s="691"/>
    </row>
    <row r="41" spans="1:26" ht="15.75" thickTop="1" x14ac:dyDescent="0.25">
      <c r="A41">
        <v>400</v>
      </c>
      <c r="B41" s="188">
        <v>42900</v>
      </c>
      <c r="C41" s="10">
        <v>600</v>
      </c>
      <c r="D41" s="39">
        <v>25.296099999999999</v>
      </c>
      <c r="E41" s="39">
        <v>22.74</v>
      </c>
      <c r="F41" s="39">
        <f t="shared" si="10"/>
        <v>-1533.6600000000003</v>
      </c>
      <c r="G41" s="39">
        <f t="shared" si="11"/>
        <v>15177.66</v>
      </c>
      <c r="H41" s="226">
        <f t="shared" si="12"/>
        <v>-0.10104719699874687</v>
      </c>
      <c r="I41" s="39"/>
      <c r="J41" s="39"/>
      <c r="K41" s="39">
        <v>-81.41</v>
      </c>
      <c r="O41" s="81">
        <v>1.1000000000000001</v>
      </c>
      <c r="P41" s="81">
        <f>O41*$Q$4</f>
        <v>26.785000000000004</v>
      </c>
      <c r="Q41" s="2"/>
      <c r="T41" s="691"/>
      <c r="U41" s="730"/>
      <c r="V41" s="691"/>
      <c r="W41" s="691"/>
      <c r="X41" s="691"/>
      <c r="Y41" s="691"/>
    </row>
    <row r="42" spans="1:26" x14ac:dyDescent="0.25">
      <c r="A42">
        <v>400</v>
      </c>
      <c r="B42" s="188">
        <v>42904</v>
      </c>
      <c r="C42" s="10">
        <v>600</v>
      </c>
      <c r="D42" s="39">
        <v>25.146100000000001</v>
      </c>
      <c r="E42" s="39">
        <v>22.71</v>
      </c>
      <c r="F42" s="39">
        <f t="shared" si="10"/>
        <v>-1461.6599999999999</v>
      </c>
      <c r="G42" s="39">
        <f t="shared" si="11"/>
        <v>15087.66</v>
      </c>
      <c r="H42" s="226">
        <f t="shared" si="12"/>
        <v>-9.6877845868743054E-2</v>
      </c>
      <c r="I42" s="39"/>
      <c r="J42" s="39"/>
      <c r="K42" s="39">
        <v>-9.41</v>
      </c>
      <c r="O42" s="81">
        <v>1.0900000000000001</v>
      </c>
      <c r="P42" s="81">
        <f t="shared" ref="P42:P61" si="13">O42*$Q$4</f>
        <v>26.541500000000003</v>
      </c>
      <c r="Q42" s="2"/>
      <c r="T42" s="735" t="s">
        <v>796</v>
      </c>
      <c r="U42" s="730">
        <v>468</v>
      </c>
      <c r="V42" s="745">
        <v>474</v>
      </c>
      <c r="W42" s="745"/>
      <c r="X42" s="691"/>
      <c r="Y42" s="691"/>
    </row>
    <row r="43" spans="1:26" x14ac:dyDescent="0.25">
      <c r="A43">
        <v>200</v>
      </c>
      <c r="B43" s="188">
        <v>42926</v>
      </c>
      <c r="C43" s="10">
        <v>400</v>
      </c>
      <c r="D43" s="39">
        <v>25.644500000000001</v>
      </c>
      <c r="E43" s="39">
        <v>24.11</v>
      </c>
      <c r="F43" s="39">
        <f t="shared" si="10"/>
        <v>-613.80000000000052</v>
      </c>
      <c r="G43" s="39">
        <f t="shared" si="11"/>
        <v>10257.800000000001</v>
      </c>
      <c r="H43" s="226">
        <f t="shared" si="12"/>
        <v>-5.9837392033379525E-2</v>
      </c>
      <c r="I43" s="39"/>
      <c r="J43" s="39"/>
      <c r="K43" s="39">
        <v>836</v>
      </c>
      <c r="O43" s="81">
        <v>1.08</v>
      </c>
      <c r="P43" s="81">
        <f t="shared" si="13"/>
        <v>26.298000000000002</v>
      </c>
      <c r="Q43" s="2"/>
      <c r="T43" s="691"/>
      <c r="U43" s="730"/>
      <c r="V43" s="691"/>
      <c r="W43" s="691"/>
      <c r="X43" s="691"/>
      <c r="Y43" s="691"/>
    </row>
    <row r="44" spans="1:26" x14ac:dyDescent="0.25">
      <c r="B44" s="188">
        <v>42940</v>
      </c>
      <c r="C44" s="10">
        <v>600</v>
      </c>
      <c r="D44" s="39">
        <v>24.86</v>
      </c>
      <c r="E44" s="39">
        <v>24.22</v>
      </c>
      <c r="F44" s="39">
        <f t="shared" si="10"/>
        <v>-384.00000000000034</v>
      </c>
      <c r="G44" s="39">
        <f t="shared" si="11"/>
        <v>14916</v>
      </c>
      <c r="H44" s="226">
        <f t="shared" si="12"/>
        <v>-2.5744167337087714E-2</v>
      </c>
      <c r="I44" s="39"/>
      <c r="J44" s="39"/>
      <c r="K44" s="39">
        <v>1066</v>
      </c>
      <c r="O44" s="81">
        <v>1.07</v>
      </c>
      <c r="P44" s="81">
        <f t="shared" si="13"/>
        <v>26.054500000000004</v>
      </c>
      <c r="Q44" s="2"/>
      <c r="T44" s="725" t="s">
        <v>759</v>
      </c>
      <c r="U44" s="730"/>
      <c r="V44" s="691"/>
      <c r="W44" s="691"/>
      <c r="X44" s="691"/>
      <c r="Y44" s="691"/>
    </row>
    <row r="45" spans="1:26" x14ac:dyDescent="0.25">
      <c r="A45">
        <v>200</v>
      </c>
      <c r="B45" s="188">
        <v>42941</v>
      </c>
      <c r="C45" s="7">
        <v>400</v>
      </c>
      <c r="D45" s="43">
        <v>24.794799999999999</v>
      </c>
      <c r="E45" s="39">
        <v>24.22</v>
      </c>
      <c r="F45" s="39">
        <f t="shared" si="10"/>
        <v>-229.9199999999999</v>
      </c>
      <c r="G45" s="39">
        <f t="shared" si="11"/>
        <v>9917.92</v>
      </c>
      <c r="H45" s="226">
        <f t="shared" si="12"/>
        <v>-2.3182280155516471E-2</v>
      </c>
      <c r="I45" s="39">
        <v>23</v>
      </c>
      <c r="J45" s="39"/>
      <c r="K45" s="39">
        <v>1222</v>
      </c>
      <c r="O45" s="81">
        <v>1.06</v>
      </c>
      <c r="P45" s="81">
        <f t="shared" si="13"/>
        <v>25.811000000000003</v>
      </c>
      <c r="Q45" s="2"/>
      <c r="T45" s="728" t="s">
        <v>769</v>
      </c>
      <c r="U45" s="730">
        <v>1.4</v>
      </c>
      <c r="V45" s="730">
        <v>2.2999999999999998</v>
      </c>
      <c r="W45" s="730">
        <v>1.5</v>
      </c>
      <c r="X45" s="691"/>
      <c r="Y45" s="691"/>
    </row>
    <row r="46" spans="1:26" x14ac:dyDescent="0.25">
      <c r="A46">
        <v>200</v>
      </c>
      <c r="B46" s="188">
        <v>42942</v>
      </c>
      <c r="C46" s="10">
        <v>600</v>
      </c>
      <c r="D46" s="39">
        <v>24.623000000000001</v>
      </c>
      <c r="E46" s="39">
        <v>23.6</v>
      </c>
      <c r="F46" s="39">
        <f t="shared" si="10"/>
        <v>-613.79999999999984</v>
      </c>
      <c r="G46" s="39">
        <f t="shared" si="11"/>
        <v>14773.800000000001</v>
      </c>
      <c r="H46" s="226">
        <f t="shared" si="12"/>
        <v>-4.1546521544897033E-2</v>
      </c>
      <c r="I46" s="39"/>
      <c r="J46" s="39"/>
      <c r="K46" s="39">
        <v>838</v>
      </c>
      <c r="O46" s="81">
        <v>1.05</v>
      </c>
      <c r="P46" s="81">
        <f t="shared" si="13"/>
        <v>25.567500000000003</v>
      </c>
      <c r="Q46" s="2"/>
      <c r="T46" s="728" t="s">
        <v>770</v>
      </c>
      <c r="U46" s="730">
        <v>1.7</v>
      </c>
      <c r="V46" s="730">
        <v>2.6</v>
      </c>
      <c r="W46" s="730">
        <v>1.8</v>
      </c>
      <c r="X46" s="691"/>
      <c r="Y46" s="691"/>
    </row>
    <row r="47" spans="1:26" x14ac:dyDescent="0.25">
      <c r="B47" s="188">
        <v>42948</v>
      </c>
      <c r="C47" s="10">
        <v>800</v>
      </c>
      <c r="D47" s="39">
        <v>24.087399999999999</v>
      </c>
      <c r="E47" s="39">
        <v>22.75</v>
      </c>
      <c r="F47" s="39">
        <f t="shared" si="10"/>
        <v>-1069.9199999999992</v>
      </c>
      <c r="G47" s="39">
        <f t="shared" si="11"/>
        <v>19269.919999999998</v>
      </c>
      <c r="H47" s="226">
        <f t="shared" si="12"/>
        <v>-5.5522804453780765E-2</v>
      </c>
      <c r="I47" s="39"/>
      <c r="J47" s="39"/>
      <c r="K47" s="39"/>
      <c r="O47" s="81">
        <v>1.04</v>
      </c>
      <c r="P47" s="81">
        <f t="shared" si="13"/>
        <v>25.324000000000002</v>
      </c>
      <c r="Q47" s="2"/>
      <c r="T47" s="728" t="s">
        <v>761</v>
      </c>
      <c r="U47" s="730">
        <v>1.6</v>
      </c>
      <c r="V47" s="745">
        <v>2.5</v>
      </c>
      <c r="W47" s="745"/>
      <c r="X47" s="691"/>
      <c r="Y47" s="691"/>
    </row>
    <row r="48" spans="1:26" x14ac:dyDescent="0.25">
      <c r="A48">
        <v>800</v>
      </c>
      <c r="B48" s="188">
        <v>42983</v>
      </c>
      <c r="C48" s="10">
        <v>900</v>
      </c>
      <c r="D48" s="39">
        <v>23.59</v>
      </c>
      <c r="E48" s="39">
        <v>19.46</v>
      </c>
      <c r="F48" s="39">
        <f t="shared" ref="F48" si="14">C48*(E48-D48)</f>
        <v>-3716.9999999999991</v>
      </c>
      <c r="G48" s="39">
        <f t="shared" ref="G48" si="15">D48*C48</f>
        <v>21231</v>
      </c>
      <c r="H48" s="226">
        <f t="shared" ref="H48" si="16">(E48-D48)/D48</f>
        <v>-0.17507418397626109</v>
      </c>
      <c r="I48" s="39"/>
      <c r="J48" s="39"/>
      <c r="K48" s="39">
        <v>-2264</v>
      </c>
      <c r="O48" s="81">
        <v>1.03</v>
      </c>
      <c r="P48" s="81">
        <f t="shared" si="13"/>
        <v>25.080500000000001</v>
      </c>
      <c r="Q48" s="2"/>
      <c r="T48" s="691"/>
      <c r="U48" s="730"/>
      <c r="V48" s="691"/>
      <c r="W48" s="691"/>
      <c r="X48" s="691"/>
      <c r="Y48" s="691"/>
    </row>
    <row r="49" spans="1:25" x14ac:dyDescent="0.25">
      <c r="A49">
        <v>700</v>
      </c>
      <c r="B49" s="188">
        <v>42984</v>
      </c>
      <c r="C49" s="435">
        <v>800</v>
      </c>
      <c r="D49" s="436">
        <v>24.0657</v>
      </c>
      <c r="E49" s="39">
        <v>19.78</v>
      </c>
      <c r="F49" s="39">
        <f t="shared" ref="F49" si="17">C49*(E49-D49)</f>
        <v>-3428.5599999999986</v>
      </c>
      <c r="G49" s="39">
        <f t="shared" ref="G49" si="18">D49*C49</f>
        <v>19252.560000000001</v>
      </c>
      <c r="H49" s="226">
        <f t="shared" ref="H49" si="19">(E49-D49)/D49</f>
        <v>-0.17808333021686459</v>
      </c>
      <c r="I49" s="39">
        <v>23.5</v>
      </c>
      <c r="J49" s="39"/>
      <c r="K49" s="39">
        <v>-2128</v>
      </c>
      <c r="O49" s="81">
        <v>1.02</v>
      </c>
      <c r="P49" s="81">
        <f t="shared" si="13"/>
        <v>24.837000000000003</v>
      </c>
      <c r="Q49" s="2"/>
      <c r="T49" s="728" t="s">
        <v>766</v>
      </c>
      <c r="U49" s="730">
        <v>20</v>
      </c>
      <c r="V49" s="728" t="s">
        <v>804</v>
      </c>
      <c r="W49" s="733">
        <v>20</v>
      </c>
      <c r="X49" s="691"/>
      <c r="Y49" s="691"/>
    </row>
    <row r="50" spans="1:25" x14ac:dyDescent="0.25">
      <c r="A50">
        <v>700</v>
      </c>
      <c r="B50" s="188">
        <v>42996</v>
      </c>
      <c r="C50" s="10">
        <v>800</v>
      </c>
      <c r="D50" s="39">
        <v>24.0657</v>
      </c>
      <c r="E50" s="39">
        <v>21.31</v>
      </c>
      <c r="F50" s="39">
        <f t="shared" ref="F50:F52" si="20">C50*(E50-D50)</f>
        <v>-2204.5600000000009</v>
      </c>
      <c r="G50" s="39">
        <f t="shared" ref="G50:G52" si="21">D50*C50</f>
        <v>19252.560000000001</v>
      </c>
      <c r="H50" s="226">
        <f t="shared" ref="H50:H52" si="22">(E50-D50)/D50</f>
        <v>-0.11450736940957466</v>
      </c>
      <c r="I50" s="39">
        <v>23.5</v>
      </c>
      <c r="J50" s="39"/>
      <c r="K50" s="39">
        <v>-752</v>
      </c>
      <c r="O50" s="81">
        <v>1.01</v>
      </c>
      <c r="P50" s="81">
        <f t="shared" si="13"/>
        <v>24.593500000000002</v>
      </c>
      <c r="Q50" s="2"/>
      <c r="T50" s="728" t="s">
        <v>774</v>
      </c>
      <c r="U50" s="730"/>
      <c r="V50" s="691"/>
      <c r="W50" s="691"/>
      <c r="X50" s="691"/>
      <c r="Y50" s="691"/>
    </row>
    <row r="51" spans="1:25" x14ac:dyDescent="0.25">
      <c r="A51">
        <v>700</v>
      </c>
      <c r="B51" s="188">
        <v>42999</v>
      </c>
      <c r="C51" s="435">
        <v>800</v>
      </c>
      <c r="D51" s="436">
        <v>23.896999999999998</v>
      </c>
      <c r="E51" s="39">
        <v>21.59</v>
      </c>
      <c r="F51" s="39">
        <f t="shared" si="20"/>
        <v>-1845.599999999999</v>
      </c>
      <c r="G51" s="39">
        <f t="shared" si="21"/>
        <v>19117.599999999999</v>
      </c>
      <c r="H51" s="226">
        <f t="shared" si="22"/>
        <v>-9.6539314558312703E-2</v>
      </c>
      <c r="I51" s="39">
        <v>23.5</v>
      </c>
      <c r="J51" s="39"/>
      <c r="K51" s="39">
        <v>-393</v>
      </c>
      <c r="L51" t="s">
        <v>185</v>
      </c>
      <c r="O51" s="81">
        <v>1</v>
      </c>
      <c r="P51" s="81">
        <f t="shared" si="13"/>
        <v>24.35</v>
      </c>
      <c r="Q51" s="2"/>
      <c r="T51" s="728" t="s">
        <v>800</v>
      </c>
      <c r="U51" s="730">
        <v>24</v>
      </c>
      <c r="V51" s="745">
        <v>25</v>
      </c>
      <c r="W51" s="745"/>
      <c r="X51" s="691"/>
      <c r="Y51" s="691"/>
    </row>
    <row r="52" spans="1:25" x14ac:dyDescent="0.25">
      <c r="B52" s="188">
        <v>43023</v>
      </c>
      <c r="C52" s="10">
        <v>800</v>
      </c>
      <c r="D52" s="39">
        <v>23.9</v>
      </c>
      <c r="E52" s="39">
        <v>21.78</v>
      </c>
      <c r="F52" s="39">
        <f t="shared" si="20"/>
        <v>-1695.999999999998</v>
      </c>
      <c r="G52" s="39">
        <f t="shared" si="21"/>
        <v>19120</v>
      </c>
      <c r="H52" s="226">
        <f t="shared" si="22"/>
        <v>-8.8702928870292783E-2</v>
      </c>
      <c r="I52" s="39"/>
      <c r="J52" s="39">
        <v>61</v>
      </c>
      <c r="K52" s="39">
        <v>-241</v>
      </c>
      <c r="O52" s="81">
        <v>0.99</v>
      </c>
      <c r="P52" s="81">
        <f t="shared" si="13"/>
        <v>24.1065</v>
      </c>
      <c r="Q52" s="2"/>
      <c r="T52" s="725"/>
      <c r="U52" s="731"/>
      <c r="V52" s="691"/>
      <c r="W52" s="691"/>
      <c r="X52" s="691"/>
      <c r="Y52" s="691"/>
    </row>
    <row r="53" spans="1:25" x14ac:dyDescent="0.25">
      <c r="A53">
        <v>800</v>
      </c>
      <c r="B53" s="188">
        <v>43031</v>
      </c>
      <c r="C53" s="10">
        <v>800</v>
      </c>
      <c r="D53" s="39">
        <v>23.9</v>
      </c>
      <c r="E53" s="39">
        <v>21.03</v>
      </c>
      <c r="F53" s="39">
        <f t="shared" ref="F53" si="23">C53*(E53-D53)</f>
        <v>-2295.9999999999982</v>
      </c>
      <c r="G53" s="39">
        <f t="shared" ref="G53" si="24">D53*C53</f>
        <v>19120</v>
      </c>
      <c r="H53" s="226">
        <f t="shared" ref="H53" si="25">(E53-D53)/D53</f>
        <v>-0.1200836820083681</v>
      </c>
      <c r="I53" s="39"/>
      <c r="J53" s="39"/>
      <c r="K53" s="39">
        <v>-841</v>
      </c>
      <c r="O53" s="81">
        <v>0.98</v>
      </c>
      <c r="P53" s="81">
        <f t="shared" si="13"/>
        <v>23.863</v>
      </c>
      <c r="Q53" s="2"/>
      <c r="T53" s="728" t="s">
        <v>798</v>
      </c>
      <c r="U53" s="732">
        <v>39</v>
      </c>
      <c r="V53" s="730">
        <v>64</v>
      </c>
      <c r="W53" s="730"/>
      <c r="X53" s="691"/>
      <c r="Y53" s="691"/>
    </row>
    <row r="54" spans="1:25" x14ac:dyDescent="0.25">
      <c r="A54">
        <v>800</v>
      </c>
      <c r="B54" s="188">
        <v>43050</v>
      </c>
      <c r="C54" s="10">
        <v>800</v>
      </c>
      <c r="D54" s="39">
        <v>23.9</v>
      </c>
      <c r="E54" s="39">
        <v>22.84</v>
      </c>
      <c r="F54" s="39">
        <f t="shared" ref="F54:F55" si="26">C54*(E54-D54)</f>
        <v>-847.99999999999898</v>
      </c>
      <c r="G54" s="39">
        <f t="shared" ref="G54:G55" si="27">D54*C54</f>
        <v>19120</v>
      </c>
      <c r="H54" s="226">
        <f t="shared" ref="H54:H55" si="28">(E54-D54)/D54</f>
        <v>-4.4351464435146391E-2</v>
      </c>
      <c r="I54" s="39"/>
      <c r="J54" s="39">
        <v>60.22</v>
      </c>
      <c r="K54" s="39">
        <v>607</v>
      </c>
      <c r="O54" s="81">
        <v>0.97</v>
      </c>
      <c r="P54" s="81">
        <f t="shared" si="13"/>
        <v>23.619500000000002</v>
      </c>
      <c r="T54" s="728" t="s">
        <v>801</v>
      </c>
      <c r="U54" s="738">
        <f>U53/U57</f>
        <v>6.6895368782161235E-2</v>
      </c>
      <c r="V54" s="738">
        <f>V53/V57</f>
        <v>6.8743286788399569E-2</v>
      </c>
      <c r="W54" s="738"/>
      <c r="X54" s="691"/>
      <c r="Y54" s="691"/>
    </row>
    <row r="55" spans="1:25" x14ac:dyDescent="0.25">
      <c r="A55">
        <v>500</v>
      </c>
      <c r="B55" s="188">
        <v>43068</v>
      </c>
      <c r="C55" s="10">
        <v>500</v>
      </c>
      <c r="D55" s="39">
        <v>23.4815</v>
      </c>
      <c r="E55" s="39">
        <v>24.39</v>
      </c>
      <c r="F55" s="39">
        <f t="shared" si="26"/>
        <v>454.25000000000006</v>
      </c>
      <c r="G55" s="39">
        <f t="shared" si="27"/>
        <v>11740.75</v>
      </c>
      <c r="H55" s="226">
        <f t="shared" si="28"/>
        <v>3.8690032578838664E-2</v>
      </c>
      <c r="I55" s="39"/>
      <c r="J55" s="39"/>
      <c r="K55" s="39">
        <v>1907</v>
      </c>
      <c r="O55" s="81">
        <v>0.96</v>
      </c>
      <c r="P55" s="81">
        <f t="shared" si="13"/>
        <v>23.376000000000001</v>
      </c>
      <c r="T55" s="728" t="s">
        <v>802</v>
      </c>
      <c r="U55" s="730">
        <v>356</v>
      </c>
      <c r="V55" s="745">
        <v>366</v>
      </c>
      <c r="W55" s="745"/>
      <c r="X55" s="691"/>
      <c r="Y55" s="691"/>
    </row>
    <row r="56" spans="1:25" x14ac:dyDescent="0.25">
      <c r="A56">
        <v>500</v>
      </c>
      <c r="B56" s="188">
        <v>43081</v>
      </c>
      <c r="C56" s="10">
        <v>500</v>
      </c>
      <c r="D56" s="39">
        <v>23.4815</v>
      </c>
      <c r="E56" s="39">
        <v>24.82</v>
      </c>
      <c r="F56" s="39">
        <f t="shared" ref="F56:F59" si="29">C56*(E56-D56)</f>
        <v>669.24999999999989</v>
      </c>
      <c r="G56" s="39">
        <f t="shared" ref="G56:G59" si="30">D56*C56</f>
        <v>11740.75</v>
      </c>
      <c r="H56" s="226">
        <f t="shared" ref="H56:H59" si="31">(E56-D56)/D56</f>
        <v>5.7002320976087546E-2</v>
      </c>
      <c r="I56" s="39"/>
      <c r="J56" s="39"/>
      <c r="K56" s="39">
        <v>2121</v>
      </c>
      <c r="O56" s="81">
        <v>0.95</v>
      </c>
      <c r="P56" s="81">
        <f t="shared" si="13"/>
        <v>23.1325</v>
      </c>
      <c r="T56" s="739" t="s">
        <v>803</v>
      </c>
      <c r="U56" s="730">
        <v>374</v>
      </c>
      <c r="V56" s="730">
        <v>380</v>
      </c>
      <c r="W56" s="730"/>
      <c r="X56" s="691"/>
      <c r="Y56" s="691"/>
    </row>
    <row r="57" spans="1:25" x14ac:dyDescent="0.25">
      <c r="A57">
        <v>450</v>
      </c>
      <c r="B57" s="188">
        <v>43090</v>
      </c>
      <c r="C57" s="10">
        <v>450</v>
      </c>
      <c r="D57" s="39">
        <v>23.29</v>
      </c>
      <c r="E57" s="39">
        <v>25.23</v>
      </c>
      <c r="F57" s="39">
        <f t="shared" si="29"/>
        <v>873.00000000000057</v>
      </c>
      <c r="G57" s="39">
        <f t="shared" si="30"/>
        <v>10480.5</v>
      </c>
      <c r="H57" s="226">
        <f t="shared" si="31"/>
        <v>8.3297552597681471E-2</v>
      </c>
      <c r="I57" s="39"/>
      <c r="J57" s="39">
        <v>68</v>
      </c>
      <c r="K57" s="39">
        <v>2324</v>
      </c>
      <c r="O57" s="81">
        <v>0.94</v>
      </c>
      <c r="P57" s="81">
        <f t="shared" si="13"/>
        <v>22.888999999999999</v>
      </c>
      <c r="T57" s="735" t="s">
        <v>796</v>
      </c>
      <c r="U57" s="732">
        <v>583</v>
      </c>
      <c r="V57" s="730">
        <v>931</v>
      </c>
      <c r="W57" s="730"/>
      <c r="X57" s="691"/>
      <c r="Y57" s="691"/>
    </row>
    <row r="58" spans="1:25" x14ac:dyDescent="0.25">
      <c r="A58">
        <v>400</v>
      </c>
      <c r="B58" s="188">
        <v>43102</v>
      </c>
      <c r="C58" s="7">
        <v>400</v>
      </c>
      <c r="D58" s="43">
        <v>22.85</v>
      </c>
      <c r="E58" s="39">
        <v>26.65</v>
      </c>
      <c r="F58" s="39">
        <f t="shared" si="29"/>
        <v>1519.9999999999989</v>
      </c>
      <c r="G58" s="39">
        <f t="shared" si="30"/>
        <v>9140</v>
      </c>
      <c r="H58" s="226">
        <f t="shared" si="31"/>
        <v>0.16630196936542657</v>
      </c>
      <c r="I58" s="763" t="s">
        <v>886</v>
      </c>
      <c r="J58" s="39"/>
      <c r="K58" s="39">
        <v>2972</v>
      </c>
      <c r="O58" s="81">
        <v>0.93</v>
      </c>
      <c r="P58" s="81">
        <f t="shared" si="13"/>
        <v>22.645500000000002</v>
      </c>
      <c r="T58" s="728"/>
      <c r="U58" s="732"/>
      <c r="V58" s="691"/>
      <c r="W58" s="691"/>
      <c r="X58" s="691"/>
      <c r="Y58" s="691"/>
    </row>
    <row r="59" spans="1:25" x14ac:dyDescent="0.25">
      <c r="A59">
        <v>400</v>
      </c>
      <c r="B59" s="188">
        <v>43110</v>
      </c>
      <c r="C59" s="10">
        <v>400</v>
      </c>
      <c r="D59" s="39">
        <v>22.8508</v>
      </c>
      <c r="E59" s="39">
        <v>25.91</v>
      </c>
      <c r="F59" s="39">
        <f t="shared" si="29"/>
        <v>1223.6800000000003</v>
      </c>
      <c r="G59" s="39">
        <f t="shared" si="30"/>
        <v>9140.32</v>
      </c>
      <c r="H59" s="226">
        <f t="shared" si="31"/>
        <v>0.13387715090937738</v>
      </c>
      <c r="I59" s="39"/>
      <c r="J59" s="39"/>
      <c r="K59" s="39">
        <v>2676</v>
      </c>
      <c r="O59" s="81">
        <v>0.92</v>
      </c>
      <c r="P59" s="81">
        <f t="shared" si="13"/>
        <v>22.402000000000001</v>
      </c>
      <c r="T59" s="728"/>
      <c r="U59" s="732"/>
      <c r="V59" s="691"/>
      <c r="W59" s="691"/>
      <c r="X59" s="691"/>
      <c r="Y59" s="691"/>
    </row>
    <row r="60" spans="1:25" x14ac:dyDescent="0.25">
      <c r="B60" s="188">
        <v>43112</v>
      </c>
      <c r="C60" s="10">
        <v>400</v>
      </c>
      <c r="D60" s="39">
        <v>22.8508</v>
      </c>
      <c r="E60" s="39">
        <v>27.22</v>
      </c>
      <c r="F60" s="39">
        <f t="shared" ref="F60:F68" si="32">C60*(E60-D60)</f>
        <v>1747.6799999999998</v>
      </c>
      <c r="G60" s="39">
        <f t="shared" ref="G60:G68" si="33">D60*C60</f>
        <v>9140.32</v>
      </c>
      <c r="H60" s="226">
        <f t="shared" ref="H60:H68" si="34">(E60-D60)/D60</f>
        <v>0.1912055595427731</v>
      </c>
      <c r="I60" s="39"/>
      <c r="J60" s="39"/>
      <c r="K60" s="39">
        <v>3120</v>
      </c>
      <c r="O60" s="81">
        <v>0.91</v>
      </c>
      <c r="P60" s="81">
        <f t="shared" si="13"/>
        <v>22.158500000000004</v>
      </c>
      <c r="T60" s="729" t="s">
        <v>767</v>
      </c>
      <c r="U60" s="732"/>
      <c r="V60" s="691"/>
      <c r="W60" s="691"/>
      <c r="X60" s="691"/>
      <c r="Y60" s="691"/>
    </row>
    <row r="61" spans="1:25" x14ac:dyDescent="0.25">
      <c r="A61">
        <v>400</v>
      </c>
      <c r="B61" s="188">
        <v>43116</v>
      </c>
      <c r="C61" s="10">
        <v>450</v>
      </c>
      <c r="D61" s="39">
        <v>23.176200000000001</v>
      </c>
      <c r="E61" s="39">
        <v>25.68</v>
      </c>
      <c r="F61" s="39">
        <f t="shared" si="32"/>
        <v>1126.7099999999991</v>
      </c>
      <c r="G61" s="39">
        <f t="shared" si="33"/>
        <v>10429.290000000001</v>
      </c>
      <c r="H61" s="226">
        <f t="shared" si="34"/>
        <v>0.10803324099722983</v>
      </c>
      <c r="I61" s="39"/>
      <c r="J61" s="39"/>
      <c r="K61" s="39">
        <v>2579</v>
      </c>
      <c r="O61" s="81">
        <v>0.9</v>
      </c>
      <c r="P61" s="81">
        <f t="shared" si="13"/>
        <v>21.915000000000003</v>
      </c>
      <c r="T61" s="728"/>
      <c r="U61" s="732"/>
      <c r="V61" s="691"/>
      <c r="W61" s="691"/>
      <c r="X61" s="691"/>
      <c r="Y61" s="691"/>
    </row>
    <row r="62" spans="1:25" x14ac:dyDescent="0.25">
      <c r="A62">
        <v>350</v>
      </c>
      <c r="B62" s="188">
        <v>43118</v>
      </c>
      <c r="C62" s="7">
        <v>400</v>
      </c>
      <c r="D62" s="43">
        <v>22.763300000000001</v>
      </c>
      <c r="E62" s="39">
        <v>26.22</v>
      </c>
      <c r="F62" s="39">
        <f t="shared" si="32"/>
        <v>1382.6799999999992</v>
      </c>
      <c r="G62" s="39">
        <f t="shared" si="33"/>
        <v>9105.32</v>
      </c>
      <c r="H62" s="226">
        <f t="shared" si="34"/>
        <v>0.15185408091093988</v>
      </c>
      <c r="I62" s="39">
        <v>22.5</v>
      </c>
      <c r="J62" s="39"/>
      <c r="K62" s="39">
        <v>2835</v>
      </c>
      <c r="T62" s="729" t="s">
        <v>793</v>
      </c>
      <c r="U62" s="732">
        <v>95</v>
      </c>
      <c r="V62" s="691">
        <v>213.9</v>
      </c>
      <c r="W62" s="691"/>
      <c r="X62" s="691"/>
      <c r="Y62" s="691"/>
    </row>
    <row r="63" spans="1:25" x14ac:dyDescent="0.25">
      <c r="A63">
        <v>350</v>
      </c>
      <c r="B63" s="188">
        <v>43121</v>
      </c>
      <c r="C63" s="10">
        <v>400</v>
      </c>
      <c r="D63" s="39">
        <v>22.76</v>
      </c>
      <c r="E63" s="39">
        <v>26.53</v>
      </c>
      <c r="F63" s="39">
        <f t="shared" si="32"/>
        <v>1507.9999999999998</v>
      </c>
      <c r="G63" s="39">
        <f t="shared" si="33"/>
        <v>9104</v>
      </c>
      <c r="H63" s="226">
        <f t="shared" si="34"/>
        <v>0.16564147627416517</v>
      </c>
      <c r="I63" s="39"/>
      <c r="J63" s="39">
        <v>58.41</v>
      </c>
      <c r="K63" s="39">
        <v>2959</v>
      </c>
      <c r="T63" s="729" t="s">
        <v>791</v>
      </c>
      <c r="U63" s="732">
        <v>97</v>
      </c>
      <c r="V63" s="691">
        <v>227.5</v>
      </c>
      <c r="W63" s="691"/>
      <c r="X63" s="691"/>
      <c r="Y63" s="691"/>
    </row>
    <row r="64" spans="1:25" x14ac:dyDescent="0.25">
      <c r="A64">
        <v>250</v>
      </c>
      <c r="B64" s="188">
        <v>43126</v>
      </c>
      <c r="C64" s="10">
        <v>300</v>
      </c>
      <c r="D64" s="39">
        <v>21.144600000000001</v>
      </c>
      <c r="E64" s="39">
        <v>27.6</v>
      </c>
      <c r="F64" s="39">
        <f t="shared" si="32"/>
        <v>1936.6200000000003</v>
      </c>
      <c r="G64" s="39">
        <f t="shared" si="33"/>
        <v>6343.38</v>
      </c>
      <c r="H64" s="226">
        <f t="shared" si="34"/>
        <v>0.30529780653216426</v>
      </c>
      <c r="I64" s="39"/>
      <c r="J64" s="39"/>
      <c r="K64" s="39">
        <v>3389</v>
      </c>
      <c r="T64" s="729" t="s">
        <v>790</v>
      </c>
      <c r="U64" s="732">
        <v>0.28000000000000003</v>
      </c>
      <c r="V64" s="691">
        <v>0.65</v>
      </c>
      <c r="W64" s="691"/>
      <c r="X64" s="691"/>
      <c r="Y64" s="691"/>
    </row>
    <row r="65" spans="1:28" x14ac:dyDescent="0.25">
      <c r="A65">
        <v>250</v>
      </c>
      <c r="B65" s="188">
        <v>43131</v>
      </c>
      <c r="C65" s="10">
        <v>400</v>
      </c>
      <c r="D65" s="39">
        <v>22.578499999999998</v>
      </c>
      <c r="E65" s="39">
        <v>27.3</v>
      </c>
      <c r="F65" s="39">
        <f t="shared" si="32"/>
        <v>1888.600000000001</v>
      </c>
      <c r="G65" s="39">
        <f t="shared" si="33"/>
        <v>9031.4</v>
      </c>
      <c r="H65" s="226">
        <f t="shared" si="34"/>
        <v>0.20911486591226178</v>
      </c>
      <c r="I65" s="39"/>
      <c r="J65" s="39"/>
      <c r="K65" s="39">
        <v>3341</v>
      </c>
      <c r="T65" s="729" t="s">
        <v>792</v>
      </c>
      <c r="U65" s="732">
        <v>1.8</v>
      </c>
      <c r="V65" s="691">
        <v>1.98</v>
      </c>
      <c r="W65" s="691"/>
      <c r="X65" s="691"/>
      <c r="Y65" s="691"/>
    </row>
    <row r="66" spans="1:28" x14ac:dyDescent="0.25">
      <c r="A66">
        <v>250</v>
      </c>
      <c r="B66" s="188">
        <v>43133</v>
      </c>
      <c r="C66" s="10">
        <v>600</v>
      </c>
      <c r="D66" s="39">
        <v>23.68</v>
      </c>
      <c r="E66" s="39">
        <v>26.04</v>
      </c>
      <c r="F66" s="39">
        <f t="shared" si="32"/>
        <v>1415.9999999999995</v>
      </c>
      <c r="G66" s="39">
        <f t="shared" si="33"/>
        <v>14208</v>
      </c>
      <c r="H66" s="226">
        <f t="shared" si="34"/>
        <v>9.9662162162162143E-2</v>
      </c>
      <c r="I66" s="39"/>
      <c r="J66" s="39"/>
      <c r="K66" s="39">
        <v>2869</v>
      </c>
      <c r="T66" s="729"/>
      <c r="U66" s="732"/>
      <c r="V66" s="691"/>
      <c r="W66" s="691"/>
      <c r="X66" s="691"/>
      <c r="Y66" s="691"/>
    </row>
    <row r="67" spans="1:28" x14ac:dyDescent="0.25">
      <c r="B67" s="188">
        <v>43140</v>
      </c>
      <c r="C67" s="10">
        <v>800</v>
      </c>
      <c r="D67" s="39">
        <v>23.654199999999999</v>
      </c>
      <c r="E67" s="39">
        <v>24.35</v>
      </c>
      <c r="F67" s="39">
        <f t="shared" si="32"/>
        <v>556.64000000000158</v>
      </c>
      <c r="G67" s="39">
        <f t="shared" si="33"/>
        <v>18923.36</v>
      </c>
      <c r="H67" s="226">
        <f t="shared" si="34"/>
        <v>2.9415494922677664E-2</v>
      </c>
      <c r="I67" s="39"/>
      <c r="J67" s="39"/>
      <c r="K67" s="39"/>
      <c r="T67" s="729"/>
      <c r="U67" s="732"/>
      <c r="V67" s="691"/>
      <c r="W67" s="691"/>
      <c r="X67" s="691"/>
      <c r="Y67" s="691"/>
    </row>
    <row r="68" spans="1:28" x14ac:dyDescent="0.25">
      <c r="A68">
        <v>50</v>
      </c>
      <c r="B68" s="188">
        <v>43140</v>
      </c>
      <c r="C68" s="10">
        <v>600</v>
      </c>
      <c r="D68" s="39">
        <v>23.379200000000001</v>
      </c>
      <c r="E68" s="39">
        <v>24.35</v>
      </c>
      <c r="F68" s="39">
        <f t="shared" si="32"/>
        <v>582.48000000000036</v>
      </c>
      <c r="G68" s="39">
        <f t="shared" si="33"/>
        <v>14027.52</v>
      </c>
      <c r="H68" s="226">
        <f t="shared" si="34"/>
        <v>4.1524089789214368E-2</v>
      </c>
      <c r="I68" s="39"/>
      <c r="J68" s="39"/>
      <c r="K68" s="39">
        <v>2035</v>
      </c>
      <c r="T68" s="729" t="s">
        <v>794</v>
      </c>
      <c r="U68" s="732">
        <v>661</v>
      </c>
      <c r="V68" s="691">
        <v>726.4</v>
      </c>
      <c r="W68" s="691"/>
      <c r="X68" s="691"/>
      <c r="Y68" s="691"/>
    </row>
    <row r="69" spans="1:28" x14ac:dyDescent="0.25">
      <c r="B69" s="188"/>
      <c r="C69" s="10"/>
      <c r="D69" s="39"/>
      <c r="E69" s="39"/>
      <c r="F69" s="39"/>
      <c r="G69" s="39"/>
      <c r="H69" s="226"/>
      <c r="I69" s="39"/>
      <c r="J69" s="39"/>
      <c r="K69" s="39"/>
      <c r="T69" s="729" t="s">
        <v>795</v>
      </c>
      <c r="U69" s="732">
        <v>3.8</v>
      </c>
      <c r="V69" s="691">
        <v>3.72</v>
      </c>
      <c r="W69" s="691"/>
      <c r="X69" s="691"/>
      <c r="Y69" s="691"/>
    </row>
    <row r="70" spans="1:28" x14ac:dyDescent="0.25">
      <c r="B70" s="188"/>
      <c r="C70" s="10"/>
      <c r="D70" s="39"/>
      <c r="E70" s="39"/>
      <c r="F70" s="39"/>
      <c r="G70" s="39"/>
      <c r="H70" s="226"/>
      <c r="I70" s="39"/>
      <c r="J70" s="39"/>
      <c r="K70" s="39"/>
      <c r="T70" s="728"/>
      <c r="U70" s="732"/>
      <c r="V70" s="691"/>
      <c r="W70" s="691"/>
      <c r="X70" s="691"/>
      <c r="Y70" s="691"/>
    </row>
    <row r="71" spans="1:28" x14ac:dyDescent="0.25">
      <c r="B71" s="188"/>
      <c r="C71" s="10"/>
      <c r="D71" s="39"/>
      <c r="E71" s="39"/>
      <c r="F71" s="39"/>
      <c r="G71" s="39"/>
      <c r="H71" s="226"/>
      <c r="I71" s="39"/>
      <c r="J71" s="39"/>
      <c r="K71" s="39"/>
      <c r="T71" s="728"/>
      <c r="U71" s="732"/>
      <c r="V71" s="691"/>
      <c r="W71" s="691"/>
      <c r="X71" s="691"/>
      <c r="Y71" s="691"/>
    </row>
    <row r="72" spans="1:28" x14ac:dyDescent="0.25">
      <c r="B72" s="188"/>
      <c r="C72" s="10"/>
      <c r="D72" s="39"/>
      <c r="E72" s="39"/>
      <c r="F72" s="39"/>
      <c r="G72" s="39"/>
      <c r="H72" s="226"/>
      <c r="I72" s="39"/>
      <c r="J72" s="39"/>
      <c r="K72" s="39"/>
      <c r="T72" s="728"/>
      <c r="U72" s="732"/>
      <c r="V72" s="691"/>
      <c r="W72" s="691"/>
      <c r="X72" s="691"/>
      <c r="Y72" s="691"/>
    </row>
    <row r="73" spans="1:28" x14ac:dyDescent="0.25">
      <c r="B73" s="188"/>
      <c r="C73" s="10"/>
      <c r="D73" s="39"/>
      <c r="E73" s="39"/>
      <c r="F73" s="39"/>
      <c r="G73" s="39"/>
      <c r="H73" s="226"/>
      <c r="I73" s="39"/>
      <c r="J73" s="39"/>
      <c r="K73" s="39"/>
      <c r="U73" s="107"/>
    </row>
    <row r="74" spans="1:28" x14ac:dyDescent="0.25">
      <c r="B74" s="188"/>
      <c r="C74" s="10"/>
      <c r="D74" s="39"/>
      <c r="E74" s="39"/>
      <c r="F74" s="39"/>
      <c r="G74" s="39"/>
      <c r="H74" s="226"/>
      <c r="I74" s="39"/>
      <c r="J74" s="39"/>
      <c r="K74" s="39"/>
      <c r="U74" s="4"/>
    </row>
    <row r="75" spans="1:28" x14ac:dyDescent="0.25">
      <c r="B75" s="188"/>
      <c r="C75" s="10"/>
      <c r="D75" s="39"/>
      <c r="E75" s="39"/>
      <c r="F75" s="39"/>
      <c r="G75" s="39"/>
      <c r="H75" s="226"/>
      <c r="I75" s="39"/>
      <c r="J75" s="39"/>
      <c r="K75" s="39"/>
    </row>
    <row r="76" spans="1:28" x14ac:dyDescent="0.25">
      <c r="B76" s="188"/>
      <c r="C76" s="10"/>
      <c r="D76" s="39"/>
      <c r="E76" s="39"/>
      <c r="F76" s="39"/>
      <c r="G76" s="39"/>
      <c r="H76" s="226"/>
      <c r="I76" s="39"/>
      <c r="J76" s="39"/>
      <c r="K76" s="39"/>
      <c r="R76" t="s">
        <v>782</v>
      </c>
      <c r="T76" s="22" t="s">
        <v>781</v>
      </c>
    </row>
    <row r="77" spans="1:28" x14ac:dyDescent="0.25">
      <c r="B77" s="188"/>
      <c r="C77" s="10"/>
      <c r="D77" s="39"/>
      <c r="E77" s="39"/>
      <c r="F77" s="39"/>
      <c r="G77" s="39"/>
      <c r="H77" s="226"/>
      <c r="I77" s="39"/>
      <c r="J77" s="39"/>
      <c r="K77" s="39"/>
    </row>
    <row r="78" spans="1:28" x14ac:dyDescent="0.25">
      <c r="B78" s="188"/>
      <c r="C78" s="10"/>
      <c r="D78" s="39"/>
      <c r="E78" s="39"/>
      <c r="F78" s="39"/>
      <c r="G78" s="39"/>
      <c r="H78" s="226"/>
      <c r="I78" s="39"/>
      <c r="J78" s="39"/>
      <c r="K78" s="39"/>
    </row>
    <row r="79" spans="1:28" x14ac:dyDescent="0.25">
      <c r="B79" s="188"/>
      <c r="C79" s="10"/>
      <c r="D79" s="39"/>
      <c r="E79" s="39"/>
      <c r="F79" s="39"/>
      <c r="G79" s="39"/>
      <c r="H79" s="226"/>
      <c r="I79" s="39"/>
      <c r="J79" s="39"/>
      <c r="K79" s="39"/>
    </row>
    <row r="80" spans="1:28" x14ac:dyDescent="0.25">
      <c r="B80" s="188"/>
      <c r="C80" s="10"/>
      <c r="D80" s="39"/>
      <c r="E80" s="39"/>
      <c r="F80" s="39"/>
      <c r="G80" s="39"/>
      <c r="H80" s="226"/>
      <c r="I80" s="39"/>
      <c r="J80" s="39"/>
      <c r="K80" s="39"/>
      <c r="T80" s="694" t="s">
        <v>113</v>
      </c>
      <c r="U80" s="694" t="s">
        <v>734</v>
      </c>
      <c r="V80" s="694" t="s">
        <v>735</v>
      </c>
      <c r="W80" s="692" t="s">
        <v>728</v>
      </c>
      <c r="X80" s="692" t="s">
        <v>729</v>
      </c>
      <c r="Y80" s="694" t="s">
        <v>731</v>
      </c>
      <c r="Z80" s="694" t="s">
        <v>732</v>
      </c>
      <c r="AA80" s="692" t="s">
        <v>730</v>
      </c>
      <c r="AB80" s="693" t="s">
        <v>733</v>
      </c>
    </row>
    <row r="81" spans="2:28" x14ac:dyDescent="0.25">
      <c r="T81" s="695">
        <v>43046</v>
      </c>
      <c r="U81" s="691"/>
      <c r="V81" s="691"/>
      <c r="W81" s="690"/>
      <c r="X81" s="690"/>
      <c r="Y81" s="691"/>
      <c r="Z81" s="691"/>
      <c r="AA81" s="688"/>
      <c r="AB81" s="689"/>
    </row>
    <row r="82" spans="2:28" x14ac:dyDescent="0.25">
      <c r="T82" s="734"/>
      <c r="U82" s="691"/>
      <c r="V82" s="691"/>
      <c r="W82" s="690"/>
      <c r="X82" s="688"/>
      <c r="Y82" s="691"/>
      <c r="Z82" s="691"/>
      <c r="AA82" s="688"/>
      <c r="AB82" s="689"/>
    </row>
    <row r="83" spans="2:28" x14ac:dyDescent="0.25">
      <c r="T83" s="696"/>
      <c r="U83" s="691"/>
      <c r="V83" s="691"/>
      <c r="W83" s="688"/>
      <c r="X83" s="688"/>
      <c r="Y83" s="691"/>
      <c r="Z83" s="691"/>
      <c r="AA83" s="688"/>
      <c r="AB83" s="689"/>
    </row>
    <row r="84" spans="2:28" x14ac:dyDescent="0.25">
      <c r="B84" s="498" t="s">
        <v>113</v>
      </c>
      <c r="C84" s="498" t="s">
        <v>146</v>
      </c>
      <c r="D84" s="499" t="s">
        <v>145</v>
      </c>
      <c r="E84" s="500" t="s">
        <v>147</v>
      </c>
      <c r="F84" s="500" t="s">
        <v>65</v>
      </c>
      <c r="G84" s="502" t="s">
        <v>151</v>
      </c>
      <c r="H84" s="502" t="s">
        <v>88</v>
      </c>
      <c r="I84" s="502" t="s">
        <v>154</v>
      </c>
      <c r="T84" s="696"/>
      <c r="U84" s="691"/>
      <c r="V84" s="691"/>
      <c r="W84" s="688"/>
      <c r="X84" s="688"/>
      <c r="Y84" s="691"/>
      <c r="Z84" s="691"/>
      <c r="AA84" s="688"/>
      <c r="AB84" s="689"/>
    </row>
    <row r="85" spans="2:28" x14ac:dyDescent="0.25">
      <c r="B85" s="370">
        <v>42548</v>
      </c>
      <c r="C85" s="371">
        <v>100</v>
      </c>
      <c r="D85" s="372">
        <v>25</v>
      </c>
      <c r="E85" s="372">
        <v>24.69</v>
      </c>
      <c r="F85" s="372">
        <f t="shared" ref="F85:F90" si="35">C85*(E85-D85)</f>
        <v>-30.999999999999872</v>
      </c>
      <c r="G85" s="372">
        <f t="shared" ref="G85:G90" si="36">D85*C85</f>
        <v>2500</v>
      </c>
      <c r="H85" s="373">
        <f t="shared" ref="H85:H90" si="37">(E85-D85)/D85</f>
        <v>-1.2399999999999949E-2</v>
      </c>
      <c r="I85" s="372"/>
      <c r="T85" s="696"/>
      <c r="U85" s="691"/>
      <c r="V85" s="691"/>
      <c r="W85" s="688"/>
      <c r="X85" s="688"/>
      <c r="Y85" s="691"/>
      <c r="Z85" s="691"/>
      <c r="AA85" s="688"/>
      <c r="AB85" s="689"/>
    </row>
    <row r="86" spans="2:28" x14ac:dyDescent="0.25">
      <c r="B86" s="370">
        <v>42549</v>
      </c>
      <c r="C86" s="371">
        <v>100</v>
      </c>
      <c r="D86" s="372">
        <v>25</v>
      </c>
      <c r="E86" s="372">
        <v>25.26</v>
      </c>
      <c r="F86" s="372">
        <f t="shared" si="35"/>
        <v>26.000000000000156</v>
      </c>
      <c r="G86" s="372">
        <f t="shared" si="36"/>
        <v>2500</v>
      </c>
      <c r="H86" s="373">
        <f t="shared" si="37"/>
        <v>1.0400000000000062E-2</v>
      </c>
      <c r="I86" s="372"/>
      <c r="T86" s="696"/>
      <c r="U86" s="691"/>
      <c r="V86" s="691"/>
      <c r="W86" s="688"/>
      <c r="X86" s="688"/>
      <c r="Y86" s="691"/>
      <c r="Z86" s="691"/>
      <c r="AA86" s="688"/>
      <c r="AB86" s="689"/>
    </row>
    <row r="87" spans="2:28" x14ac:dyDescent="0.25">
      <c r="B87" s="370">
        <v>42552</v>
      </c>
      <c r="C87" s="371">
        <v>100</v>
      </c>
      <c r="D87" s="372">
        <v>25</v>
      </c>
      <c r="E87" s="372">
        <v>26.57</v>
      </c>
      <c r="F87" s="372">
        <f t="shared" si="35"/>
        <v>157.00000000000003</v>
      </c>
      <c r="G87" s="372">
        <f t="shared" si="36"/>
        <v>2500</v>
      </c>
      <c r="H87" s="373">
        <f t="shared" si="37"/>
        <v>6.2800000000000009E-2</v>
      </c>
      <c r="I87" s="372"/>
      <c r="T87" s="696"/>
      <c r="U87" s="691"/>
      <c r="V87" s="691"/>
      <c r="W87" s="688"/>
      <c r="X87" s="688"/>
      <c r="Y87" s="691"/>
      <c r="Z87" s="691"/>
      <c r="AA87" s="688"/>
      <c r="AB87" s="689"/>
    </row>
    <row r="88" spans="2:28" x14ac:dyDescent="0.25">
      <c r="B88" s="370">
        <v>42556</v>
      </c>
      <c r="C88" s="371">
        <v>100</v>
      </c>
      <c r="D88" s="372">
        <v>25</v>
      </c>
      <c r="E88" s="372">
        <v>25.47</v>
      </c>
      <c r="F88" s="372">
        <f t="shared" si="35"/>
        <v>46.999999999999886</v>
      </c>
      <c r="G88" s="372">
        <f t="shared" si="36"/>
        <v>2500</v>
      </c>
      <c r="H88" s="373">
        <f t="shared" si="37"/>
        <v>1.8799999999999956E-2</v>
      </c>
      <c r="I88" s="372"/>
      <c r="T88" s="696"/>
      <c r="U88" s="691"/>
      <c r="V88" s="691"/>
      <c r="W88" s="688"/>
      <c r="X88" s="688"/>
      <c r="Y88" s="691"/>
      <c r="Z88" s="691"/>
      <c r="AA88" s="688"/>
      <c r="AB88" s="689"/>
    </row>
    <row r="89" spans="2:28" x14ac:dyDescent="0.25">
      <c r="B89" s="370">
        <v>42562</v>
      </c>
      <c r="C89" s="371">
        <v>100</v>
      </c>
      <c r="D89" s="372">
        <v>25</v>
      </c>
      <c r="E89" s="372">
        <v>25.69</v>
      </c>
      <c r="F89" s="372">
        <f t="shared" si="35"/>
        <v>69.000000000000128</v>
      </c>
      <c r="G89" s="372">
        <f t="shared" si="36"/>
        <v>2500</v>
      </c>
      <c r="H89" s="373">
        <f t="shared" si="37"/>
        <v>2.7600000000000052E-2</v>
      </c>
      <c r="I89" s="372"/>
      <c r="T89" s="696"/>
      <c r="U89" s="691"/>
      <c r="V89" s="691"/>
      <c r="W89" s="688"/>
      <c r="X89" s="688"/>
      <c r="Y89" s="691"/>
      <c r="Z89" s="691"/>
      <c r="AA89" s="688"/>
      <c r="AB89" s="689"/>
    </row>
    <row r="90" spans="2:28" x14ac:dyDescent="0.25">
      <c r="B90" s="370">
        <v>42563</v>
      </c>
      <c r="C90" s="371">
        <v>100</v>
      </c>
      <c r="D90" s="372">
        <v>25</v>
      </c>
      <c r="E90" s="372">
        <v>26.48</v>
      </c>
      <c r="F90" s="372">
        <f t="shared" si="35"/>
        <v>148.00000000000006</v>
      </c>
      <c r="G90" s="372">
        <f t="shared" si="36"/>
        <v>2500</v>
      </c>
      <c r="H90" s="373">
        <f t="shared" si="37"/>
        <v>5.9200000000000016E-2</v>
      </c>
      <c r="I90" s="372"/>
      <c r="T90" s="696"/>
      <c r="U90" s="691"/>
      <c r="V90" s="691"/>
      <c r="W90" s="688"/>
      <c r="X90" s="688"/>
      <c r="Y90" s="691"/>
      <c r="Z90" s="691"/>
      <c r="AA90" s="688"/>
      <c r="AB90" s="689"/>
    </row>
    <row r="91" spans="2:28" x14ac:dyDescent="0.25">
      <c r="B91" s="370">
        <v>42569</v>
      </c>
      <c r="C91" s="371">
        <v>100</v>
      </c>
      <c r="D91" s="372">
        <v>25</v>
      </c>
      <c r="E91" s="372">
        <v>29.28</v>
      </c>
      <c r="F91" s="372">
        <f t="shared" ref="F91:F97" si="38">C91*(E91-D91)</f>
        <v>428.00000000000011</v>
      </c>
      <c r="G91" s="372">
        <f t="shared" ref="G91:G97" si="39">D91*C91</f>
        <v>2500</v>
      </c>
      <c r="H91" s="373">
        <f t="shared" ref="H91:H97" si="40">(E91-D91)/D91</f>
        <v>0.17120000000000005</v>
      </c>
      <c r="I91" s="372"/>
      <c r="T91" s="696"/>
      <c r="U91" s="691"/>
      <c r="V91" s="691"/>
      <c r="W91" s="688"/>
      <c r="X91" s="688"/>
      <c r="Y91" s="691"/>
      <c r="Z91" s="691"/>
      <c r="AA91" s="688"/>
      <c r="AB91" s="689"/>
    </row>
    <row r="92" spans="2:28" x14ac:dyDescent="0.25">
      <c r="B92" s="370">
        <v>42570</v>
      </c>
      <c r="C92" s="371">
        <v>100</v>
      </c>
      <c r="D92" s="372">
        <v>25</v>
      </c>
      <c r="E92" s="372">
        <v>28.68</v>
      </c>
      <c r="F92" s="372">
        <f t="shared" si="38"/>
        <v>368</v>
      </c>
      <c r="G92" s="372">
        <f t="shared" si="39"/>
        <v>2500</v>
      </c>
      <c r="H92" s="373">
        <f t="shared" si="40"/>
        <v>0.1472</v>
      </c>
      <c r="I92" s="372"/>
    </row>
    <row r="93" spans="2:28" x14ac:dyDescent="0.25">
      <c r="B93" s="370">
        <v>42571</v>
      </c>
      <c r="C93" s="371">
        <v>100</v>
      </c>
      <c r="D93" s="372">
        <v>25</v>
      </c>
      <c r="E93" s="372">
        <v>29.01</v>
      </c>
      <c r="F93" s="372">
        <f t="shared" si="38"/>
        <v>401.00000000000017</v>
      </c>
      <c r="G93" s="372">
        <f t="shared" si="39"/>
        <v>2500</v>
      </c>
      <c r="H93" s="373">
        <f t="shared" si="40"/>
        <v>0.16040000000000007</v>
      </c>
      <c r="I93" s="372"/>
    </row>
    <row r="94" spans="2:28" x14ac:dyDescent="0.25">
      <c r="B94" s="370">
        <v>42572</v>
      </c>
      <c r="C94" s="371">
        <v>100</v>
      </c>
      <c r="D94" s="372">
        <v>25</v>
      </c>
      <c r="E94" s="372">
        <v>28.89</v>
      </c>
      <c r="F94" s="372">
        <f t="shared" si="38"/>
        <v>389.00000000000006</v>
      </c>
      <c r="G94" s="372">
        <f t="shared" si="39"/>
        <v>2500</v>
      </c>
      <c r="H94" s="373">
        <f t="shared" si="40"/>
        <v>0.15560000000000002</v>
      </c>
      <c r="I94" s="372"/>
    </row>
    <row r="95" spans="2:28" x14ac:dyDescent="0.25">
      <c r="B95" s="370">
        <v>42576</v>
      </c>
      <c r="C95" s="371">
        <v>100</v>
      </c>
      <c r="D95" s="372">
        <v>25</v>
      </c>
      <c r="E95" s="372">
        <v>28.63</v>
      </c>
      <c r="F95" s="372">
        <f t="shared" si="38"/>
        <v>362.99999999999989</v>
      </c>
      <c r="G95" s="372">
        <f t="shared" si="39"/>
        <v>2500</v>
      </c>
      <c r="H95" s="373">
        <f t="shared" si="40"/>
        <v>0.14519999999999997</v>
      </c>
      <c r="I95" s="372"/>
    </row>
    <row r="96" spans="2:28" x14ac:dyDescent="0.25">
      <c r="B96" s="370">
        <v>42577</v>
      </c>
      <c r="C96" s="371">
        <v>100</v>
      </c>
      <c r="D96" s="372">
        <v>25</v>
      </c>
      <c r="E96" s="372">
        <v>29.34</v>
      </c>
      <c r="F96" s="372">
        <f t="shared" si="38"/>
        <v>434</v>
      </c>
      <c r="G96" s="372">
        <f t="shared" si="39"/>
        <v>2500</v>
      </c>
      <c r="H96" s="373">
        <f t="shared" si="40"/>
        <v>0.1736</v>
      </c>
      <c r="I96" s="372"/>
    </row>
    <row r="97" spans="2:9" x14ac:dyDescent="0.25">
      <c r="B97" s="370">
        <v>42580</v>
      </c>
      <c r="C97" s="371">
        <v>100</v>
      </c>
      <c r="D97" s="372">
        <v>25</v>
      </c>
      <c r="E97" s="372">
        <v>27</v>
      </c>
      <c r="F97" s="372">
        <f t="shared" si="38"/>
        <v>200</v>
      </c>
      <c r="G97" s="372">
        <f t="shared" si="39"/>
        <v>2500</v>
      </c>
      <c r="H97" s="373">
        <f t="shared" si="40"/>
        <v>0.08</v>
      </c>
      <c r="I97" s="372"/>
    </row>
    <row r="98" spans="2:9" x14ac:dyDescent="0.25">
      <c r="B98" s="370">
        <v>42584</v>
      </c>
      <c r="C98" s="371">
        <v>0</v>
      </c>
      <c r="D98" s="372"/>
      <c r="E98" s="372"/>
      <c r="F98" s="372">
        <v>287.94</v>
      </c>
      <c r="G98" s="372"/>
      <c r="H98" s="373"/>
      <c r="I98" s="372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6" t="s">
        <v>113</v>
      </c>
      <c r="C100" s="186" t="s">
        <v>146</v>
      </c>
      <c r="D100" s="187" t="s">
        <v>145</v>
      </c>
      <c r="E100" s="189" t="s">
        <v>147</v>
      </c>
      <c r="F100" s="189" t="s">
        <v>65</v>
      </c>
      <c r="G100" s="224" t="s">
        <v>151</v>
      </c>
      <c r="H100" s="224" t="s">
        <v>88</v>
      </c>
      <c r="I100" s="224" t="s">
        <v>154</v>
      </c>
    </row>
    <row r="101" spans="2:9" x14ac:dyDescent="0.25">
      <c r="B101" s="259">
        <v>42627</v>
      </c>
      <c r="C101" s="254">
        <v>50</v>
      </c>
      <c r="D101" s="255">
        <v>25.74</v>
      </c>
      <c r="E101" s="255">
        <v>25.83</v>
      </c>
      <c r="F101" s="255">
        <f>C101*(E101-D101)</f>
        <v>4.4999999999999929</v>
      </c>
      <c r="G101" s="255">
        <f>D101*C101</f>
        <v>1287</v>
      </c>
      <c r="H101" s="269">
        <f>(E101-D101)/D101</f>
        <v>3.4965034965034913E-3</v>
      </c>
      <c r="I101" s="255"/>
    </row>
    <row r="102" spans="2:9" x14ac:dyDescent="0.25">
      <c r="B102" s="259">
        <v>42629</v>
      </c>
      <c r="C102" s="254">
        <v>50</v>
      </c>
      <c r="D102" s="255">
        <v>25.74</v>
      </c>
      <c r="E102" s="255">
        <v>25.54</v>
      </c>
      <c r="F102" s="255">
        <f t="shared" ref="F102:F107" si="41">C102*(E102-D102)</f>
        <v>-9.9999999999999645</v>
      </c>
      <c r="G102" s="255">
        <f t="shared" ref="G102:G107" si="42">D102*C102</f>
        <v>1287</v>
      </c>
      <c r="H102" s="269">
        <f t="shared" ref="H102:H107" si="43">(E102-D102)/D102</f>
        <v>-7.7700077700077431E-3</v>
      </c>
      <c r="I102" s="255"/>
    </row>
    <row r="103" spans="2:9" x14ac:dyDescent="0.25">
      <c r="B103" s="259">
        <v>42636</v>
      </c>
      <c r="C103" s="254">
        <v>50</v>
      </c>
      <c r="D103" s="255">
        <v>25.74</v>
      </c>
      <c r="E103" s="255">
        <v>24.82</v>
      </c>
      <c r="F103" s="255">
        <f t="shared" si="41"/>
        <v>-45.999999999999908</v>
      </c>
      <c r="G103" s="255">
        <f t="shared" si="42"/>
        <v>1287</v>
      </c>
      <c r="H103" s="269">
        <f t="shared" si="43"/>
        <v>-3.5742035742035674E-2</v>
      </c>
      <c r="I103" s="255"/>
    </row>
    <row r="104" spans="2:9" x14ac:dyDescent="0.25">
      <c r="B104" s="259">
        <v>42639</v>
      </c>
      <c r="C104" s="254">
        <v>100</v>
      </c>
      <c r="D104" s="255">
        <v>24.96</v>
      </c>
      <c r="E104" s="255">
        <v>24.14</v>
      </c>
      <c r="F104" s="255">
        <f t="shared" si="41"/>
        <v>-82.000000000000028</v>
      </c>
      <c r="G104" s="255">
        <f t="shared" si="42"/>
        <v>2496</v>
      </c>
      <c r="H104" s="269">
        <f t="shared" si="43"/>
        <v>-3.2852564102564111E-2</v>
      </c>
      <c r="I104" s="255"/>
    </row>
    <row r="105" spans="2:9" x14ac:dyDescent="0.25">
      <c r="B105" s="259">
        <v>42639</v>
      </c>
      <c r="C105" s="254">
        <v>150</v>
      </c>
      <c r="D105" s="255">
        <v>24.8</v>
      </c>
      <c r="E105" s="255">
        <v>24.14</v>
      </c>
      <c r="F105" s="255">
        <f t="shared" si="41"/>
        <v>-99.000000000000028</v>
      </c>
      <c r="G105" s="255">
        <f t="shared" si="42"/>
        <v>3720</v>
      </c>
      <c r="H105" s="269">
        <f t="shared" si="43"/>
        <v>-2.6612903225806457E-2</v>
      </c>
      <c r="I105" s="255"/>
    </row>
    <row r="106" spans="2:9" x14ac:dyDescent="0.25">
      <c r="B106" s="259">
        <v>42640</v>
      </c>
      <c r="C106" s="254">
        <v>150</v>
      </c>
      <c r="D106" s="255">
        <v>24.8</v>
      </c>
      <c r="E106" s="255">
        <v>23.99</v>
      </c>
      <c r="F106" s="255">
        <f t="shared" si="41"/>
        <v>-121.50000000000034</v>
      </c>
      <c r="G106" s="255">
        <f t="shared" si="42"/>
        <v>3720</v>
      </c>
      <c r="H106" s="269">
        <f t="shared" si="43"/>
        <v>-3.2661290322580736E-2</v>
      </c>
      <c r="I106" s="255"/>
    </row>
    <row r="107" spans="2:9" x14ac:dyDescent="0.25">
      <c r="B107" s="259">
        <v>42643</v>
      </c>
      <c r="C107" s="254">
        <v>150</v>
      </c>
      <c r="D107" s="255">
        <v>24.8</v>
      </c>
      <c r="E107" s="255">
        <v>24.46</v>
      </c>
      <c r="F107" s="255">
        <f t="shared" si="41"/>
        <v>-50.999999999999979</v>
      </c>
      <c r="G107" s="255">
        <f t="shared" si="42"/>
        <v>3720</v>
      </c>
      <c r="H107" s="269">
        <f t="shared" si="43"/>
        <v>-1.3709677419354832E-2</v>
      </c>
      <c r="I107" s="255"/>
    </row>
    <row r="108" spans="2:9" x14ac:dyDescent="0.25">
      <c r="B108" s="259">
        <v>42646</v>
      </c>
      <c r="C108" s="254">
        <v>150</v>
      </c>
      <c r="D108" s="255">
        <v>24.8</v>
      </c>
      <c r="E108" s="255">
        <v>24.89</v>
      </c>
      <c r="F108" s="255">
        <f t="shared" ref="F108:F119" si="44">C108*(E108-D108)</f>
        <v>13.499999999999979</v>
      </c>
      <c r="G108" s="255">
        <f t="shared" ref="G108:G119" si="45">D108*C108</f>
        <v>3720</v>
      </c>
      <c r="H108" s="269">
        <f t="shared" ref="H108:H119" si="46">(E108-D108)/D108</f>
        <v>3.6290322580645102E-3</v>
      </c>
      <c r="I108" s="255"/>
    </row>
    <row r="109" spans="2:9" x14ac:dyDescent="0.25">
      <c r="B109" s="259">
        <v>42648</v>
      </c>
      <c r="C109" s="254">
        <v>150</v>
      </c>
      <c r="D109" s="255">
        <v>24.8</v>
      </c>
      <c r="E109" s="255">
        <v>25.07</v>
      </c>
      <c r="F109" s="255">
        <f t="shared" si="44"/>
        <v>40.499999999999936</v>
      </c>
      <c r="G109" s="255">
        <f t="shared" si="45"/>
        <v>3720</v>
      </c>
      <c r="H109" s="269">
        <f t="shared" si="46"/>
        <v>1.0887096774193531E-2</v>
      </c>
      <c r="I109" s="255"/>
    </row>
    <row r="110" spans="2:9" x14ac:dyDescent="0.25">
      <c r="B110" s="259">
        <v>42649</v>
      </c>
      <c r="C110" s="254">
        <v>150</v>
      </c>
      <c r="D110" s="255">
        <v>24.8</v>
      </c>
      <c r="E110" s="255">
        <v>24.85</v>
      </c>
      <c r="F110" s="255">
        <f t="shared" si="44"/>
        <v>7.5000000000001066</v>
      </c>
      <c r="G110" s="255">
        <f t="shared" si="45"/>
        <v>3720</v>
      </c>
      <c r="H110" s="269">
        <f t="shared" si="46"/>
        <v>2.0161290322580931E-3</v>
      </c>
      <c r="I110" s="255"/>
    </row>
    <row r="111" spans="2:9" x14ac:dyDescent="0.25">
      <c r="B111" s="259">
        <v>42650</v>
      </c>
      <c r="C111" s="254">
        <v>150</v>
      </c>
      <c r="D111" s="255">
        <v>24.8</v>
      </c>
      <c r="E111" s="255">
        <v>24.58</v>
      </c>
      <c r="F111" s="255">
        <f t="shared" si="44"/>
        <v>-33.000000000000362</v>
      </c>
      <c r="G111" s="255">
        <f t="shared" si="45"/>
        <v>3720</v>
      </c>
      <c r="H111" s="269">
        <f t="shared" si="46"/>
        <v>-8.8709677419355811E-3</v>
      </c>
      <c r="I111" s="255"/>
    </row>
    <row r="112" spans="2:9" x14ac:dyDescent="0.25">
      <c r="B112" s="259">
        <v>42661</v>
      </c>
      <c r="C112" s="254">
        <v>150</v>
      </c>
      <c r="D112" s="255">
        <v>24.8</v>
      </c>
      <c r="E112" s="255">
        <v>23.39</v>
      </c>
      <c r="F112" s="255">
        <f t="shared" si="44"/>
        <v>-211.50000000000003</v>
      </c>
      <c r="G112" s="255">
        <f t="shared" si="45"/>
        <v>3720</v>
      </c>
      <c r="H112" s="269">
        <f t="shared" si="46"/>
        <v>-5.6854838709677426E-2</v>
      </c>
      <c r="I112" s="255"/>
    </row>
    <row r="113" spans="1:13" x14ac:dyDescent="0.25">
      <c r="B113" s="259">
        <v>42662</v>
      </c>
      <c r="C113" s="254">
        <v>150</v>
      </c>
      <c r="D113" s="255">
        <v>24.8</v>
      </c>
      <c r="E113" s="255">
        <v>23.84</v>
      </c>
      <c r="F113" s="255">
        <f t="shared" si="44"/>
        <v>-144.00000000000011</v>
      </c>
      <c r="G113" s="255">
        <f t="shared" si="45"/>
        <v>3720</v>
      </c>
      <c r="H113" s="269">
        <f t="shared" si="46"/>
        <v>-3.8709677419354875E-2</v>
      </c>
      <c r="I113" s="255"/>
    </row>
    <row r="114" spans="1:13" x14ac:dyDescent="0.25">
      <c r="B114" s="259">
        <v>42664</v>
      </c>
      <c r="C114" s="254">
        <v>150</v>
      </c>
      <c r="D114" s="255">
        <v>24.8</v>
      </c>
      <c r="E114" s="255">
        <v>24.31</v>
      </c>
      <c r="F114" s="255">
        <f t="shared" si="44"/>
        <v>-73.500000000000298</v>
      </c>
      <c r="G114" s="255">
        <f t="shared" si="45"/>
        <v>3720</v>
      </c>
      <c r="H114" s="269">
        <f t="shared" si="46"/>
        <v>-1.975806451612911E-2</v>
      </c>
      <c r="I114" s="255"/>
    </row>
    <row r="115" spans="1:13" x14ac:dyDescent="0.25">
      <c r="B115" s="259">
        <v>42670</v>
      </c>
      <c r="C115" s="254">
        <v>150</v>
      </c>
      <c r="D115" s="255">
        <v>24.626899999999999</v>
      </c>
      <c r="E115" s="255">
        <v>23.93</v>
      </c>
      <c r="F115" s="255">
        <f t="shared" si="44"/>
        <v>-104.53499999999991</v>
      </c>
      <c r="G115" s="255">
        <f t="shared" si="45"/>
        <v>3694.0349999999999</v>
      </c>
      <c r="H115" s="269">
        <f t="shared" si="46"/>
        <v>-2.8298324190214743E-2</v>
      </c>
      <c r="I115" s="255"/>
    </row>
    <row r="116" spans="1:13" x14ac:dyDescent="0.25">
      <c r="B116" s="259">
        <v>42674</v>
      </c>
      <c r="C116" s="254">
        <v>150</v>
      </c>
      <c r="D116" s="255">
        <v>24.626899999999999</v>
      </c>
      <c r="E116" s="255">
        <v>23.53</v>
      </c>
      <c r="F116" s="255">
        <f t="shared" si="44"/>
        <v>-164.53499999999968</v>
      </c>
      <c r="G116" s="255">
        <f t="shared" si="45"/>
        <v>3694.0349999999999</v>
      </c>
      <c r="H116" s="269">
        <f t="shared" si="46"/>
        <v>-4.4540725791715481E-2</v>
      </c>
      <c r="I116" s="255"/>
    </row>
    <row r="117" spans="1:13" x14ac:dyDescent="0.25">
      <c r="B117" s="259">
        <v>42675</v>
      </c>
      <c r="C117" s="254">
        <v>150</v>
      </c>
      <c r="D117" s="255">
        <v>24.264700000000001</v>
      </c>
      <c r="E117" s="255">
        <v>24.32</v>
      </c>
      <c r="F117" s="255">
        <f t="shared" si="44"/>
        <v>8.2949999999998525</v>
      </c>
      <c r="G117" s="255">
        <f t="shared" si="45"/>
        <v>3639.7050000000004</v>
      </c>
      <c r="H117" s="269">
        <f t="shared" si="46"/>
        <v>2.2790308555225912E-3</v>
      </c>
      <c r="I117" s="255"/>
    </row>
    <row r="118" spans="1:13" x14ac:dyDescent="0.25">
      <c r="B118" s="259">
        <v>42676</v>
      </c>
      <c r="C118" s="254">
        <v>150</v>
      </c>
      <c r="D118" s="255">
        <v>24.264700000000001</v>
      </c>
      <c r="E118" s="255">
        <v>24.73</v>
      </c>
      <c r="F118" s="255">
        <f t="shared" si="44"/>
        <v>69.794999999999874</v>
      </c>
      <c r="G118" s="255">
        <f t="shared" si="45"/>
        <v>3639.7050000000004</v>
      </c>
      <c r="H118" s="269">
        <f t="shared" si="46"/>
        <v>1.9176004648728363E-2</v>
      </c>
      <c r="I118" s="255"/>
    </row>
    <row r="119" spans="1:13" x14ac:dyDescent="0.25">
      <c r="B119" s="259">
        <v>42704</v>
      </c>
      <c r="C119" s="254">
        <v>100</v>
      </c>
      <c r="D119" s="255">
        <v>22.507400000000001</v>
      </c>
      <c r="E119" s="255">
        <v>28.4</v>
      </c>
      <c r="F119" s="255">
        <f t="shared" si="44"/>
        <v>589.25999999999976</v>
      </c>
      <c r="G119" s="255">
        <f t="shared" si="45"/>
        <v>2250.7400000000002</v>
      </c>
      <c r="H119" s="269">
        <f t="shared" si="46"/>
        <v>0.26180722784506422</v>
      </c>
      <c r="I119" s="255"/>
    </row>
    <row r="120" spans="1:13" x14ac:dyDescent="0.25">
      <c r="B120" s="259">
        <v>42711</v>
      </c>
      <c r="C120" s="254">
        <v>0</v>
      </c>
      <c r="D120" s="255"/>
      <c r="E120" s="255"/>
      <c r="F120" s="255">
        <v>727.2</v>
      </c>
      <c r="G120" s="255"/>
      <c r="H120" s="269"/>
      <c r="I120" s="255"/>
    </row>
    <row r="121" spans="1:13" x14ac:dyDescent="0.25">
      <c r="B121" s="188"/>
      <c r="C121" s="10"/>
      <c r="D121" s="39"/>
      <c r="E121" s="39"/>
      <c r="F121" s="39"/>
      <c r="G121" s="39"/>
      <c r="H121" s="226"/>
      <c r="I121" s="39"/>
    </row>
    <row r="122" spans="1:13" x14ac:dyDescent="0.25">
      <c r="B122" s="188"/>
      <c r="C122" s="10"/>
      <c r="D122" s="39"/>
      <c r="E122" s="39"/>
      <c r="F122" s="39"/>
      <c r="G122" s="39"/>
      <c r="H122" s="226"/>
      <c r="I122" s="39"/>
    </row>
    <row r="123" spans="1:13" x14ac:dyDescent="0.25">
      <c r="B123" s="188"/>
      <c r="C123" s="10"/>
      <c r="D123" s="39"/>
      <c r="E123" s="39"/>
      <c r="F123" s="39"/>
      <c r="G123" s="39"/>
      <c r="H123" s="226"/>
      <c r="I123" s="39"/>
    </row>
    <row r="127" spans="1:13" x14ac:dyDescent="0.25">
      <c r="L127" t="s">
        <v>65</v>
      </c>
      <c r="M127" s="2">
        <f>K145+M145-F145</f>
        <v>1452.2599999999984</v>
      </c>
    </row>
    <row r="128" spans="1:13" x14ac:dyDescent="0.25">
      <c r="A128" s="460" t="s">
        <v>1</v>
      </c>
      <c r="B128" s="460" t="s">
        <v>2</v>
      </c>
      <c r="C128" s="460" t="s">
        <v>4</v>
      </c>
      <c r="D128" s="461" t="s">
        <v>5</v>
      </c>
      <c r="E128" s="461" t="s">
        <v>94</v>
      </c>
      <c r="F128" s="461" t="s">
        <v>60</v>
      </c>
      <c r="G128" s="460" t="s">
        <v>3</v>
      </c>
      <c r="H128" s="460" t="s">
        <v>6</v>
      </c>
      <c r="I128" s="461" t="s">
        <v>7</v>
      </c>
      <c r="J128" s="461" t="s">
        <v>95</v>
      </c>
      <c r="K128" s="461" t="s">
        <v>61</v>
      </c>
      <c r="L128" s="460" t="s">
        <v>37</v>
      </c>
      <c r="M128" s="460" t="s">
        <v>38</v>
      </c>
    </row>
    <row r="129" spans="1:13" x14ac:dyDescent="0.25">
      <c r="A129" s="462" t="s">
        <v>227</v>
      </c>
      <c r="B129" s="463">
        <v>42548</v>
      </c>
      <c r="C129" s="464">
        <v>100</v>
      </c>
      <c r="D129" s="465">
        <v>25</v>
      </c>
      <c r="E129" s="465">
        <v>0</v>
      </c>
      <c r="F129" s="465">
        <f>D129*C129+E129</f>
        <v>2500</v>
      </c>
      <c r="G129" s="463">
        <v>42584</v>
      </c>
      <c r="H129" s="466">
        <v>100</v>
      </c>
      <c r="I129" s="465">
        <v>27.88</v>
      </c>
      <c r="J129" s="465">
        <v>0.06</v>
      </c>
      <c r="K129" s="465">
        <f>H129*I129-J129</f>
        <v>2787.94</v>
      </c>
      <c r="L129" s="463">
        <v>42719</v>
      </c>
      <c r="M129" s="464">
        <v>41.25</v>
      </c>
    </row>
    <row r="130" spans="1:13" x14ac:dyDescent="0.25">
      <c r="A130" s="467" t="s">
        <v>71</v>
      </c>
      <c r="B130" s="463">
        <v>42627</v>
      </c>
      <c r="C130" s="464">
        <v>50</v>
      </c>
      <c r="D130" s="465">
        <v>25.74</v>
      </c>
      <c r="E130" s="465">
        <v>0</v>
      </c>
      <c r="F130" s="465">
        <v>1287</v>
      </c>
      <c r="G130" s="463" t="s">
        <v>346</v>
      </c>
      <c r="H130" s="466">
        <v>50</v>
      </c>
      <c r="I130" s="465">
        <v>25</v>
      </c>
      <c r="J130" s="465">
        <v>0.03</v>
      </c>
      <c r="K130" s="465">
        <v>1249.97</v>
      </c>
      <c r="L130" s="464"/>
      <c r="M130" s="464"/>
    </row>
    <row r="131" spans="1:13" x14ac:dyDescent="0.25">
      <c r="A131" s="464"/>
      <c r="B131" s="463">
        <v>42639</v>
      </c>
      <c r="C131" s="464">
        <v>50</v>
      </c>
      <c r="D131" s="465">
        <v>24.48</v>
      </c>
      <c r="E131" s="465">
        <v>0</v>
      </c>
      <c r="F131" s="465">
        <v>1224</v>
      </c>
      <c r="G131" s="463" t="s">
        <v>346</v>
      </c>
      <c r="H131" s="466">
        <v>100</v>
      </c>
      <c r="I131" s="465">
        <v>24.88</v>
      </c>
      <c r="J131" s="465">
        <v>0.05</v>
      </c>
      <c r="K131" s="465">
        <v>2487.9499999999998</v>
      </c>
      <c r="L131" s="464"/>
      <c r="M131" s="464"/>
    </row>
    <row r="132" spans="1:13" x14ac:dyDescent="0.25">
      <c r="A132" s="464"/>
      <c r="B132" s="463">
        <v>42639</v>
      </c>
      <c r="C132" s="464">
        <v>50</v>
      </c>
      <c r="D132" s="465">
        <v>24.18</v>
      </c>
      <c r="E132" s="465">
        <v>0</v>
      </c>
      <c r="F132" s="465">
        <v>1209</v>
      </c>
      <c r="G132" s="463" t="s">
        <v>346</v>
      </c>
      <c r="H132" s="466">
        <v>50</v>
      </c>
      <c r="I132" s="465">
        <v>27.78</v>
      </c>
      <c r="J132" s="465">
        <v>0.03</v>
      </c>
      <c r="K132" s="465">
        <v>1388.97</v>
      </c>
      <c r="L132" s="464"/>
      <c r="M132" s="464"/>
    </row>
    <row r="133" spans="1:13" x14ac:dyDescent="0.25">
      <c r="A133" s="464"/>
      <c r="B133" s="463">
        <v>42670</v>
      </c>
      <c r="C133" s="464">
        <v>50</v>
      </c>
      <c r="D133" s="465">
        <v>24.48</v>
      </c>
      <c r="E133" s="465">
        <v>0</v>
      </c>
      <c r="F133" s="465">
        <v>1224</v>
      </c>
      <c r="G133" s="463" t="s">
        <v>346</v>
      </c>
      <c r="H133" s="466">
        <v>100</v>
      </c>
      <c r="I133" s="465">
        <v>29.78</v>
      </c>
      <c r="J133" s="465">
        <v>0.06</v>
      </c>
      <c r="K133" s="465">
        <v>2977.94</v>
      </c>
      <c r="L133" s="464"/>
      <c r="M133" s="464"/>
    </row>
    <row r="134" spans="1:13" x14ac:dyDescent="0.25">
      <c r="A134" s="464"/>
      <c r="B134" s="463" t="s">
        <v>346</v>
      </c>
      <c r="C134" s="464">
        <v>100</v>
      </c>
      <c r="D134" s="465">
        <v>24.34</v>
      </c>
      <c r="E134" s="465">
        <v>-0.37</v>
      </c>
      <c r="F134" s="465">
        <v>2433.63</v>
      </c>
      <c r="G134" s="464"/>
      <c r="H134" s="466"/>
      <c r="I134" s="465"/>
      <c r="J134" s="465"/>
      <c r="K134" s="465"/>
      <c r="L134" s="464"/>
      <c r="M134" s="464"/>
    </row>
    <row r="135" spans="1:13" x14ac:dyDescent="0.25">
      <c r="A135" s="464"/>
      <c r="B135" s="510">
        <v>42723</v>
      </c>
      <c r="C135" s="511">
        <v>100</v>
      </c>
      <c r="D135" s="513">
        <v>27.98</v>
      </c>
      <c r="E135" s="513">
        <v>0</v>
      </c>
      <c r="F135" s="513">
        <f>D135*C135+E135</f>
        <v>2798</v>
      </c>
      <c r="G135" s="510">
        <v>42724</v>
      </c>
      <c r="H135" s="511">
        <v>100</v>
      </c>
      <c r="I135" s="513">
        <v>27.94</v>
      </c>
      <c r="J135" s="513">
        <v>0.06</v>
      </c>
      <c r="K135" s="513">
        <f>I135*H135-J135</f>
        <v>2793.94</v>
      </c>
      <c r="L135" s="464"/>
      <c r="M135" s="464"/>
    </row>
    <row r="136" spans="1:13" x14ac:dyDescent="0.25">
      <c r="A136" s="464"/>
      <c r="B136" s="445">
        <v>42724</v>
      </c>
      <c r="C136" s="7">
        <v>100</v>
      </c>
      <c r="D136" s="43">
        <v>27.58</v>
      </c>
      <c r="E136" s="43">
        <v>0</v>
      </c>
      <c r="F136" s="43">
        <f>D136*C136+E136</f>
        <v>2758</v>
      </c>
      <c r="G136" s="445">
        <v>42758</v>
      </c>
      <c r="H136" s="80">
        <v>100</v>
      </c>
      <c r="I136" s="43">
        <v>31.58</v>
      </c>
      <c r="J136" s="43">
        <v>7.0000000000000007E-2</v>
      </c>
      <c r="K136" s="43">
        <f>H136*I136-J136</f>
        <v>3157.93</v>
      </c>
      <c r="L136" s="464"/>
      <c r="M136" s="464"/>
    </row>
    <row r="137" spans="1:13" x14ac:dyDescent="0.25">
      <c r="A137" s="464"/>
      <c r="B137" s="464"/>
      <c r="C137" s="464"/>
      <c r="D137" s="465"/>
      <c r="E137" s="465"/>
      <c r="F137" s="465"/>
      <c r="G137" s="464"/>
      <c r="H137" s="466"/>
      <c r="I137" s="465"/>
      <c r="J137" s="465"/>
      <c r="K137" s="465"/>
      <c r="L137" s="464"/>
      <c r="M137" s="464"/>
    </row>
    <row r="138" spans="1:13" x14ac:dyDescent="0.25">
      <c r="A138" s="464"/>
      <c r="B138" s="464"/>
      <c r="C138" s="464"/>
      <c r="D138" s="465"/>
      <c r="E138" s="465"/>
      <c r="F138" s="465"/>
      <c r="G138" s="464"/>
      <c r="H138" s="466"/>
      <c r="I138" s="465"/>
      <c r="J138" s="465"/>
      <c r="K138" s="465"/>
      <c r="L138" s="464"/>
      <c r="M138" s="464"/>
    </row>
    <row r="139" spans="1:13" x14ac:dyDescent="0.25">
      <c r="A139" s="464"/>
      <c r="B139" s="464"/>
      <c r="C139" s="464"/>
      <c r="D139" s="465"/>
      <c r="E139" s="465"/>
      <c r="F139" s="465"/>
      <c r="G139" s="464"/>
      <c r="H139" s="466"/>
      <c r="I139" s="465"/>
      <c r="J139" s="465"/>
      <c r="K139" s="465"/>
      <c r="L139" s="464"/>
      <c r="M139" s="464"/>
    </row>
    <row r="140" spans="1:13" x14ac:dyDescent="0.25">
      <c r="A140" s="464"/>
      <c r="B140" s="464"/>
      <c r="C140" s="464"/>
      <c r="D140" s="465"/>
      <c r="E140" s="465"/>
      <c r="F140" s="465"/>
      <c r="G140" s="464"/>
      <c r="H140" s="466"/>
      <c r="I140" s="465"/>
      <c r="J140" s="465"/>
      <c r="K140" s="465"/>
      <c r="L140" s="464"/>
      <c r="M140" s="464"/>
    </row>
    <row r="141" spans="1:13" x14ac:dyDescent="0.25">
      <c r="A141" s="464"/>
      <c r="B141" s="464"/>
      <c r="C141" s="464"/>
      <c r="D141" s="465"/>
      <c r="E141" s="465"/>
      <c r="F141" s="465"/>
      <c r="G141" s="464"/>
      <c r="H141" s="466"/>
      <c r="I141" s="465"/>
      <c r="J141" s="465"/>
      <c r="K141" s="465"/>
      <c r="L141" s="464"/>
      <c r="M141" s="464"/>
    </row>
    <row r="142" spans="1:13" x14ac:dyDescent="0.25">
      <c r="A142" s="464"/>
      <c r="B142" s="464"/>
      <c r="C142" s="464"/>
      <c r="D142" s="465"/>
      <c r="E142" s="465"/>
      <c r="F142" s="465"/>
      <c r="G142" s="464"/>
      <c r="H142" s="466"/>
      <c r="I142" s="465"/>
      <c r="J142" s="465"/>
      <c r="K142" s="465"/>
      <c r="L142" s="464"/>
      <c r="M142" s="464"/>
    </row>
    <row r="143" spans="1:13" x14ac:dyDescent="0.25">
      <c r="A143" s="464"/>
      <c r="B143" s="464"/>
      <c r="C143" s="464"/>
      <c r="D143" s="465"/>
      <c r="E143" s="465"/>
      <c r="F143" s="465"/>
      <c r="G143" s="464"/>
      <c r="H143" s="466"/>
      <c r="I143" s="465"/>
      <c r="J143" s="465"/>
      <c r="K143" s="465"/>
      <c r="L143" s="464"/>
      <c r="M143" s="464"/>
    </row>
    <row r="144" spans="1:13" x14ac:dyDescent="0.25">
      <c r="A144" s="464"/>
      <c r="B144" s="464"/>
      <c r="C144" s="464"/>
      <c r="D144" s="465"/>
      <c r="E144" s="465"/>
      <c r="F144" s="465"/>
      <c r="G144" s="464"/>
      <c r="H144" s="464"/>
      <c r="I144" s="465"/>
      <c r="J144" s="465"/>
      <c r="K144" s="465"/>
      <c r="L144" s="464"/>
      <c r="M144" s="464"/>
    </row>
    <row r="145" spans="1:13" x14ac:dyDescent="0.25">
      <c r="A145" s="63" t="s">
        <v>81</v>
      </c>
      <c r="B145" s="64"/>
      <c r="C145" s="64">
        <f>SUM(C129:C144)</f>
        <v>600</v>
      </c>
      <c r="D145" s="65"/>
      <c r="E145" s="65"/>
      <c r="F145" s="65">
        <f>SUM(F129:F144)</f>
        <v>15433.630000000001</v>
      </c>
      <c r="G145" s="64"/>
      <c r="H145" s="559">
        <f>SUM(H129:H144)</f>
        <v>600</v>
      </c>
      <c r="I145" s="65"/>
      <c r="J145" s="65"/>
      <c r="K145" s="65">
        <f>SUM(K129:K144)</f>
        <v>16844.64</v>
      </c>
      <c r="L145" s="64"/>
      <c r="M145" s="65">
        <f>SUM(M129:M137)</f>
        <v>41.25</v>
      </c>
    </row>
    <row r="146" spans="1:13" ht="15.75" thickBot="1" x14ac:dyDescent="0.3">
      <c r="A146" s="468" t="s">
        <v>194</v>
      </c>
      <c r="B146" s="469"/>
      <c r="C146" s="470">
        <f>SumByColor($A$23,C129:C144)</f>
        <v>100</v>
      </c>
      <c r="D146" s="470"/>
      <c r="E146" s="470"/>
      <c r="F146" s="471">
        <f>SumByColor($A$23,F129:F144)</f>
        <v>2758</v>
      </c>
      <c r="G146" s="470"/>
      <c r="H146" s="470">
        <f>SumByColor($A$23,H129:H144)</f>
        <v>100</v>
      </c>
      <c r="I146" s="470"/>
      <c r="J146" s="470"/>
      <c r="K146" s="471">
        <f>SumByColor($A$23,K129:K144)</f>
        <v>3158</v>
      </c>
      <c r="L146" s="470"/>
      <c r="M146" s="471">
        <f>SumByColor($A$23,M129:M144)</f>
        <v>0</v>
      </c>
    </row>
  </sheetData>
  <mergeCells count="1">
    <mergeCell ref="O40:P40"/>
  </mergeCells>
  <conditionalFormatting sqref="O41:O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98:F99 H98:H99 H105:H123 F105:F123">
    <cfRule type="expression" dxfId="933" priority="40">
      <formula>F98&gt;0</formula>
    </cfRule>
    <cfRule type="expression" dxfId="932" priority="41">
      <formula>F98&lt;0</formula>
    </cfRule>
  </conditionalFormatting>
  <conditionalFormatting sqref="Q7">
    <cfRule type="expression" dxfId="931" priority="28">
      <formula>Q7&gt;0</formula>
    </cfRule>
    <cfRule type="expression" dxfId="930" priority="29">
      <formula>Q7&lt;0</formula>
    </cfRule>
  </conditionalFormatting>
  <conditionalFormatting sqref="Q8">
    <cfRule type="expression" dxfId="929" priority="26">
      <formula>Q8&gt;0</formula>
    </cfRule>
    <cfRule type="expression" dxfId="928" priority="27">
      <formula>Q8&lt;0</formula>
    </cfRule>
  </conditionalFormatting>
  <conditionalFormatting sqref="F85:F97">
    <cfRule type="expression" dxfId="927" priority="24">
      <formula>F85&gt;0</formula>
    </cfRule>
    <cfRule type="expression" dxfId="926" priority="25">
      <formula>F85&lt;0</formula>
    </cfRule>
  </conditionalFormatting>
  <conditionalFormatting sqref="H85:H97">
    <cfRule type="expression" dxfId="925" priority="22">
      <formula>H85&gt;0</formula>
    </cfRule>
    <cfRule type="expression" dxfId="924" priority="23">
      <formula>H85&lt;0</formula>
    </cfRule>
  </conditionalFormatting>
  <conditionalFormatting sqref="H101:H104">
    <cfRule type="expression" dxfId="923" priority="18">
      <formula>H101&gt;0</formula>
    </cfRule>
    <cfRule type="expression" dxfId="922" priority="19">
      <formula>H101&lt;0</formula>
    </cfRule>
  </conditionalFormatting>
  <conditionalFormatting sqref="F101:F104">
    <cfRule type="expression" dxfId="921" priority="20">
      <formula>F101&gt;0</formula>
    </cfRule>
    <cfRule type="expression" dxfId="920" priority="21">
      <formula>F101&lt;0</formula>
    </cfRule>
  </conditionalFormatting>
  <conditionalFormatting sqref="M127">
    <cfRule type="expression" dxfId="919" priority="16">
      <formula>M127&gt;0</formula>
    </cfRule>
    <cfRule type="expression" dxfId="918" priority="17">
      <formula>M127&lt;0</formula>
    </cfRule>
  </conditionalFormatting>
  <conditionalFormatting sqref="F27:F28 F35:F80">
    <cfRule type="expression" dxfId="917" priority="14">
      <formula>F27&gt;0</formula>
    </cfRule>
    <cfRule type="expression" dxfId="916" priority="15">
      <formula>F27&lt;0</formula>
    </cfRule>
  </conditionalFormatting>
  <conditionalFormatting sqref="H27:H28 H35:H80">
    <cfRule type="expression" dxfId="915" priority="12">
      <formula>H27&gt;0</formula>
    </cfRule>
    <cfRule type="expression" dxfId="914" priority="13">
      <formula>H27&lt;0</formula>
    </cfRule>
  </conditionalFormatting>
  <conditionalFormatting sqref="Q10">
    <cfRule type="expression" dxfId="913" priority="10">
      <formula>Q10&gt;0</formula>
    </cfRule>
    <cfRule type="expression" dxfId="912" priority="11">
      <formula>Q10&lt;0</formula>
    </cfRule>
  </conditionalFormatting>
  <conditionalFormatting sqref="F29:F34">
    <cfRule type="expression" dxfId="911" priority="8">
      <formula>F29&gt;0</formula>
    </cfRule>
    <cfRule type="expression" dxfId="910" priority="9">
      <formula>F29&lt;0</formula>
    </cfRule>
  </conditionalFormatting>
  <conditionalFormatting sqref="H29:H34">
    <cfRule type="expression" dxfId="909" priority="6">
      <formula>H29&gt;0</formula>
    </cfRule>
    <cfRule type="expression" dxfId="908" priority="7">
      <formula>H29&lt;0</formula>
    </cfRule>
  </conditionalFormatting>
  <conditionalFormatting sqref="K32:K39">
    <cfRule type="expression" dxfId="907" priority="4">
      <formula>K32&gt;0</formula>
    </cfRule>
    <cfRule type="expression" dxfId="906" priority="5">
      <formula>K32&lt;0</formula>
    </cfRule>
  </conditionalFormatting>
  <conditionalFormatting sqref="K40:K80">
    <cfRule type="expression" dxfId="905" priority="2">
      <formula>K40&gt;0</formula>
    </cfRule>
    <cfRule type="expression" dxfId="904" priority="3">
      <formula>K40&lt;0</formula>
    </cfRule>
  </conditionalFormatting>
  <conditionalFormatting sqref="AB80:AB91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30" location="ACTIVE!A1" display="Back"/>
    <hyperlink ref="T76" r:id="rId1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57.85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80"/>
      <c r="I4" s="3"/>
      <c r="J4" s="3"/>
      <c r="K4" s="3"/>
      <c r="L4" s="4"/>
      <c r="O4" s="11" t="s">
        <v>66</v>
      </c>
      <c r="Q4" s="54">
        <v>57.85</v>
      </c>
      <c r="R4" s="487">
        <v>4.0000000000000001E-3</v>
      </c>
      <c r="T4" s="159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210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209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531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8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6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8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6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8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6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8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6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8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6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8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6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8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6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8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6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8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6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8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6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8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6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8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6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8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6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8">
        <v>42580</v>
      </c>
      <c r="C38" s="10">
        <v>0</v>
      </c>
      <c r="D38" s="39"/>
      <c r="E38" s="39"/>
      <c r="F38" s="39">
        <v>257.89999999999998</v>
      </c>
      <c r="G38" s="39"/>
      <c r="H38" s="226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4" t="s">
        <v>78</v>
      </c>
      <c r="P40" s="80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63.635000000000005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5">O42*$Q$4</f>
        <v>63.056500000000007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5"/>
        <v>62.478000000000009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5"/>
        <v>61.899500000000003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5"/>
        <v>61.321000000000005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5"/>
        <v>60.742500000000007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5"/>
        <v>60.164000000000001</v>
      </c>
      <c r="Q47" s="2"/>
      <c r="T47" s="91" t="s">
        <v>323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5"/>
        <v>59.585500000000003</v>
      </c>
      <c r="Q48" s="2"/>
      <c r="T48" s="91" t="s">
        <v>324</v>
      </c>
      <c r="U48" s="86" t="s">
        <v>515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5"/>
        <v>59.007000000000005</v>
      </c>
      <c r="Q49" s="2"/>
      <c r="T49" s="91" t="s">
        <v>325</v>
      </c>
      <c r="U49" s="439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58.4285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57.85</v>
      </c>
      <c r="Q51" s="2"/>
      <c r="T51" s="91" t="s">
        <v>104</v>
      </c>
      <c r="U51" s="86" t="s">
        <v>637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57.271500000000003</v>
      </c>
      <c r="Q52" s="2"/>
      <c r="T52" s="91" t="s">
        <v>105</v>
      </c>
      <c r="U52" s="86" t="s">
        <v>530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56.692999999999998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6" t="s">
        <v>1</v>
      </c>
      <c r="B54" s="256" t="s">
        <v>2</v>
      </c>
      <c r="C54" s="256" t="s">
        <v>4</v>
      </c>
      <c r="D54" s="257" t="s">
        <v>5</v>
      </c>
      <c r="E54" s="257" t="s">
        <v>94</v>
      </c>
      <c r="F54" s="257" t="s">
        <v>60</v>
      </c>
      <c r="G54" s="256" t="s">
        <v>3</v>
      </c>
      <c r="H54" s="256" t="s">
        <v>6</v>
      </c>
      <c r="I54" s="257" t="s">
        <v>7</v>
      </c>
      <c r="J54" s="257" t="s">
        <v>95</v>
      </c>
      <c r="K54" s="257" t="s">
        <v>61</v>
      </c>
      <c r="L54" s="256" t="s">
        <v>37</v>
      </c>
      <c r="M54" s="256" t="s">
        <v>38</v>
      </c>
      <c r="O54" s="81">
        <v>0.97</v>
      </c>
      <c r="P54" s="81">
        <f t="shared" si="5"/>
        <v>56.1145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8" t="s">
        <v>225</v>
      </c>
      <c r="B55" s="259">
        <v>42545</v>
      </c>
      <c r="C55" s="254">
        <v>100</v>
      </c>
      <c r="D55" s="255">
        <v>45.25</v>
      </c>
      <c r="E55" s="255">
        <v>0</v>
      </c>
      <c r="F55" s="255">
        <f>D55*C55+E55</f>
        <v>4525</v>
      </c>
      <c r="G55" s="259">
        <v>42577</v>
      </c>
      <c r="H55" s="260">
        <v>50</v>
      </c>
      <c r="I55" s="255">
        <v>47.5</v>
      </c>
      <c r="J55" s="255">
        <v>0.05</v>
      </c>
      <c r="K55" s="255">
        <f>H55*I55-J55</f>
        <v>2374.9499999999998</v>
      </c>
      <c r="L55" s="259" t="s">
        <v>237</v>
      </c>
      <c r="M55" s="254"/>
      <c r="O55" s="81">
        <v>0.96</v>
      </c>
      <c r="P55" s="81">
        <f t="shared" si="5"/>
        <v>55.536000000000001</v>
      </c>
      <c r="T55" s="91" t="s">
        <v>326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61" t="s">
        <v>71</v>
      </c>
      <c r="B56" s="259"/>
      <c r="C56" s="254"/>
      <c r="D56" s="255"/>
      <c r="E56" s="255"/>
      <c r="F56" s="255"/>
      <c r="G56" s="259">
        <v>42580</v>
      </c>
      <c r="H56" s="260">
        <v>50</v>
      </c>
      <c r="I56" s="255">
        <v>48.16</v>
      </c>
      <c r="J56" s="255">
        <v>0.3</v>
      </c>
      <c r="K56" s="255">
        <f>H56*I56-J56</f>
        <v>2407.6999999999998</v>
      </c>
      <c r="L56" s="254"/>
      <c r="M56" s="254"/>
      <c r="O56" s="81">
        <v>0.95</v>
      </c>
      <c r="P56" s="81">
        <f t="shared" si="5"/>
        <v>54.957499999999996</v>
      </c>
      <c r="T56" s="91" t="s">
        <v>327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4"/>
      <c r="B57" s="259"/>
      <c r="C57" s="254"/>
      <c r="D57" s="255"/>
      <c r="E57" s="255"/>
      <c r="F57" s="255"/>
      <c r="G57" s="254"/>
      <c r="H57" s="260"/>
      <c r="I57" s="255"/>
      <c r="J57" s="255"/>
      <c r="K57" s="255"/>
      <c r="L57" s="254"/>
      <c r="M57" s="254"/>
      <c r="O57" s="81">
        <v>0.94</v>
      </c>
      <c r="P57" s="81">
        <f t="shared" si="5"/>
        <v>54.378999999999998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4"/>
      <c r="B58" s="259"/>
      <c r="C58" s="254"/>
      <c r="D58" s="255"/>
      <c r="E58" s="255"/>
      <c r="F58" s="255"/>
      <c r="G58" s="254"/>
      <c r="H58" s="260"/>
      <c r="I58" s="255"/>
      <c r="J58" s="255"/>
      <c r="K58" s="255"/>
      <c r="L58" s="254"/>
      <c r="M58" s="254"/>
      <c r="O58" s="81">
        <v>0.93</v>
      </c>
      <c r="P58" s="81">
        <f t="shared" si="5"/>
        <v>53.800500000000007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4"/>
      <c r="B59" s="259"/>
      <c r="C59" s="254"/>
      <c r="D59" s="255"/>
      <c r="E59" s="255"/>
      <c r="F59" s="255"/>
      <c r="G59" s="254"/>
      <c r="H59" s="260"/>
      <c r="I59" s="255"/>
      <c r="J59" s="255"/>
      <c r="K59" s="255"/>
      <c r="L59" s="254"/>
      <c r="M59" s="254"/>
      <c r="O59" s="81">
        <v>0.92</v>
      </c>
      <c r="P59" s="81">
        <f t="shared" si="5"/>
        <v>53.222000000000001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4"/>
      <c r="B60" s="254"/>
      <c r="C60" s="254"/>
      <c r="D60" s="255"/>
      <c r="E60" s="255"/>
      <c r="F60" s="255"/>
      <c r="G60" s="254"/>
      <c r="H60" s="260"/>
      <c r="I60" s="255"/>
      <c r="J60" s="255"/>
      <c r="K60" s="255"/>
      <c r="L60" s="254"/>
      <c r="M60" s="254"/>
      <c r="O60" s="81">
        <v>0.91</v>
      </c>
      <c r="P60" s="81">
        <f t="shared" si="5"/>
        <v>52.643500000000003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4"/>
      <c r="B61" s="254"/>
      <c r="C61" s="254"/>
      <c r="D61" s="255"/>
      <c r="E61" s="255"/>
      <c r="F61" s="255"/>
      <c r="G61" s="254"/>
      <c r="H61" s="260"/>
      <c r="I61" s="255"/>
      <c r="J61" s="255"/>
      <c r="K61" s="255"/>
      <c r="L61" s="254"/>
      <c r="M61" s="254"/>
      <c r="O61" s="81">
        <v>0.9</v>
      </c>
      <c r="P61" s="81">
        <f t="shared" si="5"/>
        <v>52.065000000000005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4"/>
      <c r="B62" s="254"/>
      <c r="C62" s="254"/>
      <c r="D62" s="255"/>
      <c r="E62" s="255"/>
      <c r="F62" s="255"/>
      <c r="G62" s="254"/>
      <c r="H62" s="260"/>
      <c r="I62" s="255"/>
      <c r="J62" s="255"/>
      <c r="K62" s="255"/>
      <c r="L62" s="254"/>
      <c r="M62" s="254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4"/>
      <c r="B63" s="254"/>
      <c r="C63" s="254"/>
      <c r="D63" s="255"/>
      <c r="E63" s="255"/>
      <c r="F63" s="255"/>
      <c r="G63" s="254"/>
      <c r="H63" s="260"/>
      <c r="I63" s="255"/>
      <c r="J63" s="255"/>
      <c r="K63" s="255"/>
      <c r="L63" s="254"/>
      <c r="M63" s="254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54"/>
      <c r="I70" s="255"/>
      <c r="J70" s="255"/>
      <c r="K70" s="255"/>
      <c r="L70" s="254"/>
      <c r="M70" s="254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50" t="s">
        <v>194</v>
      </c>
      <c r="B72" s="451"/>
      <c r="C72" s="452">
        <f>SumByColor($A$19,C55:C70)</f>
        <v>0</v>
      </c>
      <c r="D72" s="452"/>
      <c r="E72" s="452"/>
      <c r="F72" s="453">
        <f>SumByColor($A$19,F55:F70)</f>
        <v>0</v>
      </c>
      <c r="G72" s="452"/>
      <c r="H72" s="452">
        <f>SumByColor($A$19,H55:H70)</f>
        <v>0</v>
      </c>
      <c r="I72" s="452"/>
      <c r="J72" s="452"/>
      <c r="K72" s="453">
        <f>SumByColor($A$19,K55:K70)</f>
        <v>0</v>
      </c>
      <c r="L72" s="452"/>
      <c r="M72" s="453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03" priority="9">
      <formula>F39&gt;0</formula>
    </cfRule>
    <cfRule type="expression" dxfId="902" priority="10">
      <formula>F39&lt;0</formula>
    </cfRule>
  </conditionalFormatting>
  <conditionalFormatting sqref="F25:F38">
    <cfRule type="expression" dxfId="901" priority="7">
      <formula>F25&gt;0</formula>
    </cfRule>
    <cfRule type="expression" dxfId="900" priority="8">
      <formula>F25&lt;0</formula>
    </cfRule>
  </conditionalFormatting>
  <conditionalFormatting sqref="H25:H38">
    <cfRule type="expression" dxfId="899" priority="5">
      <formula>H25&gt;0</formula>
    </cfRule>
    <cfRule type="expression" dxfId="898" priority="6">
      <formula>H25&lt;0</formula>
    </cfRule>
  </conditionalFormatting>
  <conditionalFormatting sqref="Q7">
    <cfRule type="expression" dxfId="897" priority="3">
      <formula>Q7&gt;0</formula>
    </cfRule>
    <cfRule type="expression" dxfId="896" priority="4">
      <formula>Q7&lt;0</formula>
    </cfRule>
  </conditionalFormatting>
  <conditionalFormatting sqref="Q8">
    <cfRule type="expression" dxfId="895" priority="1">
      <formula>Q8&gt;0</formula>
    </cfRule>
    <cfRule type="expression" dxfId="89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880</v>
      </c>
      <c r="B2" s="486">
        <v>43140</v>
      </c>
      <c r="C2" s="4">
        <v>10</v>
      </c>
      <c r="D2" s="3">
        <v>251.2</v>
      </c>
      <c r="E2" s="3">
        <v>0</v>
      </c>
      <c r="F2" s="3">
        <f>C2*D2+E2</f>
        <v>2512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251.2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255.46</v>
      </c>
      <c r="R4" s="509">
        <v>-3.9699999999999999E-2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2554.6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2512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499.53999999999996</v>
      </c>
      <c r="R7" s="29">
        <v>43171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42.599999999999909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1.6958598726114615E-2</v>
      </c>
      <c r="W9" s="134"/>
    </row>
    <row r="10" spans="1:23" x14ac:dyDescent="0.25">
      <c r="H10" s="70"/>
      <c r="O10" s="11" t="s">
        <v>209</v>
      </c>
      <c r="P10" s="33"/>
      <c r="Q10" s="2">
        <f>M66</f>
        <v>456.94000000000005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04" t="s">
        <v>78</v>
      </c>
      <c r="P14" s="804"/>
      <c r="W14" s="134"/>
    </row>
    <row r="15" spans="1:23" ht="15.75" thickTop="1" x14ac:dyDescent="0.25">
      <c r="H15" s="70"/>
      <c r="O15" s="81">
        <v>1.1000000000000001</v>
      </c>
      <c r="P15" s="81">
        <f>O15*$Q$4</f>
        <v>281.00600000000003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278.45140000000004</v>
      </c>
      <c r="W16" s="134"/>
    </row>
    <row r="17" spans="1:23" x14ac:dyDescent="0.25">
      <c r="O17" s="81">
        <v>1.08</v>
      </c>
      <c r="P17" s="81">
        <f t="shared" si="0"/>
        <v>275.89680000000004</v>
      </c>
      <c r="W17" s="134"/>
    </row>
    <row r="18" spans="1:23" x14ac:dyDescent="0.25">
      <c r="A18" s="31" t="s">
        <v>81</v>
      </c>
      <c r="B18" s="14"/>
      <c r="C18" s="14">
        <f>SUM(C2:C6)</f>
        <v>10</v>
      </c>
      <c r="D18" s="18"/>
      <c r="E18" s="18"/>
      <c r="F18" s="18">
        <f>SUM(F2:F6)</f>
        <v>2512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273.34220000000005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O19" s="81">
        <v>1.06</v>
      </c>
      <c r="P19" s="81">
        <f t="shared" si="0"/>
        <v>270.7876</v>
      </c>
      <c r="W19" s="134"/>
    </row>
    <row r="20" spans="1:23" x14ac:dyDescent="0.25">
      <c r="O20" s="81">
        <v>1.05</v>
      </c>
      <c r="P20" s="81">
        <f t="shared" si="0"/>
        <v>268.233</v>
      </c>
      <c r="W20" s="134"/>
    </row>
    <row r="21" spans="1:23" x14ac:dyDescent="0.25">
      <c r="O21" s="81">
        <v>1.04</v>
      </c>
      <c r="P21" s="81">
        <f t="shared" si="0"/>
        <v>265.67840000000001</v>
      </c>
      <c r="W21" s="134"/>
    </row>
    <row r="22" spans="1:23" x14ac:dyDescent="0.25">
      <c r="O22" s="81">
        <v>1.03</v>
      </c>
      <c r="P22" s="81">
        <f t="shared" si="0"/>
        <v>263.12380000000002</v>
      </c>
      <c r="W22" s="134"/>
    </row>
    <row r="23" spans="1:23" x14ac:dyDescent="0.25">
      <c r="O23" s="81">
        <v>1.02</v>
      </c>
      <c r="P23" s="81">
        <f t="shared" si="0"/>
        <v>260.56920000000002</v>
      </c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1.01</v>
      </c>
      <c r="P24" s="81">
        <f t="shared" si="0"/>
        <v>258.01460000000003</v>
      </c>
      <c r="W24" s="134"/>
    </row>
    <row r="25" spans="1:23" x14ac:dyDescent="0.25">
      <c r="B25" s="188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6">
        <f t="shared" ref="H25" si="3">(E25-D25)/D25</f>
        <v>1.6958598726114726E-2</v>
      </c>
      <c r="I25" s="39"/>
      <c r="J25" s="39"/>
      <c r="K25" s="39"/>
      <c r="L25" s="158"/>
      <c r="O25" s="81">
        <v>1</v>
      </c>
      <c r="P25" s="81">
        <f t="shared" si="0"/>
        <v>255.46</v>
      </c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158"/>
      <c r="O26" s="81">
        <v>0.99</v>
      </c>
      <c r="P26" s="81">
        <f t="shared" si="0"/>
        <v>252.90540000000001</v>
      </c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O27" s="81">
        <v>0.98</v>
      </c>
      <c r="P27" s="81">
        <f t="shared" si="0"/>
        <v>250.35079999999999</v>
      </c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O28" s="81">
        <v>0.97</v>
      </c>
      <c r="P28" s="81">
        <f t="shared" si="0"/>
        <v>247.7962</v>
      </c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O29" s="81">
        <v>0.96</v>
      </c>
      <c r="P29" s="81">
        <f t="shared" si="0"/>
        <v>245.24160000000001</v>
      </c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O30" s="81">
        <v>0.95</v>
      </c>
      <c r="P30" s="81">
        <f t="shared" si="0"/>
        <v>242.68699999999998</v>
      </c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O31" s="81">
        <v>0.94</v>
      </c>
      <c r="P31" s="81">
        <f t="shared" si="0"/>
        <v>240.13239999999999</v>
      </c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O32" s="81">
        <v>0.93</v>
      </c>
      <c r="P32" s="81">
        <f t="shared" si="0"/>
        <v>237.57780000000002</v>
      </c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39"/>
      <c r="O33" s="81">
        <v>0.92</v>
      </c>
      <c r="P33" s="81">
        <f t="shared" si="0"/>
        <v>235.02320000000003</v>
      </c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O34" s="81">
        <v>0.91</v>
      </c>
      <c r="P34" s="81">
        <f t="shared" si="0"/>
        <v>232.46860000000001</v>
      </c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O35" s="81">
        <v>0.9</v>
      </c>
      <c r="P35" s="81">
        <f t="shared" si="0"/>
        <v>229.91400000000002</v>
      </c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456.94000000000005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880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10</v>
      </c>
      <c r="D84" s="532"/>
      <c r="E84" s="532"/>
      <c r="F84" s="532">
        <f>SUM(F68:F72)</f>
        <v>2889.78</v>
      </c>
      <c r="G84" s="531"/>
      <c r="H84" s="553">
        <f>SUM(H68:H71)</f>
        <v>10</v>
      </c>
      <c r="I84" s="532"/>
      <c r="J84" s="532"/>
      <c r="K84" s="532">
        <f>SUM(K68:K71)</f>
        <v>3346.7200000000003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39"/>
      <c r="K88" s="39"/>
    </row>
    <row r="89" spans="1:13" x14ac:dyDescent="0.25">
      <c r="B89" s="188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6">
        <f>(E89-D89)/D89</f>
        <v>1.7994449404440502E-4</v>
      </c>
      <c r="I89" s="39"/>
      <c r="J89" s="39"/>
      <c r="K89" s="39"/>
    </row>
    <row r="90" spans="1:13" x14ac:dyDescent="0.25">
      <c r="B90" s="188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6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8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6">
        <f>(E91-D91)/D91</f>
        <v>0.10205621189156273</v>
      </c>
      <c r="I91" s="39"/>
      <c r="J91" s="39"/>
      <c r="K91" s="39"/>
    </row>
    <row r="92" spans="1:13" x14ac:dyDescent="0.25">
      <c r="B92" s="188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6">
        <f>(E92-D92)/D92</f>
        <v>0.15797742388693944</v>
      </c>
      <c r="I92" s="39"/>
      <c r="J92" s="39"/>
      <c r="K92" s="39"/>
    </row>
    <row r="93" spans="1:13" x14ac:dyDescent="0.25">
      <c r="B93" s="188">
        <v>43129</v>
      </c>
      <c r="C93" s="10">
        <v>0</v>
      </c>
      <c r="D93" s="39"/>
      <c r="E93" s="39"/>
      <c r="F93" s="39">
        <v>456.94</v>
      </c>
      <c r="G93" s="39"/>
      <c r="H93" s="226"/>
      <c r="I93" s="39"/>
      <c r="J93" s="39"/>
      <c r="K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  <c r="J94" s="39"/>
      <c r="K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  <c r="J95" s="39"/>
      <c r="K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  <c r="J96" s="39"/>
      <c r="K96" s="39"/>
    </row>
    <row r="97" spans="2:11" x14ac:dyDescent="0.25">
      <c r="B97" s="188"/>
      <c r="C97" s="10"/>
      <c r="D97" s="39"/>
      <c r="E97" s="39"/>
      <c r="F97" s="39"/>
      <c r="G97" s="39"/>
      <c r="H97" s="226"/>
      <c r="I97" s="39"/>
      <c r="J97" s="39"/>
      <c r="K97" s="39"/>
    </row>
    <row r="98" spans="2:11" x14ac:dyDescent="0.25">
      <c r="B98" s="188"/>
      <c r="C98" s="10"/>
      <c r="D98" s="39"/>
      <c r="E98" s="39"/>
      <c r="F98" s="39"/>
      <c r="G98" s="39"/>
      <c r="H98" s="226"/>
      <c r="I98" s="39"/>
      <c r="J98" s="39"/>
      <c r="K98" s="39"/>
    </row>
    <row r="99" spans="2:11" x14ac:dyDescent="0.25">
      <c r="B99" s="188"/>
      <c r="C99" s="10"/>
      <c r="D99" s="39"/>
      <c r="E99" s="39"/>
      <c r="F99" s="39"/>
      <c r="G99" s="39"/>
      <c r="H99" s="226"/>
      <c r="I99" s="39"/>
      <c r="J99" s="39"/>
      <c r="K99" s="39"/>
    </row>
    <row r="100" spans="2:11" x14ac:dyDescent="0.25">
      <c r="B100" s="188"/>
      <c r="C100" s="10"/>
      <c r="D100" s="39"/>
      <c r="E100" s="39"/>
      <c r="F100" s="39"/>
      <c r="G100" s="39"/>
      <c r="H100" s="226"/>
      <c r="I100" s="39"/>
      <c r="J100" s="39"/>
      <c r="K100" s="39"/>
    </row>
    <row r="101" spans="2:11" x14ac:dyDescent="0.25">
      <c r="B101" s="188"/>
      <c r="C101" s="10"/>
      <c r="D101" s="39"/>
      <c r="E101" s="39"/>
      <c r="F101" s="39"/>
      <c r="G101" s="39"/>
      <c r="H101" s="226"/>
      <c r="I101" s="39"/>
      <c r="J101" s="39"/>
      <c r="K101" s="39"/>
    </row>
    <row r="102" spans="2:11" x14ac:dyDescent="0.25">
      <c r="B102" s="188"/>
      <c r="C102" s="10"/>
      <c r="D102" s="39"/>
      <c r="E102" s="39"/>
      <c r="F102" s="39"/>
      <c r="G102" s="39"/>
      <c r="H102" s="226"/>
      <c r="I102" s="39"/>
      <c r="J102" s="39"/>
      <c r="K102" s="39"/>
    </row>
    <row r="103" spans="2:11" x14ac:dyDescent="0.25">
      <c r="B103" s="188"/>
      <c r="C103" s="10"/>
      <c r="D103" s="39"/>
      <c r="E103" s="39"/>
      <c r="F103" s="39"/>
      <c r="G103" s="39"/>
      <c r="H103" s="226"/>
      <c r="I103" s="39"/>
      <c r="J103" s="39"/>
      <c r="K103" s="39"/>
    </row>
    <row r="104" spans="2:11" x14ac:dyDescent="0.25">
      <c r="B104" s="188"/>
      <c r="C104" s="10"/>
      <c r="D104" s="39"/>
      <c r="E104" s="39"/>
      <c r="F104" s="39"/>
      <c r="G104" s="39"/>
      <c r="H104" s="226"/>
      <c r="I104" s="39"/>
      <c r="J104" s="39"/>
      <c r="K104" s="39"/>
    </row>
    <row r="105" spans="2:11" x14ac:dyDescent="0.25">
      <c r="B105" s="188"/>
      <c r="C105" s="10"/>
      <c r="D105" s="39"/>
      <c r="E105" s="39"/>
      <c r="F105" s="39"/>
      <c r="G105" s="39"/>
      <c r="H105" s="226"/>
      <c r="I105" s="39"/>
      <c r="J105" s="39"/>
      <c r="K105" s="39"/>
    </row>
    <row r="106" spans="2:11" x14ac:dyDescent="0.25">
      <c r="B106" s="188"/>
      <c r="C106" s="10"/>
      <c r="D106" s="39"/>
      <c r="E106" s="39"/>
      <c r="F106" s="39"/>
      <c r="G106" s="39"/>
      <c r="H106" s="226"/>
      <c r="I106" s="39"/>
      <c r="J106" s="39"/>
      <c r="K106" s="39"/>
    </row>
    <row r="107" spans="2:11" x14ac:dyDescent="0.25">
      <c r="B107" s="188"/>
      <c r="C107" s="10"/>
      <c r="D107" s="39"/>
      <c r="E107" s="39"/>
      <c r="F107" s="39"/>
      <c r="G107" s="39"/>
      <c r="H107" s="226"/>
      <c r="I107" s="39"/>
      <c r="J107" s="39"/>
      <c r="K107" s="39"/>
    </row>
    <row r="108" spans="2:11" x14ac:dyDescent="0.25">
      <c r="B108" s="188"/>
      <c r="C108" s="10"/>
      <c r="D108" s="39"/>
      <c r="E108" s="39"/>
      <c r="F108" s="39"/>
      <c r="G108" s="39"/>
      <c r="H108" s="226"/>
      <c r="I108" s="39"/>
      <c r="J108" s="39"/>
      <c r="K108" s="39"/>
    </row>
    <row r="109" spans="2:11" x14ac:dyDescent="0.25">
      <c r="B109" s="188"/>
      <c r="C109" s="10"/>
      <c r="D109" s="39"/>
      <c r="E109" s="39"/>
      <c r="F109" s="39"/>
      <c r="G109" s="39"/>
      <c r="H109" s="226"/>
      <c r="I109" s="39"/>
      <c r="J109" s="39"/>
      <c r="K109" s="39"/>
    </row>
    <row r="110" spans="2:11" x14ac:dyDescent="0.25">
      <c r="B110" s="188"/>
      <c r="C110" s="10"/>
      <c r="D110" s="39"/>
      <c r="E110" s="39"/>
      <c r="F110" s="39"/>
      <c r="G110" s="39"/>
      <c r="H110" s="226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893" priority="29">
      <formula>F29&gt;0</formula>
    </cfRule>
    <cfRule type="expression" dxfId="892" priority="30">
      <formula>F29&lt;0</formula>
    </cfRule>
  </conditionalFormatting>
  <conditionalFormatting sqref="Q7">
    <cfRule type="expression" dxfId="891" priority="27">
      <formula>Q7&gt;0</formula>
    </cfRule>
    <cfRule type="expression" dxfId="890" priority="28">
      <formula>Q7&lt;0</formula>
    </cfRule>
  </conditionalFormatting>
  <conditionalFormatting sqref="Q8">
    <cfRule type="expression" dxfId="889" priority="25">
      <formula>Q8&gt;0</formula>
    </cfRule>
    <cfRule type="expression" dxfId="888" priority="26">
      <formula>Q8&lt;0</formula>
    </cfRule>
  </conditionalFormatting>
  <conditionalFormatting sqref="F96:F110">
    <cfRule type="expression" dxfId="887" priority="19">
      <formula>F96&gt;0</formula>
    </cfRule>
    <cfRule type="expression" dxfId="886" priority="20">
      <formula>F96&lt;0</formula>
    </cfRule>
  </conditionalFormatting>
  <conditionalFormatting sqref="H96:H110">
    <cfRule type="expression" dxfId="885" priority="17">
      <formula>H96&gt;0</formula>
    </cfRule>
    <cfRule type="expression" dxfId="884" priority="18">
      <formula>H96&lt;0</formula>
    </cfRule>
  </conditionalFormatting>
  <conditionalFormatting sqref="Q10">
    <cfRule type="expression" dxfId="883" priority="15">
      <formula>Q10&gt;0</formula>
    </cfRule>
    <cfRule type="expression" dxfId="882" priority="16">
      <formula>Q10&lt;0</formula>
    </cfRule>
  </conditionalFormatting>
  <conditionalFormatting sqref="L29:L38">
    <cfRule type="expression" dxfId="881" priority="9">
      <formula>L29&gt;0</formula>
    </cfRule>
    <cfRule type="expression" dxfId="880" priority="10">
      <formula>L29&lt;0</formula>
    </cfRule>
  </conditionalFormatting>
  <conditionalFormatting sqref="F26:F29 H26:H29 J25:K29">
    <cfRule type="expression" dxfId="879" priority="7">
      <formula>F25&gt;0</formula>
    </cfRule>
    <cfRule type="expression" dxfId="878" priority="8">
      <formula>F25&lt;0</formula>
    </cfRule>
  </conditionalFormatting>
  <conditionalFormatting sqref="L25:L29">
    <cfRule type="expression" dxfId="877" priority="5">
      <formula>L25&gt;0</formula>
    </cfRule>
    <cfRule type="expression" dxfId="876" priority="6">
      <formula>L25&lt;0</formula>
    </cfRule>
  </conditionalFormatting>
  <conditionalFormatting sqref="F25">
    <cfRule type="expression" dxfId="3" priority="3">
      <formula>F25&gt;0</formula>
    </cfRule>
    <cfRule type="expression" dxfId="2" priority="4">
      <formula>F25&lt;0</formula>
    </cfRule>
  </conditionalFormatting>
  <conditionalFormatting sqref="H25">
    <cfRule type="expression" dxfId="1" priority="1">
      <formula>H25&gt;0</formula>
    </cfRule>
    <cfRule type="expression" dxfId="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908</v>
      </c>
      <c r="B2" s="72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</v>
      </c>
      <c r="T2" s="1"/>
      <c r="U2" t="s">
        <v>945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90.08</v>
      </c>
      <c r="T3" s="1">
        <v>43114</v>
      </c>
      <c r="U3" t="s">
        <v>946</v>
      </c>
      <c r="W3" s="134"/>
    </row>
    <row r="4" spans="1:2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97.73</v>
      </c>
      <c r="R4" s="509">
        <v>1.2999999999999999E-2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3909.2000000000003</v>
      </c>
      <c r="T5" s="1">
        <v>43121</v>
      </c>
      <c r="U5" t="s">
        <v>965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3603.2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306.00000000000045</v>
      </c>
      <c r="R7">
        <v>40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306.00000000000045</v>
      </c>
      <c r="T8" s="1"/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8.4924511545293208E-2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2.3329581500051159E-2</v>
      </c>
      <c r="R11">
        <f>0.57</f>
        <v>0.56999999999999995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40</v>
      </c>
      <c r="D18" s="18"/>
      <c r="E18" s="18"/>
      <c r="F18" s="18">
        <f>SUM(F2:F6)</f>
        <v>3603.2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W24" s="134"/>
    </row>
    <row r="25" spans="1:23" x14ac:dyDescent="0.25">
      <c r="B25" s="188">
        <v>43105</v>
      </c>
      <c r="C25" s="10">
        <v>40</v>
      </c>
      <c r="D25" s="39">
        <v>90.08</v>
      </c>
      <c r="E25" s="39">
        <v>92.41</v>
      </c>
      <c r="F25" s="39">
        <f t="shared" ref="F25" si="0">C25*(E25-D25)</f>
        <v>93.199999999999932</v>
      </c>
      <c r="G25" s="39">
        <f t="shared" ref="G25" si="1">D25*C25</f>
        <v>3603.2</v>
      </c>
      <c r="H25" s="226">
        <f t="shared" ref="H25" si="2">(E25-D25)/D25</f>
        <v>2.5865896980461794E-2</v>
      </c>
      <c r="I25" s="39"/>
      <c r="J25" s="39"/>
      <c r="K25" s="39"/>
      <c r="L25" s="39"/>
      <c r="W25" s="134"/>
    </row>
    <row r="26" spans="1:23" x14ac:dyDescent="0.25">
      <c r="B26" s="188"/>
      <c r="C26" s="10"/>
      <c r="D26" s="39"/>
      <c r="E26" s="39"/>
      <c r="F26" s="39"/>
      <c r="G26" s="39"/>
      <c r="H26" s="226"/>
      <c r="I26" s="39"/>
      <c r="J26" s="39"/>
      <c r="K26" s="39"/>
      <c r="L26" s="39"/>
      <c r="W26" s="134"/>
    </row>
    <row r="27" spans="1:23" x14ac:dyDescent="0.25">
      <c r="B27" s="188"/>
      <c r="C27" s="10"/>
      <c r="D27" s="39"/>
      <c r="E27" s="39"/>
      <c r="F27" s="39"/>
      <c r="G27" s="39"/>
      <c r="H27" s="226"/>
      <c r="I27" s="39"/>
      <c r="J27" s="39"/>
      <c r="K27" s="39"/>
      <c r="L27" s="158"/>
      <c r="W27" s="134"/>
    </row>
    <row r="28" spans="1:23" x14ac:dyDescent="0.25">
      <c r="B28" s="188"/>
      <c r="C28" s="10"/>
      <c r="D28" s="39"/>
      <c r="E28" s="39"/>
      <c r="F28" s="39"/>
      <c r="G28" s="39"/>
      <c r="H28" s="226"/>
      <c r="I28" s="39"/>
      <c r="J28" s="39"/>
      <c r="K28" s="39"/>
      <c r="L28" s="158"/>
      <c r="W28" s="134"/>
    </row>
    <row r="29" spans="1:23" x14ac:dyDescent="0.25">
      <c r="B29" s="188"/>
      <c r="C29" s="10"/>
      <c r="D29" s="39"/>
      <c r="E29" s="39"/>
      <c r="F29" s="39"/>
      <c r="G29" s="39"/>
      <c r="H29" s="226"/>
      <c r="I29" s="39"/>
      <c r="J29" s="39"/>
      <c r="K29" s="39"/>
      <c r="L29" s="158"/>
      <c r="W29" s="134"/>
    </row>
    <row r="30" spans="1:23" x14ac:dyDescent="0.25">
      <c r="B30" s="188"/>
      <c r="C30" s="10"/>
      <c r="D30" s="39"/>
      <c r="E30" s="39"/>
      <c r="F30" s="39"/>
      <c r="G30" s="39"/>
      <c r="H30" s="226"/>
      <c r="I30" s="39"/>
      <c r="J30" s="39"/>
      <c r="K30" s="39"/>
      <c r="L30" s="158"/>
      <c r="W30" s="134"/>
    </row>
    <row r="31" spans="1:23" x14ac:dyDescent="0.25">
      <c r="B31" s="188"/>
      <c r="C31" s="10"/>
      <c r="D31" s="39"/>
      <c r="E31" s="39"/>
      <c r="F31" s="39"/>
      <c r="G31" s="39"/>
      <c r="H31" s="226"/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107.50300000000001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3">O42*$Q$4</f>
        <v>106.52570000000001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3"/>
        <v>105.54840000000002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3"/>
        <v>104.57110000000002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3"/>
        <v>103.59380000000002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3"/>
        <v>102.6165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3"/>
        <v>101.6392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3"/>
        <v>100.6619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3"/>
        <v>99.684600000000003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3"/>
        <v>98.707300000000004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3"/>
        <v>97.73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3"/>
        <v>96.752700000000004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3"/>
        <v>95.775400000000005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3"/>
        <v>94.798100000000005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3"/>
        <v>93.820800000000006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3"/>
        <v>92.843500000000006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3"/>
        <v>91.866199999999992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3"/>
        <v>90.888900000000007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3"/>
        <v>89.911600000000007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3"/>
        <v>88.934300000000007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3"/>
        <v>87.957000000000008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908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75" priority="21">
      <formula>F47&gt;0</formula>
    </cfRule>
    <cfRule type="expression" dxfId="874" priority="22">
      <formula>F47&lt;0</formula>
    </cfRule>
  </conditionalFormatting>
  <conditionalFormatting sqref="Q7">
    <cfRule type="expression" dxfId="873" priority="19">
      <formula>Q7&gt;0</formula>
    </cfRule>
    <cfRule type="expression" dxfId="872" priority="20">
      <formula>Q7&lt;0</formula>
    </cfRule>
  </conditionalFormatting>
  <conditionalFormatting sqref="Q8">
    <cfRule type="expression" dxfId="871" priority="17">
      <formula>Q8&gt;0</formula>
    </cfRule>
    <cfRule type="expression" dxfId="870" priority="18">
      <formula>Q8&lt;0</formula>
    </cfRule>
  </conditionalFormatting>
  <conditionalFormatting sqref="F25:F46">
    <cfRule type="expression" dxfId="869" priority="15">
      <formula>F25&gt;0</formula>
    </cfRule>
    <cfRule type="expression" dxfId="868" priority="16">
      <formula>F25&lt;0</formula>
    </cfRule>
  </conditionalFormatting>
  <conditionalFormatting sqref="H25:H46">
    <cfRule type="expression" dxfId="867" priority="13">
      <formula>H25&gt;0</formula>
    </cfRule>
    <cfRule type="expression" dxfId="866" priority="14">
      <formula>H25&lt;0</formula>
    </cfRule>
  </conditionalFormatting>
  <conditionalFormatting sqref="F89:F110">
    <cfRule type="expression" dxfId="865" priority="11">
      <formula>F89&gt;0</formula>
    </cfRule>
    <cfRule type="expression" dxfId="864" priority="12">
      <formula>F89&lt;0</formula>
    </cfRule>
  </conditionalFormatting>
  <conditionalFormatting sqref="H89:H110">
    <cfRule type="expression" dxfId="863" priority="9">
      <formula>H89&gt;0</formula>
    </cfRule>
    <cfRule type="expression" dxfId="862" priority="10">
      <formula>H89&lt;0</formula>
    </cfRule>
  </conditionalFormatting>
  <conditionalFormatting sqref="Q10">
    <cfRule type="expression" dxfId="861" priority="7">
      <formula>Q10&gt;0</formula>
    </cfRule>
    <cfRule type="expression" dxfId="860" priority="8">
      <formula>Q10&lt;0</formula>
    </cfRule>
  </conditionalFormatting>
  <conditionalFormatting sqref="J25:J38">
    <cfRule type="expression" dxfId="859" priority="5">
      <formula>J25&gt;0</formula>
    </cfRule>
    <cfRule type="expression" dxfId="858" priority="6">
      <formula>J25&lt;0</formula>
    </cfRule>
  </conditionalFormatting>
  <conditionalFormatting sqref="K25:K38">
    <cfRule type="expression" dxfId="857" priority="3">
      <formula>K25&gt;0</formula>
    </cfRule>
    <cfRule type="expression" dxfId="856" priority="4">
      <formula>K25&lt;0</formula>
    </cfRule>
  </conditionalFormatting>
  <conditionalFormatting sqref="L25:L38">
    <cfRule type="expression" dxfId="855" priority="1">
      <formula>L25&gt;0</formula>
    </cfRule>
    <cfRule type="expression" dxfId="854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1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784</v>
      </c>
      <c r="B2" s="445">
        <v>42996</v>
      </c>
      <c r="C2" s="4">
        <v>50</v>
      </c>
      <c r="D2" s="3">
        <v>80.67</v>
      </c>
      <c r="E2" s="3">
        <v>0</v>
      </c>
      <c r="F2" s="3">
        <f t="shared" ref="F2:F7" si="0">C2*D2+E2</f>
        <v>4033.5</v>
      </c>
      <c r="G2" s="445">
        <v>43069</v>
      </c>
      <c r="H2" s="7">
        <v>50</v>
      </c>
      <c r="I2" s="43">
        <v>71.39</v>
      </c>
      <c r="J2" s="43">
        <v>0.08</v>
      </c>
      <c r="K2" s="43">
        <f>H2*I2-J2</f>
        <v>3569.42</v>
      </c>
      <c r="L2" s="72"/>
      <c r="M2" s="3"/>
      <c r="O2" s="11" t="s">
        <v>57</v>
      </c>
      <c r="Q2">
        <f>C18-H18</f>
        <v>100</v>
      </c>
      <c r="T2" s="1">
        <v>43097</v>
      </c>
      <c r="U2" t="s">
        <v>870</v>
      </c>
      <c r="W2" s="134"/>
    </row>
    <row r="3" spans="1:23" x14ac:dyDescent="0.25">
      <c r="A3" s="22" t="s">
        <v>71</v>
      </c>
      <c r="B3" s="445">
        <v>43035</v>
      </c>
      <c r="C3" s="7">
        <v>50</v>
      </c>
      <c r="D3" s="43">
        <v>78.180000000000007</v>
      </c>
      <c r="E3" s="43">
        <v>0</v>
      </c>
      <c r="F3" s="43">
        <f t="shared" si="0"/>
        <v>3909.0000000000005</v>
      </c>
      <c r="G3" s="445">
        <v>43105</v>
      </c>
      <c r="H3" s="80">
        <v>50</v>
      </c>
      <c r="I3" s="43">
        <v>73.28</v>
      </c>
      <c r="J3" s="43">
        <v>0.08</v>
      </c>
      <c r="K3" s="43">
        <f>H3*I3-J3</f>
        <v>3663.92</v>
      </c>
      <c r="L3" s="72"/>
      <c r="M3" s="3"/>
      <c r="O3" s="11" t="s">
        <v>58</v>
      </c>
      <c r="Q3" s="225">
        <f>IF(Q2=0, Q4, (F18-K18-M18)/Q2)</f>
        <v>74.383399999999995</v>
      </c>
      <c r="T3" s="1">
        <v>43096</v>
      </c>
      <c r="U3" t="s">
        <v>869</v>
      </c>
      <c r="W3" s="134"/>
    </row>
    <row r="4" spans="1:23" x14ac:dyDescent="0.25">
      <c r="B4" s="445">
        <v>43045</v>
      </c>
      <c r="C4" s="7">
        <v>50</v>
      </c>
      <c r="D4" s="43">
        <v>70.319999999999993</v>
      </c>
      <c r="E4" s="43">
        <v>0</v>
      </c>
      <c r="F4" s="43">
        <f t="shared" si="0"/>
        <v>3515.9999999999995</v>
      </c>
      <c r="G4" s="445">
        <v>43117</v>
      </c>
      <c r="H4" s="80">
        <v>50</v>
      </c>
      <c r="I4" s="43">
        <v>76.680000000000007</v>
      </c>
      <c r="J4" s="43">
        <v>0.09</v>
      </c>
      <c r="K4" s="43">
        <f>H4*I4-J4</f>
        <v>3833.9100000000003</v>
      </c>
      <c r="L4" s="4"/>
      <c r="M4" s="4"/>
      <c r="O4" s="11" t="s">
        <v>66</v>
      </c>
      <c r="Q4" s="54">
        <v>71.75</v>
      </c>
      <c r="R4" s="509">
        <v>1.2699999999999999E-2</v>
      </c>
      <c r="T4" s="1"/>
      <c r="U4" t="s">
        <v>873</v>
      </c>
      <c r="W4" s="134"/>
    </row>
    <row r="5" spans="1:23" x14ac:dyDescent="0.25">
      <c r="B5" s="445">
        <v>43059</v>
      </c>
      <c r="C5" s="7">
        <v>50</v>
      </c>
      <c r="D5" s="43">
        <v>66.78</v>
      </c>
      <c r="E5" s="43">
        <v>0</v>
      </c>
      <c r="F5" s="43">
        <f t="shared" si="0"/>
        <v>3339</v>
      </c>
      <c r="G5" s="445">
        <v>43126</v>
      </c>
      <c r="H5" s="80">
        <v>50</v>
      </c>
      <c r="I5" s="43">
        <v>78.8</v>
      </c>
      <c r="J5" s="43">
        <v>0.09</v>
      </c>
      <c r="K5" s="43">
        <f>H5*I5-J5</f>
        <v>3939.91</v>
      </c>
      <c r="L5" s="4"/>
      <c r="M5" s="4"/>
      <c r="O5" s="11" t="s">
        <v>67</v>
      </c>
      <c r="Q5" s="3">
        <f>Q4*Q2</f>
        <v>7175</v>
      </c>
      <c r="U5" t="s">
        <v>871</v>
      </c>
      <c r="W5" s="134"/>
    </row>
    <row r="6" spans="1:23" x14ac:dyDescent="0.25">
      <c r="B6" s="486">
        <v>43118</v>
      </c>
      <c r="C6" s="7">
        <v>50</v>
      </c>
      <c r="D6" s="43">
        <v>75.28</v>
      </c>
      <c r="E6" s="43">
        <v>0</v>
      </c>
      <c r="F6" s="43">
        <f t="shared" si="0"/>
        <v>3764</v>
      </c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7438.3399999999992</v>
      </c>
      <c r="U6" t="s">
        <v>872</v>
      </c>
      <c r="W6" s="134"/>
    </row>
    <row r="7" spans="1:23" x14ac:dyDescent="0.25">
      <c r="B7" s="486">
        <v>43131</v>
      </c>
      <c r="C7" s="4">
        <v>50</v>
      </c>
      <c r="D7" s="3">
        <v>77.680000000000007</v>
      </c>
      <c r="E7" s="3">
        <v>0</v>
      </c>
      <c r="F7" s="3">
        <f t="shared" si="0"/>
        <v>3884.0000000000005</v>
      </c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-263.34000000000015</v>
      </c>
      <c r="R7" s="29">
        <v>43150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-263.34000000000015</v>
      </c>
      <c r="T8" s="1">
        <v>43114</v>
      </c>
      <c r="U8" t="s">
        <v>926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-3.5403060360241691E-2</v>
      </c>
      <c r="U9" t="s">
        <v>927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U10" t="s">
        <v>929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04" t="s">
        <v>78</v>
      </c>
      <c r="P16" s="804"/>
      <c r="W16" s="134"/>
    </row>
    <row r="17" spans="1:23" ht="15.75" thickTop="1" x14ac:dyDescent="0.25">
      <c r="O17" s="81">
        <v>1.1000000000000001</v>
      </c>
      <c r="P17" s="81">
        <f>O17*$Q$4</f>
        <v>78.925000000000011</v>
      </c>
      <c r="Q17" s="2"/>
      <c r="W17" s="134"/>
    </row>
    <row r="18" spans="1:23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22445.5</v>
      </c>
      <c r="G18" s="14"/>
      <c r="H18" s="71">
        <f>SUM(H2:H5)</f>
        <v>200</v>
      </c>
      <c r="I18" s="18"/>
      <c r="J18" s="18"/>
      <c r="K18" s="18">
        <f>SUM(K2:K5)</f>
        <v>15007.16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78.20750000000001</v>
      </c>
      <c r="Q18" s="2"/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200</v>
      </c>
      <c r="D19" s="349"/>
      <c r="E19" s="349"/>
      <c r="F19" s="350">
        <f>SumByColor($A$19,F2:F17)</f>
        <v>14528</v>
      </c>
      <c r="G19" s="349"/>
      <c r="H19" s="349">
        <f>SumByColor($A$19,H2:H17)</f>
        <v>200</v>
      </c>
      <c r="I19" s="349"/>
      <c r="J19" s="349"/>
      <c r="K19" s="350">
        <f>SumByColor($A$19,K2:K17)</f>
        <v>15007</v>
      </c>
      <c r="L19" s="349"/>
      <c r="M19" s="350">
        <f>SumByColor($A$19,M2:M17)</f>
        <v>0</v>
      </c>
      <c r="O19" s="81">
        <v>1.08</v>
      </c>
      <c r="P19" s="81">
        <f t="shared" si="1"/>
        <v>77.490000000000009</v>
      </c>
      <c r="Q19" s="2"/>
      <c r="W19" s="134"/>
    </row>
    <row r="20" spans="1:23" x14ac:dyDescent="0.25">
      <c r="O20" s="81">
        <v>1.07</v>
      </c>
      <c r="P20" s="81">
        <f t="shared" si="1"/>
        <v>76.772500000000008</v>
      </c>
      <c r="Q20" s="2"/>
      <c r="W20" s="134"/>
    </row>
    <row r="21" spans="1:23" x14ac:dyDescent="0.25">
      <c r="O21" s="81">
        <v>1.06</v>
      </c>
      <c r="P21" s="81">
        <f t="shared" si="1"/>
        <v>76.055000000000007</v>
      </c>
      <c r="Q21" s="2"/>
      <c r="W21" s="134"/>
    </row>
    <row r="22" spans="1:23" x14ac:dyDescent="0.25">
      <c r="O22" s="81">
        <v>1.05</v>
      </c>
      <c r="P22" s="81">
        <f t="shared" si="1"/>
        <v>75.337500000000006</v>
      </c>
      <c r="Q22" s="2"/>
      <c r="W22" s="134"/>
    </row>
    <row r="23" spans="1:23" x14ac:dyDescent="0.25">
      <c r="O23" s="81">
        <v>1.04</v>
      </c>
      <c r="P23" s="81">
        <f t="shared" si="1"/>
        <v>74.62</v>
      </c>
      <c r="Q23" s="2"/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O24" s="81">
        <v>1.03</v>
      </c>
      <c r="P24" s="81">
        <f t="shared" si="1"/>
        <v>73.902500000000003</v>
      </c>
      <c r="Q24" s="2"/>
      <c r="W24" s="134"/>
    </row>
    <row r="25" spans="1:23" x14ac:dyDescent="0.25">
      <c r="B25" s="188">
        <v>43028</v>
      </c>
      <c r="C25" s="232">
        <v>50</v>
      </c>
      <c r="D25" s="233">
        <v>80.67</v>
      </c>
      <c r="E25" s="39">
        <v>84.59</v>
      </c>
      <c r="F25" s="39">
        <f t="shared" ref="F25" si="2">C25*(E25-D25)</f>
        <v>196.00000000000009</v>
      </c>
      <c r="G25" s="39">
        <f t="shared" ref="G25" si="3">D25*C25</f>
        <v>4033.5</v>
      </c>
      <c r="H25" s="226">
        <f t="shared" ref="H25" si="4">(E25-D25)/D25</f>
        <v>4.8593033345729536E-2</v>
      </c>
      <c r="I25" s="39"/>
      <c r="J25" s="39"/>
      <c r="K25" s="39"/>
      <c r="L25" s="39"/>
      <c r="O25" s="81">
        <v>1.02</v>
      </c>
      <c r="P25" s="81">
        <f t="shared" si="1"/>
        <v>73.185000000000002</v>
      </c>
      <c r="Q25" s="2"/>
      <c r="W25" s="134"/>
    </row>
    <row r="26" spans="1:23" x14ac:dyDescent="0.25">
      <c r="B26" s="188">
        <v>43035</v>
      </c>
      <c r="C26" s="10">
        <v>100</v>
      </c>
      <c r="D26" s="39">
        <v>79.424999999999997</v>
      </c>
      <c r="E26" s="39">
        <v>81.47</v>
      </c>
      <c r="F26" s="39">
        <f t="shared" ref="F26" si="5">C26*(E26-D26)</f>
        <v>204.50000000000017</v>
      </c>
      <c r="G26" s="39">
        <f t="shared" ref="G26" si="6">D26*C26</f>
        <v>7942.5</v>
      </c>
      <c r="H26" s="226">
        <f t="shared" ref="H26" si="7">(E26-D26)/D26</f>
        <v>2.574756059175325E-2</v>
      </c>
      <c r="I26" s="39"/>
      <c r="J26" s="39"/>
      <c r="K26" s="39"/>
      <c r="L26" s="39"/>
      <c r="O26" s="81">
        <v>1.01</v>
      </c>
      <c r="P26" s="81">
        <f t="shared" si="1"/>
        <v>72.467500000000001</v>
      </c>
      <c r="Q26" s="2"/>
      <c r="W26" s="134"/>
    </row>
    <row r="27" spans="1:23" x14ac:dyDescent="0.25">
      <c r="B27" s="188">
        <v>43059</v>
      </c>
      <c r="C27" s="10">
        <v>200</v>
      </c>
      <c r="D27" s="39">
        <v>73.987499999999997</v>
      </c>
      <c r="E27" s="39">
        <v>66.78</v>
      </c>
      <c r="F27" s="39">
        <f t="shared" ref="F27" si="8">C27*(E27-D27)</f>
        <v>-1441.4999999999991</v>
      </c>
      <c r="G27" s="39">
        <f t="shared" ref="G27" si="9">D27*C27</f>
        <v>14797.5</v>
      </c>
      <c r="H27" s="226">
        <f t="shared" ref="H27" si="10">(E27-D27)/D27</f>
        <v>-9.741510390268622E-2</v>
      </c>
      <c r="I27" s="39"/>
      <c r="J27" s="39"/>
      <c r="K27" s="39"/>
      <c r="L27" s="158"/>
      <c r="O27" s="81">
        <v>1</v>
      </c>
      <c r="P27" s="81">
        <f t="shared" si="1"/>
        <v>71.75</v>
      </c>
      <c r="Q27" s="2"/>
      <c r="W27" s="134"/>
    </row>
    <row r="28" spans="1:23" x14ac:dyDescent="0.25">
      <c r="A28">
        <v>50</v>
      </c>
      <c r="B28" s="188">
        <v>43069</v>
      </c>
      <c r="C28" s="10">
        <v>150</v>
      </c>
      <c r="D28" s="39">
        <v>74.853899999999996</v>
      </c>
      <c r="E28" s="39">
        <v>71.45</v>
      </c>
      <c r="F28" s="39">
        <f t="shared" ref="F28" si="11">C28*(E28-D28)</f>
        <v>-510.58499999999896</v>
      </c>
      <c r="G28" s="39">
        <f t="shared" ref="G28" si="12">D28*C28</f>
        <v>11228.084999999999</v>
      </c>
      <c r="H28" s="226">
        <f t="shared" ref="H28" si="13">(E28-D28)/D28</f>
        <v>-4.5473916522719503E-2</v>
      </c>
      <c r="I28" s="39">
        <v>74.3</v>
      </c>
      <c r="J28" s="39"/>
      <c r="K28" s="39"/>
      <c r="L28" s="158"/>
      <c r="O28" s="81">
        <v>0.99</v>
      </c>
      <c r="P28" s="81">
        <f t="shared" si="1"/>
        <v>71.032499999999999</v>
      </c>
      <c r="Q28" s="2"/>
      <c r="W28" s="134"/>
    </row>
    <row r="29" spans="1:23" x14ac:dyDescent="0.25">
      <c r="A29">
        <v>50</v>
      </c>
      <c r="B29" s="188">
        <v>43075</v>
      </c>
      <c r="C29" s="10">
        <v>150</v>
      </c>
      <c r="D29" s="39">
        <v>74.853899999999996</v>
      </c>
      <c r="E29" s="39">
        <v>67.58</v>
      </c>
      <c r="F29" s="39">
        <f t="shared" ref="F29" si="14">C29*(E29-D29)</f>
        <v>-1091.0849999999996</v>
      </c>
      <c r="G29" s="39">
        <f t="shared" ref="G29" si="15">D29*C29</f>
        <v>11228.084999999999</v>
      </c>
      <c r="H29" s="226">
        <f t="shared" ref="H29" si="16">(E29-D29)/D29</f>
        <v>-9.7174629511621952E-2</v>
      </c>
      <c r="I29" s="39"/>
      <c r="J29" s="39"/>
      <c r="K29" s="39"/>
      <c r="L29" s="158"/>
      <c r="O29" s="81">
        <v>0.98</v>
      </c>
      <c r="P29" s="81">
        <f t="shared" si="1"/>
        <v>70.314999999999998</v>
      </c>
      <c r="Q29" s="2"/>
      <c r="W29" s="134"/>
    </row>
    <row r="30" spans="1:23" x14ac:dyDescent="0.25">
      <c r="A30">
        <v>150</v>
      </c>
      <c r="B30" s="188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7">C30*(E30-D30)</f>
        <v>-659.08500000000026</v>
      </c>
      <c r="G30" s="39">
        <f t="shared" ref="G30:G32" si="18">D30*C30</f>
        <v>11228.084999999999</v>
      </c>
      <c r="H30" s="226">
        <f t="shared" ref="H30:H32" si="19">(E30-D30)/D30</f>
        <v>-5.8699680310578373E-2</v>
      </c>
      <c r="I30" s="39">
        <v>74.3</v>
      </c>
      <c r="J30" s="39">
        <v>49.12</v>
      </c>
      <c r="K30" s="39"/>
      <c r="L30" s="158"/>
      <c r="O30" s="81">
        <v>0.97</v>
      </c>
      <c r="P30" s="81">
        <f t="shared" si="1"/>
        <v>69.597499999999997</v>
      </c>
      <c r="W30" s="134"/>
    </row>
    <row r="31" spans="1:23" x14ac:dyDescent="0.25">
      <c r="A31">
        <v>100</v>
      </c>
      <c r="B31" s="188">
        <v>43105</v>
      </c>
      <c r="C31" s="7">
        <v>100</v>
      </c>
      <c r="D31" s="43">
        <v>75.641599999999997</v>
      </c>
      <c r="E31" s="39">
        <v>73.28</v>
      </c>
      <c r="F31" s="39">
        <f t="shared" si="17"/>
        <v>-236.15999999999957</v>
      </c>
      <c r="G31" s="39">
        <f t="shared" si="18"/>
        <v>7564.16</v>
      </c>
      <c r="H31" s="226">
        <f t="shared" si="19"/>
        <v>-3.1220915475082437E-2</v>
      </c>
      <c r="I31" s="39">
        <f>D31*0.99</f>
        <v>74.885183999999995</v>
      </c>
      <c r="J31" s="39"/>
      <c r="K31" s="39"/>
      <c r="L31" s="158"/>
      <c r="O31" s="81">
        <v>0.96</v>
      </c>
      <c r="P31" s="81">
        <f t="shared" si="1"/>
        <v>68.88</v>
      </c>
      <c r="W31" s="134"/>
    </row>
    <row r="32" spans="1:23" x14ac:dyDescent="0.25">
      <c r="A32">
        <v>100</v>
      </c>
      <c r="B32" s="188">
        <v>43108</v>
      </c>
      <c r="C32" s="10">
        <v>100</v>
      </c>
      <c r="D32" s="39">
        <v>75.641599999999997</v>
      </c>
      <c r="E32" s="39">
        <v>74.34</v>
      </c>
      <c r="F32" s="39">
        <f t="shared" si="17"/>
        <v>-130.15999999999934</v>
      </c>
      <c r="G32" s="39">
        <f t="shared" si="18"/>
        <v>7564.16</v>
      </c>
      <c r="H32" s="226">
        <f t="shared" si="19"/>
        <v>-1.7207462560284201E-2</v>
      </c>
      <c r="I32" s="39"/>
      <c r="J32" s="39"/>
      <c r="K32" s="39"/>
      <c r="L32" s="158"/>
      <c r="O32" s="81">
        <v>0.95</v>
      </c>
      <c r="P32" s="81">
        <f t="shared" si="1"/>
        <v>68.162499999999994</v>
      </c>
      <c r="W32" s="134"/>
    </row>
    <row r="33" spans="1:23" x14ac:dyDescent="0.25">
      <c r="A33">
        <v>100</v>
      </c>
      <c r="B33" s="188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39" si="20">C33*(E33-D33)</f>
        <v>-285.15999999999906</v>
      </c>
      <c r="G33" s="39">
        <f t="shared" ref="G33:G39" si="21">D33*C33</f>
        <v>7564.16</v>
      </c>
      <c r="H33" s="226">
        <f t="shared" ref="H33:H39" si="22">(E33-D33)/D33</f>
        <v>-3.7698832388526823E-2</v>
      </c>
      <c r="I33" s="39"/>
      <c r="J33" s="39"/>
      <c r="K33" s="39"/>
      <c r="L33" s="158"/>
      <c r="O33" s="81">
        <v>0.94</v>
      </c>
      <c r="P33" s="81">
        <f t="shared" si="1"/>
        <v>67.444999999999993</v>
      </c>
      <c r="W33" s="134"/>
    </row>
    <row r="34" spans="1:23" x14ac:dyDescent="0.25">
      <c r="A34">
        <v>100</v>
      </c>
      <c r="B34" s="188">
        <v>43112</v>
      </c>
      <c r="C34" s="10">
        <v>100</v>
      </c>
      <c r="D34" s="39">
        <v>75.641599999999997</v>
      </c>
      <c r="E34" s="39">
        <v>74.84</v>
      </c>
      <c r="F34" s="39">
        <f t="shared" si="20"/>
        <v>-80.159999999999343</v>
      </c>
      <c r="G34" s="39">
        <f t="shared" si="21"/>
        <v>7564.16</v>
      </c>
      <c r="H34" s="226">
        <f t="shared" si="22"/>
        <v>-1.0597343260851086E-2</v>
      </c>
      <c r="I34" s="39"/>
      <c r="J34" s="39">
        <v>65</v>
      </c>
      <c r="K34" s="197" t="s">
        <v>928</v>
      </c>
      <c r="L34" s="158"/>
      <c r="O34" s="81">
        <v>0.93</v>
      </c>
      <c r="P34" s="81">
        <f t="shared" si="1"/>
        <v>66.727500000000006</v>
      </c>
      <c r="W34" s="134"/>
    </row>
    <row r="35" spans="1:23" x14ac:dyDescent="0.25">
      <c r="A35">
        <v>50</v>
      </c>
      <c r="B35" s="188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20"/>
        <v>103.75000000000014</v>
      </c>
      <c r="G35" s="39">
        <f t="shared" si="21"/>
        <v>3730.25</v>
      </c>
      <c r="H35" s="226">
        <f t="shared" si="22"/>
        <v>2.7813149252731088E-2</v>
      </c>
      <c r="I35" s="39"/>
      <c r="J35" s="39">
        <v>70</v>
      </c>
      <c r="K35" s="197" t="s">
        <v>955</v>
      </c>
      <c r="L35" s="158"/>
      <c r="O35" s="81">
        <v>0.92</v>
      </c>
      <c r="P35" s="81">
        <f t="shared" si="1"/>
        <v>66.010000000000005</v>
      </c>
      <c r="W35" s="134"/>
    </row>
    <row r="36" spans="1:23" x14ac:dyDescent="0.25">
      <c r="A36">
        <v>50</v>
      </c>
      <c r="B36" s="188">
        <v>43118</v>
      </c>
      <c r="C36" s="7">
        <v>100</v>
      </c>
      <c r="D36" s="43">
        <v>74.942499999999995</v>
      </c>
      <c r="E36" s="39">
        <v>74.62</v>
      </c>
      <c r="F36" s="39">
        <f t="shared" si="20"/>
        <v>-32.249999999999091</v>
      </c>
      <c r="G36" s="39">
        <f t="shared" si="21"/>
        <v>7494.25</v>
      </c>
      <c r="H36" s="226">
        <f t="shared" si="22"/>
        <v>-4.3032991960501839E-3</v>
      </c>
      <c r="I36" s="39"/>
      <c r="J36" s="39"/>
      <c r="K36" s="39"/>
      <c r="L36" s="39"/>
      <c r="O36" s="81">
        <v>0.91</v>
      </c>
      <c r="P36" s="81">
        <f t="shared" si="1"/>
        <v>65.292500000000004</v>
      </c>
      <c r="W36" s="134"/>
    </row>
    <row r="37" spans="1:23" x14ac:dyDescent="0.25">
      <c r="A37">
        <v>50</v>
      </c>
      <c r="B37" s="188">
        <v>43121</v>
      </c>
      <c r="C37" s="10">
        <v>100</v>
      </c>
      <c r="D37" s="39">
        <v>74.94</v>
      </c>
      <c r="E37" s="39">
        <v>75.959999999999994</v>
      </c>
      <c r="F37" s="39">
        <f t="shared" si="20"/>
        <v>101.9999999999996</v>
      </c>
      <c r="G37" s="39">
        <f t="shared" si="21"/>
        <v>7494</v>
      </c>
      <c r="H37" s="226">
        <f t="shared" si="22"/>
        <v>1.3610888710968723E-2</v>
      </c>
      <c r="I37" s="39"/>
      <c r="J37" s="39"/>
      <c r="K37" s="39"/>
      <c r="L37" s="39"/>
      <c r="O37" s="81">
        <v>0.9</v>
      </c>
      <c r="P37" s="81">
        <f t="shared" si="1"/>
        <v>64.575000000000003</v>
      </c>
      <c r="W37" s="134"/>
    </row>
    <row r="38" spans="1:23" x14ac:dyDescent="0.25">
      <c r="A38">
        <v>0</v>
      </c>
      <c r="B38" s="188">
        <v>43126</v>
      </c>
      <c r="C38" s="232">
        <v>50</v>
      </c>
      <c r="D38" s="233">
        <v>71.09</v>
      </c>
      <c r="E38" s="39">
        <v>78.930000000000007</v>
      </c>
      <c r="F38" s="39">
        <f t="shared" si="20"/>
        <v>392.00000000000017</v>
      </c>
      <c r="G38" s="39">
        <f t="shared" si="21"/>
        <v>3554.5</v>
      </c>
      <c r="H38" s="226">
        <f t="shared" si="22"/>
        <v>0.1102827401884935</v>
      </c>
      <c r="I38" s="39"/>
      <c r="J38" s="39"/>
      <c r="K38" s="39"/>
      <c r="L38" s="39"/>
      <c r="W38" s="134"/>
    </row>
    <row r="39" spans="1:23" x14ac:dyDescent="0.25">
      <c r="B39" s="188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20"/>
        <v>129.66000000000122</v>
      </c>
      <c r="G39" s="39">
        <f t="shared" si="21"/>
        <v>7438.3399999999992</v>
      </c>
      <c r="H39" s="226">
        <f t="shared" si="22"/>
        <v>1.7431308598424008E-2</v>
      </c>
      <c r="I39" s="233" t="s">
        <v>980</v>
      </c>
      <c r="J39" s="39"/>
      <c r="K39" s="39"/>
      <c r="L39" s="39"/>
      <c r="T39" s="134"/>
    </row>
    <row r="40" spans="1:23" x14ac:dyDescent="0.2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T40" s="134"/>
    </row>
    <row r="41" spans="1:23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784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16:P16"/>
  </mergeCells>
  <conditionalFormatting sqref="O17:O3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 J25:K32">
    <cfRule type="expression" dxfId="853" priority="21">
      <formula>F25&gt;0</formula>
    </cfRule>
    <cfRule type="expression" dxfId="852" priority="22">
      <formula>F25&lt;0</formula>
    </cfRule>
  </conditionalFormatting>
  <conditionalFormatting sqref="Q7">
    <cfRule type="expression" dxfId="851" priority="19">
      <formula>Q7&gt;0</formula>
    </cfRule>
    <cfRule type="expression" dxfId="850" priority="20">
      <formula>Q7&lt;0</formula>
    </cfRule>
  </conditionalFormatting>
  <conditionalFormatting sqref="Q8">
    <cfRule type="expression" dxfId="849" priority="17">
      <formula>Q8&gt;0</formula>
    </cfRule>
    <cfRule type="expression" dxfId="848" priority="18">
      <formula>Q8&lt;0</formula>
    </cfRule>
  </conditionalFormatting>
  <conditionalFormatting sqref="F25:F46">
    <cfRule type="expression" dxfId="847" priority="15">
      <formula>F25&gt;0</formula>
    </cfRule>
    <cfRule type="expression" dxfId="846" priority="16">
      <formula>F25&lt;0</formula>
    </cfRule>
  </conditionalFormatting>
  <conditionalFormatting sqref="H25:H46">
    <cfRule type="expression" dxfId="845" priority="13">
      <formula>H25&gt;0</formula>
    </cfRule>
    <cfRule type="expression" dxfId="844" priority="14">
      <formula>H25&lt;0</formula>
    </cfRule>
  </conditionalFormatting>
  <conditionalFormatting sqref="F89:F110">
    <cfRule type="expression" dxfId="843" priority="11">
      <formula>F89&gt;0</formula>
    </cfRule>
    <cfRule type="expression" dxfId="842" priority="12">
      <formula>F89&lt;0</formula>
    </cfRule>
  </conditionalFormatting>
  <conditionalFormatting sqref="H89:H110">
    <cfRule type="expression" dxfId="841" priority="9">
      <formula>H89&gt;0</formula>
    </cfRule>
    <cfRule type="expression" dxfId="840" priority="10">
      <formula>H89&lt;0</formula>
    </cfRule>
  </conditionalFormatting>
  <conditionalFormatting sqref="Q10">
    <cfRule type="expression" dxfId="839" priority="7">
      <formula>Q10&gt;0</formula>
    </cfRule>
    <cfRule type="expression" dxfId="838" priority="8">
      <formula>Q10&lt;0</formula>
    </cfRule>
  </conditionalFormatting>
  <conditionalFormatting sqref="J36:J38">
    <cfRule type="expression" dxfId="837" priority="5">
      <formula>J36&gt;0</formula>
    </cfRule>
    <cfRule type="expression" dxfId="836" priority="6">
      <formula>J36&lt;0</formula>
    </cfRule>
  </conditionalFormatting>
  <conditionalFormatting sqref="K36:K38">
    <cfRule type="expression" dxfId="835" priority="3">
      <formula>K36&gt;0</formula>
    </cfRule>
    <cfRule type="expression" dxfId="834" priority="4">
      <formula>K36&lt;0</formula>
    </cfRule>
  </conditionalFormatting>
  <conditionalFormatting sqref="L25:L38">
    <cfRule type="expression" dxfId="833" priority="1">
      <formula>L25&gt;0</formula>
    </cfRule>
    <cfRule type="expression" dxfId="83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881</v>
      </c>
      <c r="B2" s="72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72"/>
      <c r="H2" s="4"/>
      <c r="I2" s="3"/>
      <c r="J2" s="3"/>
      <c r="K2" s="3"/>
      <c r="L2" s="72">
        <v>43129</v>
      </c>
      <c r="M2" s="3">
        <v>26</v>
      </c>
      <c r="O2" s="11" t="s">
        <v>57</v>
      </c>
      <c r="Q2">
        <f>C18-H18</f>
        <v>300</v>
      </c>
      <c r="T2" s="1">
        <v>43032</v>
      </c>
      <c r="U2" t="s">
        <v>944</v>
      </c>
      <c r="W2" s="134"/>
    </row>
    <row r="3" spans="1:23" x14ac:dyDescent="0.25">
      <c r="A3" s="22" t="s">
        <v>71</v>
      </c>
      <c r="B3" s="72">
        <v>43098</v>
      </c>
      <c r="C3" s="4">
        <v>50</v>
      </c>
      <c r="D3" s="3">
        <v>36.119999999999997</v>
      </c>
      <c r="E3" s="3">
        <v>0</v>
      </c>
      <c r="F3" s="3">
        <f t="shared" ref="F3:F5" si="0">C3*D3+E3</f>
        <v>1805.9999999999998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35.963333333333331</v>
      </c>
      <c r="T3" s="1"/>
      <c r="W3" s="134"/>
    </row>
    <row r="4" spans="1:23" x14ac:dyDescent="0.25">
      <c r="B4" s="486">
        <v>43130</v>
      </c>
      <c r="C4" s="4">
        <v>100</v>
      </c>
      <c r="D4" s="3">
        <v>36.68</v>
      </c>
      <c r="E4" s="3">
        <v>0</v>
      </c>
      <c r="F4" s="3">
        <f t="shared" si="0"/>
        <v>3668</v>
      </c>
      <c r="G4" s="72"/>
      <c r="H4" s="180"/>
      <c r="I4" s="3"/>
      <c r="J4" s="3"/>
      <c r="K4" s="3"/>
      <c r="L4" s="4"/>
      <c r="M4" s="4"/>
      <c r="O4" s="11" t="s">
        <v>66</v>
      </c>
      <c r="Q4" s="54">
        <v>33.15</v>
      </c>
      <c r="R4" s="509">
        <v>8.2000000000000007E-3</v>
      </c>
      <c r="T4" s="1">
        <v>43121</v>
      </c>
      <c r="U4" t="s">
        <v>964</v>
      </c>
      <c r="W4" s="134"/>
    </row>
    <row r="5" spans="1:23" x14ac:dyDescent="0.25">
      <c r="B5" s="486">
        <v>43132</v>
      </c>
      <c r="C5" s="4">
        <v>100</v>
      </c>
      <c r="D5" s="3">
        <v>35.22</v>
      </c>
      <c r="E5" s="3">
        <v>0</v>
      </c>
      <c r="F5" s="3">
        <f t="shared" si="0"/>
        <v>3522</v>
      </c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9945</v>
      </c>
      <c r="W5" s="134"/>
    </row>
    <row r="6" spans="1:23" x14ac:dyDescent="0.25">
      <c r="B6" s="72"/>
      <c r="C6" s="4"/>
      <c r="D6" s="3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10789</v>
      </c>
      <c r="W6" s="134"/>
    </row>
    <row r="7" spans="1:23" x14ac:dyDescent="0.25">
      <c r="B7" s="4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-844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-844</v>
      </c>
      <c r="W8" s="134"/>
    </row>
    <row r="9" spans="1:23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-7.8227824636203536E-2</v>
      </c>
      <c r="W9" s="134"/>
    </row>
    <row r="10" spans="1:23" x14ac:dyDescent="0.25">
      <c r="H10" s="70"/>
      <c r="O10" s="11" t="s">
        <v>209</v>
      </c>
      <c r="P10" s="33"/>
      <c r="Q10" s="2">
        <f>M66</f>
        <v>0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3.1372549019607843E-2</v>
      </c>
      <c r="R11">
        <f>0.26</f>
        <v>0.26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300</v>
      </c>
      <c r="D18" s="18"/>
      <c r="E18" s="18"/>
      <c r="F18" s="18">
        <f>SUM(F2:F6)</f>
        <v>10815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26</v>
      </c>
      <c r="W18" s="134"/>
    </row>
    <row r="19" spans="1:23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W23" s="134"/>
    </row>
    <row r="24" spans="1:23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J24" s="224" t="s">
        <v>514</v>
      </c>
      <c r="K24" s="224"/>
      <c r="L24" s="224"/>
      <c r="W24" s="134"/>
    </row>
    <row r="25" spans="1:23" x14ac:dyDescent="0.25">
      <c r="B25" s="188">
        <v>43098</v>
      </c>
      <c r="C25" s="10">
        <v>100</v>
      </c>
      <c r="D25" s="39">
        <v>36.25</v>
      </c>
      <c r="E25" s="39">
        <v>36.130000000000003</v>
      </c>
      <c r="F25" s="39">
        <f t="shared" ref="F25" si="1">C25*(E25-D25)</f>
        <v>-11.999999999999744</v>
      </c>
      <c r="G25" s="39">
        <f t="shared" ref="G25" si="2">D25*C25</f>
        <v>3625</v>
      </c>
      <c r="H25" s="226">
        <f t="shared" ref="H25" si="3">(E25-D25)/D25</f>
        <v>-3.3103448275861361E-3</v>
      </c>
      <c r="I25" s="39"/>
      <c r="J25" s="39"/>
      <c r="K25" s="39"/>
      <c r="L25" s="39"/>
      <c r="W25" s="134"/>
    </row>
    <row r="26" spans="1:23" x14ac:dyDescent="0.25">
      <c r="B26" s="188">
        <v>43105</v>
      </c>
      <c r="C26" s="10">
        <v>100</v>
      </c>
      <c r="D26" s="39">
        <v>36.25</v>
      </c>
      <c r="E26" s="39">
        <v>37.68</v>
      </c>
      <c r="F26" s="39">
        <f t="shared" ref="F26" si="4">C26*(E26-D26)</f>
        <v>142.99999999999997</v>
      </c>
      <c r="G26" s="39">
        <f t="shared" ref="G26" si="5">D26*C26</f>
        <v>3625</v>
      </c>
      <c r="H26" s="226">
        <f t="shared" ref="H26" si="6">(E26-D26)/D26</f>
        <v>3.9448275862068956E-2</v>
      </c>
      <c r="I26" s="39"/>
      <c r="J26" s="39"/>
      <c r="K26" s="39"/>
      <c r="L26" s="39"/>
      <c r="W26" s="134"/>
    </row>
    <row r="27" spans="1:23" x14ac:dyDescent="0.25">
      <c r="B27" s="188">
        <v>43117</v>
      </c>
      <c r="C27" s="10">
        <v>100</v>
      </c>
      <c r="D27" s="39">
        <v>36.25</v>
      </c>
      <c r="E27" s="39">
        <v>36.85</v>
      </c>
      <c r="F27" s="39">
        <f t="shared" ref="F27" si="7">C27*(E27-D27)</f>
        <v>60.000000000000142</v>
      </c>
      <c r="G27" s="39">
        <f t="shared" ref="G27" si="8">D27*C27</f>
        <v>3625</v>
      </c>
      <c r="H27" s="226">
        <f t="shared" ref="H27" si="9">(E27-D27)/D27</f>
        <v>1.6551724137931073E-2</v>
      </c>
      <c r="I27" s="39"/>
      <c r="J27" s="39"/>
      <c r="K27" s="39"/>
      <c r="L27" s="158"/>
      <c r="W27" s="134"/>
    </row>
    <row r="28" spans="1:23" x14ac:dyDescent="0.25">
      <c r="B28" s="188">
        <v>43129</v>
      </c>
      <c r="C28" s="7">
        <v>100</v>
      </c>
      <c r="D28" s="43">
        <v>35.99</v>
      </c>
      <c r="E28" s="39">
        <v>37.76</v>
      </c>
      <c r="F28" s="39">
        <f t="shared" ref="F28:F31" si="10">C28*(E28-D28)</f>
        <v>176.9999999999996</v>
      </c>
      <c r="G28" s="39">
        <f t="shared" ref="G28:G31" si="11">D28*C28</f>
        <v>3599</v>
      </c>
      <c r="H28" s="226">
        <f t="shared" ref="H28:H31" si="12">(E28-D28)/D28</f>
        <v>4.9180327868852347E-2</v>
      </c>
      <c r="I28" s="39"/>
      <c r="J28" s="39"/>
      <c r="K28" s="39"/>
      <c r="L28" s="158"/>
      <c r="W28" s="134"/>
    </row>
    <row r="29" spans="1:23" x14ac:dyDescent="0.25">
      <c r="B29" s="188">
        <v>43130</v>
      </c>
      <c r="C29" s="10">
        <v>200</v>
      </c>
      <c r="D29" s="39">
        <v>36.335000000000001</v>
      </c>
      <c r="E29" s="39">
        <v>36.74</v>
      </c>
      <c r="F29" s="39">
        <f t="shared" si="10"/>
        <v>81.000000000000227</v>
      </c>
      <c r="G29" s="39">
        <f t="shared" si="11"/>
        <v>7267</v>
      </c>
      <c r="H29" s="226">
        <f t="shared" si="12"/>
        <v>1.1146277693683806E-2</v>
      </c>
      <c r="I29" s="39"/>
      <c r="J29" s="39"/>
      <c r="K29" s="39"/>
      <c r="L29" s="158"/>
      <c r="W29" s="134"/>
    </row>
    <row r="30" spans="1:23" x14ac:dyDescent="0.25">
      <c r="A30">
        <v>100</v>
      </c>
      <c r="B30" s="188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10"/>
        <v>-90.990000000000038</v>
      </c>
      <c r="G30" s="39">
        <f t="shared" si="11"/>
        <v>10788.99</v>
      </c>
      <c r="H30" s="226">
        <f t="shared" si="12"/>
        <v>-8.4335975842039015E-3</v>
      </c>
      <c r="I30" s="39"/>
      <c r="J30" s="39"/>
      <c r="K30" s="39"/>
      <c r="L30" s="158"/>
      <c r="W30" s="134"/>
    </row>
    <row r="31" spans="1:23" x14ac:dyDescent="0.25">
      <c r="B31" s="188">
        <v>43137</v>
      </c>
      <c r="C31" s="10">
        <v>300</v>
      </c>
      <c r="D31" s="39">
        <v>35.963299999999997</v>
      </c>
      <c r="E31" s="39">
        <v>34.33</v>
      </c>
      <c r="F31" s="39">
        <f t="shared" si="10"/>
        <v>-489.98999999999955</v>
      </c>
      <c r="G31" s="39">
        <f t="shared" si="11"/>
        <v>10788.99</v>
      </c>
      <c r="H31" s="226">
        <f t="shared" si="12"/>
        <v>-4.5415743271612963E-2</v>
      </c>
      <c r="I31" s="39"/>
      <c r="J31" s="39"/>
      <c r="K31" s="39"/>
      <c r="L31" s="158"/>
      <c r="W31" s="134"/>
    </row>
    <row r="32" spans="1:23" x14ac:dyDescent="0.25">
      <c r="B32" s="188"/>
      <c r="C32" s="10"/>
      <c r="D32" s="39"/>
      <c r="E32" s="39"/>
      <c r="F32" s="39"/>
      <c r="G32" s="39"/>
      <c r="H32" s="226"/>
      <c r="I32" s="39"/>
      <c r="J32" s="39"/>
      <c r="K32" s="39"/>
      <c r="L32" s="158"/>
      <c r="W32" s="134"/>
    </row>
    <row r="33" spans="1:23" x14ac:dyDescent="0.25">
      <c r="A33" s="29"/>
      <c r="B33" s="188"/>
      <c r="C33" s="10"/>
      <c r="D33" s="39"/>
      <c r="E33" s="39"/>
      <c r="F33" s="39"/>
      <c r="G33" s="39"/>
      <c r="H33" s="226"/>
      <c r="I33" s="39"/>
      <c r="J33" s="39"/>
      <c r="K33" s="39"/>
      <c r="L33" s="158"/>
      <c r="W33" s="134"/>
    </row>
    <row r="34" spans="1:23" x14ac:dyDescent="0.25">
      <c r="B34" s="188"/>
      <c r="C34" s="10"/>
      <c r="D34" s="39"/>
      <c r="E34" s="39"/>
      <c r="F34" s="39"/>
      <c r="G34" s="39"/>
      <c r="H34" s="226"/>
      <c r="I34" s="39"/>
      <c r="J34" s="39"/>
      <c r="K34" s="39"/>
      <c r="L34" s="158"/>
      <c r="W34" s="134"/>
    </row>
    <row r="35" spans="1:23" x14ac:dyDescent="0.25">
      <c r="B35" s="188"/>
      <c r="C35" s="10"/>
      <c r="D35" s="39"/>
      <c r="E35" s="39"/>
      <c r="F35" s="39"/>
      <c r="G35" s="39"/>
      <c r="H35" s="226"/>
      <c r="I35" s="39"/>
      <c r="J35" s="39"/>
      <c r="K35" s="39"/>
      <c r="L35" s="158"/>
      <c r="W35" s="134"/>
    </row>
    <row r="36" spans="1:23" x14ac:dyDescent="0.25">
      <c r="B36" s="188"/>
      <c r="C36" s="10"/>
      <c r="D36" s="39"/>
      <c r="E36" s="39"/>
      <c r="F36" s="39"/>
      <c r="G36" s="39"/>
      <c r="H36" s="226"/>
      <c r="I36" s="39"/>
      <c r="J36" s="39"/>
      <c r="K36" s="39"/>
      <c r="L36" s="39"/>
      <c r="W36" s="134"/>
    </row>
    <row r="37" spans="1:23" x14ac:dyDescent="0.25">
      <c r="B37" s="188"/>
      <c r="C37" s="10"/>
      <c r="D37" s="39"/>
      <c r="E37" s="39"/>
      <c r="F37" s="39"/>
      <c r="G37" s="39"/>
      <c r="H37" s="226"/>
      <c r="I37" s="39"/>
      <c r="J37" s="39"/>
      <c r="K37" s="39"/>
      <c r="L37" s="39"/>
      <c r="W37" s="134"/>
    </row>
    <row r="38" spans="1:23" x14ac:dyDescent="0.25">
      <c r="B38" s="188"/>
      <c r="C38" s="10"/>
      <c r="D38" s="39"/>
      <c r="E38" s="39"/>
      <c r="F38" s="39"/>
      <c r="G38" s="39"/>
      <c r="H38" s="226"/>
      <c r="I38" s="39"/>
      <c r="J38" s="39"/>
      <c r="K38" s="39"/>
      <c r="L38" s="39"/>
      <c r="W38" s="134"/>
    </row>
    <row r="39" spans="1:23" x14ac:dyDescent="0.25">
      <c r="B39" s="188"/>
      <c r="C39" s="10"/>
      <c r="D39" s="39"/>
      <c r="E39" s="39"/>
      <c r="F39" s="39"/>
      <c r="G39" s="39"/>
      <c r="H39" s="226"/>
      <c r="I39" s="39"/>
      <c r="J39" s="39"/>
      <c r="K39" s="39"/>
      <c r="L39" s="39"/>
      <c r="T39" s="134"/>
    </row>
    <row r="40" spans="1:23" ht="20.25" thickBot="1" x14ac:dyDescent="0.35">
      <c r="B40" s="188"/>
      <c r="C40" s="10"/>
      <c r="D40" s="39"/>
      <c r="E40" s="39"/>
      <c r="F40" s="39"/>
      <c r="G40" s="39"/>
      <c r="H40" s="226"/>
      <c r="I40" s="39"/>
      <c r="J40" s="39"/>
      <c r="K40" s="39"/>
      <c r="L40" s="39"/>
      <c r="O40" s="804" t="s">
        <v>78</v>
      </c>
      <c r="P40" s="804"/>
      <c r="T40" s="134"/>
    </row>
    <row r="41" spans="1:23" ht="15.75" thickTop="1" x14ac:dyDescent="0.25">
      <c r="B41" s="188"/>
      <c r="C41" s="10"/>
      <c r="D41" s="39"/>
      <c r="E41" s="39"/>
      <c r="F41" s="39"/>
      <c r="G41" s="39"/>
      <c r="H41" s="226"/>
      <c r="I41" s="39"/>
      <c r="J41" s="39"/>
      <c r="K41" s="39"/>
      <c r="L41" s="39"/>
      <c r="O41" s="81">
        <v>1.1000000000000001</v>
      </c>
      <c r="P41" s="81">
        <f>O41*$Q$4</f>
        <v>36.465000000000003</v>
      </c>
      <c r="Q41" s="2"/>
      <c r="T41" s="134"/>
    </row>
    <row r="42" spans="1:23" x14ac:dyDescent="0.25">
      <c r="B42" s="188"/>
      <c r="C42" s="10"/>
      <c r="D42" s="39"/>
      <c r="E42" s="39"/>
      <c r="F42" s="39"/>
      <c r="G42" s="39"/>
      <c r="H42" s="226"/>
      <c r="I42" s="39"/>
      <c r="J42" s="39"/>
      <c r="K42" s="39"/>
      <c r="L42" s="39"/>
      <c r="O42" s="81">
        <v>1.0900000000000001</v>
      </c>
      <c r="P42" s="81">
        <f t="shared" ref="P42:P61" si="13">O42*$Q$4</f>
        <v>36.133499999999998</v>
      </c>
      <c r="Q42" s="2"/>
      <c r="T42" s="134"/>
    </row>
    <row r="43" spans="1:23" x14ac:dyDescent="0.25">
      <c r="B43" s="188"/>
      <c r="C43" s="10"/>
      <c r="D43" s="39"/>
      <c r="E43" s="39"/>
      <c r="F43" s="39"/>
      <c r="G43" s="39"/>
      <c r="H43" s="226"/>
      <c r="I43" s="39"/>
      <c r="J43" s="39"/>
      <c r="K43" s="39"/>
      <c r="L43" s="39"/>
      <c r="O43" s="81">
        <v>1.08</v>
      </c>
      <c r="P43" s="81">
        <f t="shared" si="13"/>
        <v>35.802</v>
      </c>
      <c r="Q43" s="2"/>
      <c r="T43" s="134"/>
    </row>
    <row r="44" spans="1:23" x14ac:dyDescent="0.25">
      <c r="B44" s="188"/>
      <c r="C44" s="10"/>
      <c r="D44" s="39"/>
      <c r="E44" s="39"/>
      <c r="F44" s="39"/>
      <c r="G44" s="39"/>
      <c r="H44" s="226"/>
      <c r="I44" s="39"/>
      <c r="J44" s="39"/>
      <c r="K44" s="39"/>
      <c r="L44" s="39"/>
      <c r="O44" s="81">
        <v>1.07</v>
      </c>
      <c r="P44" s="81">
        <f t="shared" si="13"/>
        <v>35.470500000000001</v>
      </c>
      <c r="Q44" s="2"/>
      <c r="T44" s="134"/>
    </row>
    <row r="45" spans="1:23" x14ac:dyDescent="0.25">
      <c r="B45" s="188"/>
      <c r="C45" s="10"/>
      <c r="D45" s="39"/>
      <c r="E45" s="39"/>
      <c r="F45" s="39"/>
      <c r="G45" s="39"/>
      <c r="H45" s="226"/>
      <c r="I45" s="39"/>
      <c r="J45" s="39"/>
      <c r="K45" s="39"/>
      <c r="L45" s="39"/>
      <c r="O45" s="81">
        <v>1.06</v>
      </c>
      <c r="P45" s="81">
        <f t="shared" si="13"/>
        <v>35.139000000000003</v>
      </c>
      <c r="Q45" s="2"/>
      <c r="T45" s="134"/>
    </row>
    <row r="46" spans="1:23" x14ac:dyDescent="0.25">
      <c r="B46" s="188"/>
      <c r="C46" s="10"/>
      <c r="D46" s="39"/>
      <c r="E46" s="39"/>
      <c r="F46" s="39"/>
      <c r="G46" s="39"/>
      <c r="H46" s="226"/>
      <c r="I46" s="39"/>
      <c r="J46" s="39"/>
      <c r="K46" s="39"/>
      <c r="L46" s="39"/>
      <c r="O46" s="81">
        <v>1.05</v>
      </c>
      <c r="P46" s="81">
        <f t="shared" si="13"/>
        <v>34.807499999999997</v>
      </c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73"/>
      <c r="I47" s="271"/>
      <c r="O47" s="81">
        <v>1.04</v>
      </c>
      <c r="P47" s="81">
        <f t="shared" si="13"/>
        <v>34.475999999999999</v>
      </c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73"/>
      <c r="I48" s="3"/>
      <c r="O48" s="81">
        <v>1.03</v>
      </c>
      <c r="P48" s="81">
        <f t="shared" si="13"/>
        <v>34.144500000000001</v>
      </c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73"/>
      <c r="I49" s="3"/>
      <c r="O49" s="81">
        <v>1.02</v>
      </c>
      <c r="P49" s="81">
        <f t="shared" si="13"/>
        <v>33.813000000000002</v>
      </c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73"/>
      <c r="I50" s="3"/>
      <c r="O50" s="81">
        <v>1.01</v>
      </c>
      <c r="P50" s="81">
        <f t="shared" si="13"/>
        <v>33.481499999999997</v>
      </c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73"/>
      <c r="I51" s="3"/>
      <c r="O51" s="81">
        <v>1</v>
      </c>
      <c r="P51" s="81">
        <f t="shared" si="13"/>
        <v>33.15</v>
      </c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73"/>
      <c r="I52" s="3"/>
      <c r="O52" s="81">
        <v>0.99</v>
      </c>
      <c r="P52" s="81">
        <f t="shared" si="13"/>
        <v>32.8185</v>
      </c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73"/>
      <c r="I53" s="3"/>
      <c r="O53" s="81">
        <v>0.98</v>
      </c>
      <c r="P53" s="81">
        <f t="shared" si="13"/>
        <v>32.486999999999995</v>
      </c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73"/>
      <c r="I54" s="3"/>
      <c r="J54" s="3"/>
      <c r="K54" s="3"/>
      <c r="L54" s="4"/>
      <c r="O54" s="81">
        <v>0.97</v>
      </c>
      <c r="P54" s="81">
        <f t="shared" si="13"/>
        <v>32.155499999999996</v>
      </c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73"/>
      <c r="I55" s="3"/>
      <c r="J55" s="3"/>
      <c r="K55" s="3"/>
      <c r="L55" s="4"/>
      <c r="O55" s="81">
        <v>0.96</v>
      </c>
      <c r="P55" s="81">
        <f t="shared" si="13"/>
        <v>31.823999999999998</v>
      </c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73"/>
      <c r="I56" s="3"/>
      <c r="J56" s="3"/>
      <c r="K56" s="3"/>
      <c r="L56" s="4"/>
      <c r="O56" s="81">
        <v>0.95</v>
      </c>
      <c r="P56" s="81">
        <f t="shared" si="13"/>
        <v>31.492499999999996</v>
      </c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73"/>
      <c r="I57" s="3"/>
      <c r="J57" s="3"/>
      <c r="K57" s="3"/>
      <c r="L57" s="4"/>
      <c r="O57" s="81">
        <v>0.94</v>
      </c>
      <c r="P57" s="81">
        <f t="shared" si="13"/>
        <v>31.160999999999998</v>
      </c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73"/>
      <c r="I58" s="3"/>
      <c r="J58" s="3"/>
      <c r="K58" s="3"/>
      <c r="L58" s="4"/>
      <c r="O58" s="81">
        <v>0.93</v>
      </c>
      <c r="P58" s="81">
        <f t="shared" si="13"/>
        <v>30.829499999999999</v>
      </c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73"/>
      <c r="I59" s="3"/>
      <c r="J59" s="3"/>
      <c r="K59" s="3"/>
      <c r="L59" s="4"/>
      <c r="O59" s="81">
        <v>0.92</v>
      </c>
      <c r="P59" s="81">
        <f t="shared" si="13"/>
        <v>30.498000000000001</v>
      </c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73"/>
      <c r="I60" s="3"/>
      <c r="J60" s="3"/>
      <c r="K60" s="3"/>
      <c r="L60" s="4"/>
      <c r="O60" s="81">
        <v>0.91</v>
      </c>
      <c r="P60" s="81">
        <f t="shared" si="13"/>
        <v>30.166499999999999</v>
      </c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73"/>
      <c r="I61" s="3"/>
      <c r="J61" s="3"/>
      <c r="K61" s="3"/>
      <c r="L61" s="4"/>
      <c r="O61" s="81">
        <v>0.9</v>
      </c>
      <c r="P61" s="81">
        <f t="shared" si="13"/>
        <v>29.835000000000001</v>
      </c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73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73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25" t="s">
        <v>1</v>
      </c>
      <c r="B67" s="525" t="s">
        <v>2</v>
      </c>
      <c r="C67" s="525" t="s">
        <v>4</v>
      </c>
      <c r="D67" s="526" t="s">
        <v>5</v>
      </c>
      <c r="E67" s="526" t="s">
        <v>94</v>
      </c>
      <c r="F67" s="526" t="s">
        <v>60</v>
      </c>
      <c r="G67" s="525" t="s">
        <v>3</v>
      </c>
      <c r="H67" s="525" t="s">
        <v>6</v>
      </c>
      <c r="I67" s="526" t="s">
        <v>7</v>
      </c>
      <c r="J67" s="526" t="s">
        <v>95</v>
      </c>
      <c r="K67" s="526" t="s">
        <v>61</v>
      </c>
      <c r="L67" s="525" t="s">
        <v>37</v>
      </c>
      <c r="M67" s="525" t="s">
        <v>38</v>
      </c>
      <c r="W67" s="134"/>
    </row>
    <row r="68" spans="1:23" x14ac:dyDescent="0.25">
      <c r="A68" s="527" t="s">
        <v>881</v>
      </c>
      <c r="B68" s="510"/>
      <c r="C68" s="511"/>
      <c r="D68" s="513"/>
      <c r="E68" s="513"/>
      <c r="F68" s="513"/>
      <c r="G68" s="510"/>
      <c r="H68" s="528"/>
      <c r="I68" s="513"/>
      <c r="J68" s="513"/>
      <c r="K68" s="513"/>
      <c r="L68" s="510"/>
      <c r="M68" s="513"/>
      <c r="W68" s="134"/>
    </row>
    <row r="69" spans="1:23" x14ac:dyDescent="0.25">
      <c r="A69" s="529" t="s">
        <v>71</v>
      </c>
      <c r="B69" s="510"/>
      <c r="C69" s="511"/>
      <c r="D69" s="513"/>
      <c r="E69" s="513"/>
      <c r="F69" s="513"/>
      <c r="G69" s="510"/>
      <c r="H69" s="528"/>
      <c r="I69" s="513"/>
      <c r="J69" s="513"/>
      <c r="K69" s="513"/>
      <c r="L69" s="511"/>
      <c r="M69" s="511"/>
      <c r="W69" s="134"/>
    </row>
    <row r="70" spans="1:23" x14ac:dyDescent="0.25">
      <c r="A70" s="511"/>
      <c r="B70" s="510"/>
      <c r="C70" s="511"/>
      <c r="D70" s="513"/>
      <c r="E70" s="513"/>
      <c r="F70" s="513"/>
      <c r="G70" s="510"/>
      <c r="H70" s="528"/>
      <c r="I70" s="513"/>
      <c r="J70" s="513"/>
      <c r="K70" s="513"/>
      <c r="L70" s="511"/>
      <c r="M70" s="511"/>
    </row>
    <row r="71" spans="1:23" x14ac:dyDescent="0.25">
      <c r="A71" s="511"/>
      <c r="B71" s="510"/>
      <c r="C71" s="511"/>
      <c r="D71" s="513"/>
      <c r="E71" s="513"/>
      <c r="F71" s="513"/>
      <c r="G71" s="511"/>
      <c r="H71" s="528"/>
      <c r="I71" s="513"/>
      <c r="J71" s="513"/>
      <c r="K71" s="513"/>
      <c r="L71" s="511"/>
      <c r="M71" s="511"/>
    </row>
    <row r="72" spans="1:23" x14ac:dyDescent="0.25">
      <c r="A72" s="511"/>
      <c r="B72" s="510"/>
      <c r="C72" s="511"/>
      <c r="D72" s="513"/>
      <c r="E72" s="513"/>
      <c r="F72" s="513"/>
      <c r="G72" s="511"/>
      <c r="H72" s="528"/>
      <c r="I72" s="513"/>
      <c r="J72" s="513"/>
      <c r="K72" s="513"/>
      <c r="L72" s="511"/>
      <c r="M72" s="511"/>
    </row>
    <row r="73" spans="1:23" x14ac:dyDescent="0.25">
      <c r="A73" s="511"/>
      <c r="B73" s="511"/>
      <c r="C73" s="511"/>
      <c r="D73" s="513"/>
      <c r="E73" s="513"/>
      <c r="F73" s="513"/>
      <c r="G73" s="511"/>
      <c r="H73" s="528"/>
      <c r="I73" s="513"/>
      <c r="J73" s="513"/>
      <c r="K73" s="513"/>
      <c r="L73" s="511"/>
      <c r="M73" s="511"/>
    </row>
    <row r="74" spans="1:23" x14ac:dyDescent="0.25">
      <c r="A74" s="511"/>
      <c r="B74" s="511"/>
      <c r="C74" s="511"/>
      <c r="D74" s="513"/>
      <c r="E74" s="513"/>
      <c r="F74" s="513"/>
      <c r="G74" s="511"/>
      <c r="H74" s="528"/>
      <c r="I74" s="513"/>
      <c r="J74" s="513"/>
      <c r="K74" s="513"/>
      <c r="L74" s="511"/>
      <c r="M74" s="511"/>
    </row>
    <row r="75" spans="1:23" x14ac:dyDescent="0.25">
      <c r="A75" s="511"/>
      <c r="B75" s="511"/>
      <c r="C75" s="511"/>
      <c r="D75" s="513"/>
      <c r="E75" s="513"/>
      <c r="F75" s="513"/>
      <c r="G75" s="511"/>
      <c r="H75" s="528"/>
      <c r="I75" s="513"/>
      <c r="J75" s="513"/>
      <c r="K75" s="513"/>
      <c r="L75" s="511"/>
      <c r="M75" s="511"/>
    </row>
    <row r="76" spans="1:23" x14ac:dyDescent="0.25">
      <c r="A76" s="511"/>
      <c r="B76" s="511"/>
      <c r="C76" s="511"/>
      <c r="D76" s="513"/>
      <c r="E76" s="513"/>
      <c r="F76" s="513"/>
      <c r="G76" s="511"/>
      <c r="H76" s="528"/>
      <c r="I76" s="513"/>
      <c r="J76" s="513"/>
      <c r="K76" s="513"/>
      <c r="L76" s="511"/>
      <c r="M76" s="511"/>
    </row>
    <row r="77" spans="1:23" x14ac:dyDescent="0.25">
      <c r="A77" s="511"/>
      <c r="B77" s="511"/>
      <c r="C77" s="511"/>
      <c r="D77" s="513"/>
      <c r="E77" s="513"/>
      <c r="F77" s="513"/>
      <c r="G77" s="511"/>
      <c r="H77" s="528"/>
      <c r="I77" s="513"/>
      <c r="J77" s="513"/>
      <c r="K77" s="513"/>
      <c r="L77" s="511"/>
      <c r="M77" s="511"/>
    </row>
    <row r="78" spans="1:23" x14ac:dyDescent="0.25">
      <c r="A78" s="511"/>
      <c r="B78" s="511"/>
      <c r="C78" s="511"/>
      <c r="D78" s="513"/>
      <c r="E78" s="513"/>
      <c r="F78" s="513"/>
      <c r="G78" s="511"/>
      <c r="H78" s="528"/>
      <c r="I78" s="513"/>
      <c r="J78" s="513"/>
      <c r="K78" s="513"/>
      <c r="L78" s="511"/>
      <c r="M78" s="511"/>
    </row>
    <row r="79" spans="1:23" x14ac:dyDescent="0.25">
      <c r="A79" s="511"/>
      <c r="B79" s="511"/>
      <c r="C79" s="511"/>
      <c r="D79" s="513"/>
      <c r="E79" s="513"/>
      <c r="F79" s="513"/>
      <c r="G79" s="511"/>
      <c r="H79" s="528"/>
      <c r="I79" s="513"/>
      <c r="J79" s="513"/>
      <c r="K79" s="513"/>
      <c r="L79" s="511"/>
      <c r="M79" s="511"/>
    </row>
    <row r="80" spans="1:23" x14ac:dyDescent="0.25">
      <c r="A80" s="511"/>
      <c r="B80" s="511"/>
      <c r="C80" s="511"/>
      <c r="D80" s="513"/>
      <c r="E80" s="513"/>
      <c r="F80" s="513"/>
      <c r="G80" s="511"/>
      <c r="H80" s="528"/>
      <c r="I80" s="513"/>
      <c r="J80" s="513"/>
      <c r="K80" s="513"/>
      <c r="L80" s="511"/>
      <c r="M80" s="511"/>
    </row>
    <row r="81" spans="1:13" x14ac:dyDescent="0.25">
      <c r="A81" s="511"/>
      <c r="B81" s="511"/>
      <c r="C81" s="511"/>
      <c r="D81" s="513"/>
      <c r="E81" s="513"/>
      <c r="F81" s="513"/>
      <c r="G81" s="511"/>
      <c r="H81" s="528"/>
      <c r="I81" s="513"/>
      <c r="J81" s="513"/>
      <c r="K81" s="513"/>
      <c r="L81" s="511"/>
      <c r="M81" s="511"/>
    </row>
    <row r="82" spans="1:13" x14ac:dyDescent="0.25">
      <c r="A82" s="511"/>
      <c r="B82" s="511"/>
      <c r="C82" s="511"/>
      <c r="D82" s="513"/>
      <c r="E82" s="513"/>
      <c r="F82" s="513"/>
      <c r="G82" s="511"/>
      <c r="H82" s="528"/>
      <c r="I82" s="513"/>
      <c r="J82" s="513"/>
      <c r="K82" s="513"/>
      <c r="L82" s="511"/>
      <c r="M82" s="511"/>
    </row>
    <row r="83" spans="1:13" x14ac:dyDescent="0.25">
      <c r="A83" s="511"/>
      <c r="B83" s="511"/>
      <c r="C83" s="511"/>
      <c r="D83" s="513"/>
      <c r="E83" s="513"/>
      <c r="F83" s="513"/>
      <c r="G83" s="511"/>
      <c r="H83" s="511"/>
      <c r="I83" s="513"/>
      <c r="J83" s="513"/>
      <c r="K83" s="513"/>
      <c r="L83" s="511"/>
      <c r="M83" s="511"/>
    </row>
    <row r="84" spans="1:13" x14ac:dyDescent="0.25">
      <c r="A84" s="530" t="s">
        <v>81</v>
      </c>
      <c r="B84" s="531"/>
      <c r="C84" s="531">
        <f>SUM(C68:C72)</f>
        <v>0</v>
      </c>
      <c r="D84" s="532"/>
      <c r="E84" s="532"/>
      <c r="F84" s="532">
        <f>SUM(F68:F72)</f>
        <v>0</v>
      </c>
      <c r="G84" s="531"/>
      <c r="H84" s="553">
        <f>SUM(H68:H71)</f>
        <v>0</v>
      </c>
      <c r="I84" s="532"/>
      <c r="J84" s="532"/>
      <c r="K84" s="532">
        <f>SUM(K68:K71)</f>
        <v>0</v>
      </c>
      <c r="L84" s="531"/>
      <c r="M84" s="532">
        <f>SUM(M68:M76)</f>
        <v>0</v>
      </c>
    </row>
    <row r="85" spans="1:13" ht="15.75" thickBot="1" x14ac:dyDescent="0.3">
      <c r="A85" s="533" t="s">
        <v>194</v>
      </c>
      <c r="B85" s="534"/>
      <c r="C85" s="535">
        <f>SumByColor($A$19,C68:C83)</f>
        <v>0</v>
      </c>
      <c r="D85" s="535"/>
      <c r="E85" s="535"/>
      <c r="F85" s="536">
        <f>SumByColor($A$19,F68:F83)</f>
        <v>0</v>
      </c>
      <c r="G85" s="535"/>
      <c r="H85" s="535">
        <f>SumByColor($A$19,H68:H83)</f>
        <v>0</v>
      </c>
      <c r="I85" s="535"/>
      <c r="J85" s="535"/>
      <c r="K85" s="536">
        <f>SumByColor($A$19,K69:K83)</f>
        <v>0</v>
      </c>
      <c r="L85" s="535"/>
      <c r="M85" s="536">
        <f>SumByColor($A$19,M68:M83)</f>
        <v>0</v>
      </c>
    </row>
    <row r="88" spans="1:13" x14ac:dyDescent="0.25">
      <c r="B88" s="186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</row>
    <row r="89" spans="1:13" x14ac:dyDescent="0.25">
      <c r="B89" s="188"/>
      <c r="C89" s="10"/>
      <c r="D89" s="39"/>
      <c r="E89" s="39"/>
      <c r="F89" s="39"/>
      <c r="G89" s="39"/>
      <c r="H89" s="226"/>
      <c r="I89" s="39"/>
    </row>
    <row r="90" spans="1:13" x14ac:dyDescent="0.25">
      <c r="B90" s="188"/>
      <c r="C90" s="10"/>
      <c r="D90" s="39"/>
      <c r="E90" s="39"/>
      <c r="F90" s="39"/>
      <c r="G90" s="39"/>
      <c r="H90" s="226"/>
      <c r="I90" s="39"/>
    </row>
    <row r="91" spans="1:13" x14ac:dyDescent="0.25">
      <c r="B91" s="188"/>
      <c r="C91" s="10"/>
      <c r="D91" s="39"/>
      <c r="E91" s="39"/>
      <c r="F91" s="39"/>
      <c r="G91" s="39"/>
      <c r="H91" s="226"/>
      <c r="I91" s="39"/>
    </row>
    <row r="92" spans="1:13" x14ac:dyDescent="0.25">
      <c r="B92" s="188"/>
      <c r="C92" s="10"/>
      <c r="D92" s="39"/>
      <c r="E92" s="39"/>
      <c r="F92" s="39"/>
      <c r="G92" s="39"/>
      <c r="H92" s="226"/>
      <c r="I92" s="39"/>
    </row>
    <row r="93" spans="1:13" x14ac:dyDescent="0.25">
      <c r="B93" s="188"/>
      <c r="C93" s="10"/>
      <c r="D93" s="39"/>
      <c r="E93" s="39"/>
      <c r="F93" s="39"/>
      <c r="G93" s="39"/>
      <c r="H93" s="226"/>
      <c r="I93" s="39"/>
    </row>
    <row r="94" spans="1:13" x14ac:dyDescent="0.25">
      <c r="B94" s="188"/>
      <c r="C94" s="10"/>
      <c r="D94" s="39"/>
      <c r="E94" s="39"/>
      <c r="F94" s="39"/>
      <c r="G94" s="39"/>
      <c r="H94" s="226"/>
      <c r="I94" s="39"/>
    </row>
    <row r="95" spans="1:13" x14ac:dyDescent="0.25">
      <c r="B95" s="188"/>
      <c r="C95" s="10"/>
      <c r="D95" s="39"/>
      <c r="E95" s="39"/>
      <c r="F95" s="39"/>
      <c r="G95" s="39"/>
      <c r="H95" s="226"/>
      <c r="I95" s="39"/>
    </row>
    <row r="96" spans="1:13" x14ac:dyDescent="0.25">
      <c r="B96" s="188"/>
      <c r="C96" s="10"/>
      <c r="D96" s="39"/>
      <c r="E96" s="39"/>
      <c r="F96" s="39"/>
      <c r="G96" s="39"/>
      <c r="H96" s="226"/>
      <c r="I96" s="39"/>
    </row>
    <row r="97" spans="2:9" x14ac:dyDescent="0.25">
      <c r="B97" s="188"/>
      <c r="C97" s="10"/>
      <c r="D97" s="39"/>
      <c r="E97" s="39"/>
      <c r="F97" s="39"/>
      <c r="G97" s="39"/>
      <c r="H97" s="226"/>
      <c r="I97" s="39"/>
    </row>
    <row r="98" spans="2:9" x14ac:dyDescent="0.25">
      <c r="B98" s="188"/>
      <c r="C98" s="10"/>
      <c r="D98" s="39"/>
      <c r="E98" s="39"/>
      <c r="F98" s="39"/>
      <c r="G98" s="39"/>
      <c r="H98" s="226"/>
      <c r="I98" s="39"/>
    </row>
    <row r="99" spans="2:9" x14ac:dyDescent="0.25">
      <c r="B99" s="188"/>
      <c r="C99" s="10"/>
      <c r="D99" s="39"/>
      <c r="E99" s="39"/>
      <c r="F99" s="39"/>
      <c r="G99" s="39"/>
      <c r="H99" s="226"/>
      <c r="I99" s="39"/>
    </row>
    <row r="100" spans="2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2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2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2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2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2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2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2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2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2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2:9" x14ac:dyDescent="0.25">
      <c r="B110" s="188"/>
      <c r="C110" s="10"/>
      <c r="D110" s="39"/>
      <c r="E110" s="39"/>
      <c r="F110" s="39"/>
      <c r="G110" s="39"/>
      <c r="H110" s="226"/>
      <c r="I110" s="39"/>
    </row>
  </sheetData>
  <mergeCells count="1">
    <mergeCell ref="O40:P40"/>
  </mergeCells>
  <conditionalFormatting sqref="O41:O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831" priority="21">
      <formula>F47&gt;0</formula>
    </cfRule>
    <cfRule type="expression" dxfId="830" priority="22">
      <formula>F47&lt;0</formula>
    </cfRule>
  </conditionalFormatting>
  <conditionalFormatting sqref="Q7">
    <cfRule type="expression" dxfId="829" priority="19">
      <formula>Q7&gt;0</formula>
    </cfRule>
    <cfRule type="expression" dxfId="828" priority="20">
      <formula>Q7&lt;0</formula>
    </cfRule>
  </conditionalFormatting>
  <conditionalFormatting sqref="Q8">
    <cfRule type="expression" dxfId="827" priority="17">
      <formula>Q8&gt;0</formula>
    </cfRule>
    <cfRule type="expression" dxfId="826" priority="18">
      <formula>Q8&lt;0</formula>
    </cfRule>
  </conditionalFormatting>
  <conditionalFormatting sqref="F25:F46">
    <cfRule type="expression" dxfId="825" priority="15">
      <formula>F25&gt;0</formula>
    </cfRule>
    <cfRule type="expression" dxfId="824" priority="16">
      <formula>F25&lt;0</formula>
    </cfRule>
  </conditionalFormatting>
  <conditionalFormatting sqref="H25:H46">
    <cfRule type="expression" dxfId="823" priority="13">
      <formula>H25&gt;0</formula>
    </cfRule>
    <cfRule type="expression" dxfId="822" priority="14">
      <formula>H25&lt;0</formula>
    </cfRule>
  </conditionalFormatting>
  <conditionalFormatting sqref="F89:F110">
    <cfRule type="expression" dxfId="821" priority="11">
      <formula>F89&gt;0</formula>
    </cfRule>
    <cfRule type="expression" dxfId="820" priority="12">
      <formula>F89&lt;0</formula>
    </cfRule>
  </conditionalFormatting>
  <conditionalFormatting sqref="H89:H110">
    <cfRule type="expression" dxfId="819" priority="9">
      <formula>H89&gt;0</formula>
    </cfRule>
    <cfRule type="expression" dxfId="818" priority="10">
      <formula>H89&lt;0</formula>
    </cfRule>
  </conditionalFormatting>
  <conditionalFormatting sqref="Q10">
    <cfRule type="expression" dxfId="817" priority="7">
      <formula>Q10&gt;0</formula>
    </cfRule>
    <cfRule type="expression" dxfId="816" priority="8">
      <formula>Q10&lt;0</formula>
    </cfRule>
  </conditionalFormatting>
  <conditionalFormatting sqref="J25:J38">
    <cfRule type="expression" dxfId="815" priority="5">
      <formula>J25&gt;0</formula>
    </cfRule>
    <cfRule type="expression" dxfId="814" priority="6">
      <formula>J25&lt;0</formula>
    </cfRule>
  </conditionalFormatting>
  <conditionalFormatting sqref="K25:K38">
    <cfRule type="expression" dxfId="813" priority="3">
      <formula>K25&gt;0</formula>
    </cfRule>
    <cfRule type="expression" dxfId="812" priority="4">
      <formula>K25&lt;0</formula>
    </cfRule>
  </conditionalFormatting>
  <conditionalFormatting sqref="L25:L38">
    <cfRule type="expression" dxfId="811" priority="1">
      <formula>L25&gt;0</formula>
    </cfRule>
    <cfRule type="expression" dxfId="810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324" activePane="bottomLeft" state="frozen"/>
      <selection activeCell="A2" sqref="A2"/>
      <selection pane="bottomLeft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5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46">
        <v>42568</v>
      </c>
      <c r="U2" s="124" t="s">
        <v>243</v>
      </c>
      <c r="V2" s="16"/>
    </row>
    <row r="3" spans="1:3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4"/>
      <c r="M3" s="4"/>
      <c r="N3" s="4"/>
      <c r="O3" s="11" t="s">
        <v>58</v>
      </c>
      <c r="Q3" s="494">
        <f>IF(Q2=0, Q4, (F22-K22-M22)/Q2)</f>
        <v>40.409999999999997</v>
      </c>
      <c r="T3" s="1">
        <v>42621</v>
      </c>
      <c r="U3" s="33" t="s">
        <v>260</v>
      </c>
      <c r="AC3" s="229"/>
      <c r="AF3" s="229"/>
    </row>
    <row r="4" spans="1:3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N4" s="4"/>
      <c r="O4" s="11" t="s">
        <v>66</v>
      </c>
      <c r="Q4" s="196">
        <v>40.409999999999997</v>
      </c>
      <c r="R4" s="487">
        <v>1.0200000000000001E-2</v>
      </c>
      <c r="T4" s="1">
        <v>42627</v>
      </c>
      <c r="U4" s="33" t="s">
        <v>260</v>
      </c>
      <c r="AC4" s="229"/>
      <c r="AF4" s="229"/>
    </row>
    <row r="5" spans="1:33" x14ac:dyDescent="0.25">
      <c r="B5" s="489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332</v>
      </c>
      <c r="AC5" s="229"/>
      <c r="AF5" s="229"/>
    </row>
    <row r="6" spans="1:33" x14ac:dyDescent="0.25">
      <c r="B6" s="489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478</v>
      </c>
      <c r="AC6" s="229"/>
      <c r="AF6" s="229"/>
    </row>
    <row r="7" spans="1:33" x14ac:dyDescent="0.25">
      <c r="G7" s="72"/>
      <c r="H7" s="180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80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535</v>
      </c>
      <c r="AC8" s="229"/>
      <c r="AF8" s="229"/>
      <c r="AG8" s="229"/>
    </row>
    <row r="9" spans="1:33" x14ac:dyDescent="0.25">
      <c r="B9" s="489"/>
      <c r="C9" s="4"/>
      <c r="D9" s="3"/>
      <c r="E9" s="3"/>
      <c r="F9" s="3"/>
      <c r="G9" s="160"/>
      <c r="H9" s="4"/>
      <c r="I9" s="3"/>
      <c r="J9" s="3"/>
      <c r="K9" s="3"/>
      <c r="L9" s="4"/>
      <c r="M9" s="4"/>
      <c r="N9" s="4"/>
      <c r="O9" s="11" t="s">
        <v>210</v>
      </c>
      <c r="Q9" s="374">
        <f>IF(Q2=0, 0, Q8/Q6)</f>
        <v>0</v>
      </c>
    </row>
    <row r="10" spans="1:33" x14ac:dyDescent="0.25">
      <c r="G10" s="160"/>
      <c r="H10" s="4"/>
      <c r="I10" s="3"/>
      <c r="J10" s="3"/>
      <c r="K10" s="3"/>
      <c r="L10" s="3"/>
      <c r="M10" s="4"/>
      <c r="N10" s="4"/>
      <c r="O10" s="11" t="s">
        <v>209</v>
      </c>
      <c r="P10" s="33"/>
      <c r="Q10" s="2">
        <f>M259</f>
        <v>21137.586999999941</v>
      </c>
      <c r="T10" s="11"/>
      <c r="AC10" s="229"/>
      <c r="AF10" s="229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89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9"/>
      <c r="AF12" s="229"/>
    </row>
    <row r="13" spans="1:33" x14ac:dyDescent="0.25">
      <c r="B13" s="489"/>
      <c r="C13" s="4"/>
      <c r="D13" s="3"/>
      <c r="E13" s="3"/>
      <c r="F13" s="3"/>
      <c r="G13" s="808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89"/>
      <c r="C14" s="4"/>
      <c r="D14" s="3"/>
      <c r="E14" s="3"/>
      <c r="F14" s="3"/>
      <c r="G14" s="808"/>
      <c r="H14" s="4"/>
      <c r="I14" s="3"/>
      <c r="J14" s="3"/>
      <c r="K14" s="3"/>
      <c r="L14" s="4"/>
      <c r="M14" s="4"/>
      <c r="N14" s="4"/>
      <c r="AC14" s="229"/>
      <c r="AF14" s="229"/>
      <c r="AG14" s="229"/>
    </row>
    <row r="15" spans="1:33" x14ac:dyDescent="0.25">
      <c r="B15" s="489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89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89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89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9"/>
      <c r="AF18" s="229"/>
    </row>
    <row r="19" spans="1:32" x14ac:dyDescent="0.25">
      <c r="B19" s="489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7" t="s">
        <v>194</v>
      </c>
      <c r="B23" s="348"/>
      <c r="C23" s="349">
        <f>SumByColor($A$23,C2:C21)</f>
        <v>0</v>
      </c>
      <c r="D23" s="349"/>
      <c r="E23" s="349"/>
      <c r="F23" s="350">
        <f>SumByColor($A$23,F2:F21)</f>
        <v>0</v>
      </c>
      <c r="G23" s="349"/>
      <c r="H23" s="349">
        <f>SumByColor($A$23,H2:H21)</f>
        <v>0</v>
      </c>
      <c r="I23" s="349"/>
      <c r="J23" s="349"/>
      <c r="K23" s="350">
        <f>SumByColor($A$23,K2:K21)</f>
        <v>0</v>
      </c>
      <c r="L23" s="349"/>
      <c r="M23" s="35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75" t="s">
        <v>78</v>
      </c>
      <c r="P24" s="675"/>
      <c r="Q24" s="2"/>
    </row>
    <row r="25" spans="1:32" ht="15.75" thickTop="1" x14ac:dyDescent="0.25">
      <c r="B25" s="489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44.451000000000001</v>
      </c>
      <c r="Q25" s="2"/>
    </row>
    <row r="26" spans="1:32" x14ac:dyDescent="0.25">
      <c r="B26" s="489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44.046900000000001</v>
      </c>
      <c r="Q26" s="2"/>
    </row>
    <row r="27" spans="1:32" x14ac:dyDescent="0.25">
      <c r="B27" s="489"/>
      <c r="C27" s="4"/>
      <c r="D27" s="3"/>
      <c r="E27" s="3"/>
      <c r="F27" s="3"/>
      <c r="G27" s="72"/>
      <c r="H27" s="180"/>
      <c r="I27" s="3"/>
      <c r="J27" s="3"/>
      <c r="K27" s="3"/>
      <c r="L27" s="4"/>
      <c r="M27" s="4"/>
      <c r="N27" s="4"/>
      <c r="O27" s="81">
        <v>1.08</v>
      </c>
      <c r="P27" s="81">
        <f t="shared" si="0"/>
        <v>43.642800000000001</v>
      </c>
      <c r="Q27" s="2"/>
    </row>
    <row r="28" spans="1:32" x14ac:dyDescent="0.25">
      <c r="B28" s="489"/>
      <c r="C28" s="4"/>
      <c r="D28" s="3"/>
      <c r="E28" s="3"/>
      <c r="F28" s="3"/>
      <c r="G28" s="72"/>
      <c r="H28" s="180"/>
      <c r="I28" s="3"/>
      <c r="J28" s="3"/>
      <c r="K28" s="3"/>
      <c r="L28" s="4"/>
      <c r="M28" s="4"/>
      <c r="N28" s="4"/>
      <c r="O28" s="81">
        <v>1.07</v>
      </c>
      <c r="P28" s="81">
        <f t="shared" si="0"/>
        <v>43.238700000000001</v>
      </c>
      <c r="Q28" s="2"/>
    </row>
    <row r="29" spans="1:32" x14ac:dyDescent="0.25">
      <c r="A29" s="10" t="s">
        <v>756</v>
      </c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224" t="s">
        <v>154</v>
      </c>
      <c r="J29" s="224" t="s">
        <v>514</v>
      </c>
      <c r="K29" s="224" t="s">
        <v>480</v>
      </c>
      <c r="L29" s="224" t="s">
        <v>714</v>
      </c>
      <c r="M29" s="4"/>
      <c r="N29" s="4"/>
      <c r="O29" s="81">
        <v>1.06</v>
      </c>
      <c r="P29" s="81">
        <f t="shared" si="0"/>
        <v>42.834600000000002</v>
      </c>
    </row>
    <row r="30" spans="1:32" x14ac:dyDescent="0.25">
      <c r="A30" s="10"/>
      <c r="B30" s="188"/>
      <c r="C30" s="10"/>
      <c r="D30" s="195"/>
      <c r="E30" s="39"/>
      <c r="F30" s="39"/>
      <c r="G30" s="39"/>
      <c r="H30" s="227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42.430499999999995</v>
      </c>
    </row>
    <row r="31" spans="1:32" x14ac:dyDescent="0.25">
      <c r="A31" s="10"/>
      <c r="B31" s="188"/>
      <c r="C31" s="10"/>
      <c r="D31" s="195"/>
      <c r="E31" s="39"/>
      <c r="F31" s="39"/>
      <c r="G31" s="39"/>
      <c r="H31" s="227"/>
      <c r="I31" s="39"/>
      <c r="J31" s="39"/>
      <c r="K31" s="39"/>
      <c r="L31" s="39"/>
      <c r="N31" s="4"/>
      <c r="O31" s="81">
        <v>1.04</v>
      </c>
      <c r="P31" s="81">
        <f t="shared" si="0"/>
        <v>42.026399999999995</v>
      </c>
    </row>
    <row r="32" spans="1:32" x14ac:dyDescent="0.25">
      <c r="A32" s="10"/>
      <c r="B32" s="188"/>
      <c r="C32" s="10"/>
      <c r="D32" s="195"/>
      <c r="E32" s="39"/>
      <c r="F32" s="39"/>
      <c r="G32" s="39"/>
      <c r="H32" s="227"/>
      <c r="I32" s="39"/>
      <c r="J32" s="39"/>
      <c r="K32" s="39"/>
      <c r="L32" s="39"/>
      <c r="N32" s="4"/>
      <c r="O32" s="81">
        <v>1.03</v>
      </c>
      <c r="P32" s="81">
        <f t="shared" si="0"/>
        <v>41.622299999999996</v>
      </c>
    </row>
    <row r="33" spans="1:32" x14ac:dyDescent="0.25">
      <c r="A33" s="10"/>
      <c r="B33" s="188"/>
      <c r="C33" s="10"/>
      <c r="D33" s="195"/>
      <c r="E33" s="39"/>
      <c r="F33" s="39"/>
      <c r="G33" s="39"/>
      <c r="H33" s="227"/>
      <c r="I33" s="39"/>
      <c r="J33" s="39"/>
      <c r="K33" s="39"/>
      <c r="L33" s="39"/>
      <c r="N33" s="4"/>
      <c r="O33" s="81">
        <v>1.02</v>
      </c>
      <c r="P33" s="81">
        <f t="shared" si="0"/>
        <v>41.218199999999996</v>
      </c>
    </row>
    <row r="34" spans="1:32" x14ac:dyDescent="0.25">
      <c r="A34" s="10"/>
      <c r="B34" s="188"/>
      <c r="C34" s="10"/>
      <c r="D34" s="195"/>
      <c r="E34" s="39"/>
      <c r="F34" s="39"/>
      <c r="G34" s="39"/>
      <c r="H34" s="227"/>
      <c r="I34" s="39"/>
      <c r="J34" s="39"/>
      <c r="K34" s="39"/>
      <c r="L34" s="39"/>
      <c r="N34" s="4"/>
      <c r="O34" s="81">
        <v>1.01</v>
      </c>
      <c r="P34" s="81">
        <f t="shared" si="0"/>
        <v>40.814099999999996</v>
      </c>
    </row>
    <row r="35" spans="1:32" x14ac:dyDescent="0.25">
      <c r="A35" s="10"/>
      <c r="B35" s="188"/>
      <c r="C35" s="10"/>
      <c r="D35" s="195"/>
      <c r="E35" s="39"/>
      <c r="F35" s="39"/>
      <c r="G35" s="39"/>
      <c r="H35" s="227"/>
      <c r="I35" s="39"/>
      <c r="J35" s="39"/>
      <c r="K35" s="39"/>
      <c r="L35" s="39"/>
      <c r="N35" s="4"/>
      <c r="O35" s="81">
        <v>1</v>
      </c>
      <c r="P35" s="81">
        <f t="shared" si="0"/>
        <v>40.409999999999997</v>
      </c>
    </row>
    <row r="36" spans="1:32" x14ac:dyDescent="0.25">
      <c r="A36" s="10"/>
      <c r="B36" s="188"/>
      <c r="C36" s="10"/>
      <c r="D36" s="195"/>
      <c r="E36" s="39"/>
      <c r="F36" s="39"/>
      <c r="G36" s="39"/>
      <c r="H36" s="227"/>
      <c r="I36" s="39"/>
      <c r="J36" s="39"/>
      <c r="K36" s="39"/>
      <c r="L36" s="39"/>
      <c r="N36" s="4"/>
      <c r="O36" s="81">
        <v>0.99</v>
      </c>
      <c r="P36" s="81">
        <f t="shared" si="0"/>
        <v>40.005899999999997</v>
      </c>
      <c r="AC36" s="229"/>
    </row>
    <row r="37" spans="1:32" x14ac:dyDescent="0.25">
      <c r="A37" s="10"/>
      <c r="B37" s="188"/>
      <c r="C37" s="10"/>
      <c r="D37" s="195"/>
      <c r="E37" s="39"/>
      <c r="F37" s="39"/>
      <c r="G37" s="39"/>
      <c r="H37" s="227"/>
      <c r="I37" s="39"/>
      <c r="J37" s="39"/>
      <c r="K37" s="39"/>
      <c r="L37" s="39"/>
      <c r="N37" s="4"/>
      <c r="O37" s="81">
        <v>0.98</v>
      </c>
      <c r="P37" s="81">
        <f t="shared" si="0"/>
        <v>39.601799999999997</v>
      </c>
    </row>
    <row r="38" spans="1:32" x14ac:dyDescent="0.25">
      <c r="A38" s="10"/>
      <c r="B38" s="188"/>
      <c r="C38" s="10"/>
      <c r="D38" s="195"/>
      <c r="E38" s="39"/>
      <c r="F38" s="39"/>
      <c r="G38" s="39"/>
      <c r="H38" s="227"/>
      <c r="I38" s="39"/>
      <c r="J38" s="39"/>
      <c r="K38" s="39"/>
      <c r="L38" s="39"/>
      <c r="N38" s="4"/>
      <c r="O38" s="81">
        <v>0.97</v>
      </c>
      <c r="P38" s="81">
        <f t="shared" si="0"/>
        <v>39.197699999999998</v>
      </c>
    </row>
    <row r="39" spans="1:32" x14ac:dyDescent="0.25">
      <c r="A39" s="10"/>
      <c r="B39" s="188"/>
      <c r="C39" s="10"/>
      <c r="D39" s="195"/>
      <c r="E39" s="39"/>
      <c r="F39" s="39"/>
      <c r="G39" s="39"/>
      <c r="H39" s="227"/>
      <c r="I39" s="39"/>
      <c r="J39" s="39"/>
      <c r="K39" s="39"/>
      <c r="L39" s="39"/>
      <c r="N39" s="4"/>
      <c r="O39" s="81">
        <v>0.96</v>
      </c>
      <c r="P39" s="81">
        <f t="shared" si="0"/>
        <v>38.793599999999998</v>
      </c>
    </row>
    <row r="40" spans="1:32" x14ac:dyDescent="0.25">
      <c r="A40" s="10"/>
      <c r="B40" s="188"/>
      <c r="C40" s="10"/>
      <c r="D40" s="195"/>
      <c r="E40" s="39"/>
      <c r="F40" s="39"/>
      <c r="G40" s="39"/>
      <c r="H40" s="227"/>
      <c r="I40" s="39"/>
      <c r="J40" s="39"/>
      <c r="K40" s="39"/>
      <c r="L40" s="39"/>
      <c r="N40" s="4"/>
      <c r="O40" s="81">
        <v>0.95</v>
      </c>
      <c r="P40" s="81">
        <f t="shared" si="0"/>
        <v>38.389499999999998</v>
      </c>
    </row>
    <row r="41" spans="1:32" x14ac:dyDescent="0.25">
      <c r="A41" s="10"/>
      <c r="B41" s="188"/>
      <c r="C41" s="10"/>
      <c r="D41" s="195"/>
      <c r="E41" s="39"/>
      <c r="F41" s="39"/>
      <c r="G41" s="39"/>
      <c r="H41" s="227"/>
      <c r="I41" s="39"/>
      <c r="J41" s="39"/>
      <c r="K41" s="39"/>
      <c r="L41" s="39"/>
      <c r="N41" s="4"/>
      <c r="O41" s="81">
        <v>0.94</v>
      </c>
      <c r="P41" s="81">
        <f t="shared" si="0"/>
        <v>37.985399999999991</v>
      </c>
    </row>
    <row r="42" spans="1:32" x14ac:dyDescent="0.25">
      <c r="A42" s="10"/>
      <c r="B42" s="188"/>
      <c r="C42" s="10"/>
      <c r="D42" s="195"/>
      <c r="E42" s="39"/>
      <c r="F42" s="39"/>
      <c r="G42" s="39"/>
      <c r="H42" s="227"/>
      <c r="I42" s="39"/>
      <c r="J42" s="39"/>
      <c r="K42" s="39"/>
      <c r="L42" s="39"/>
      <c r="N42" s="4"/>
      <c r="O42" s="81">
        <v>0.93</v>
      </c>
      <c r="P42" s="81">
        <f t="shared" si="0"/>
        <v>37.581299999999999</v>
      </c>
      <c r="AC42" s="229"/>
      <c r="AF42" s="229"/>
    </row>
    <row r="43" spans="1:32" x14ac:dyDescent="0.25">
      <c r="A43" s="10"/>
      <c r="B43" s="188"/>
      <c r="C43" s="10"/>
      <c r="D43" s="195"/>
      <c r="E43" s="39"/>
      <c r="F43" s="39"/>
      <c r="G43" s="39"/>
      <c r="H43" s="227"/>
      <c r="I43" s="39"/>
      <c r="J43" s="39"/>
      <c r="K43" s="39"/>
      <c r="L43" s="39"/>
      <c r="N43" s="4"/>
      <c r="O43" s="81">
        <v>0.92</v>
      </c>
      <c r="P43" s="81">
        <f t="shared" si="0"/>
        <v>37.177199999999999</v>
      </c>
    </row>
    <row r="44" spans="1:32" x14ac:dyDescent="0.25">
      <c r="N44" s="4"/>
      <c r="O44" s="81">
        <v>0.91</v>
      </c>
      <c r="P44" s="81">
        <f t="shared" si="0"/>
        <v>36.773099999999999</v>
      </c>
    </row>
    <row r="45" spans="1:32" x14ac:dyDescent="0.25">
      <c r="B45" s="489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36.369</v>
      </c>
    </row>
    <row r="46" spans="1:32" x14ac:dyDescent="0.25">
      <c r="B46" s="186" t="s">
        <v>113</v>
      </c>
      <c r="C46" s="186" t="s">
        <v>146</v>
      </c>
      <c r="D46" s="187" t="s">
        <v>145</v>
      </c>
      <c r="E46" s="189" t="s">
        <v>147</v>
      </c>
      <c r="F46" s="190" t="s">
        <v>65</v>
      </c>
      <c r="G46" s="224" t="s">
        <v>151</v>
      </c>
      <c r="H46" s="190" t="s">
        <v>88</v>
      </c>
      <c r="I46" s="224" t="s">
        <v>154</v>
      </c>
      <c r="J46" s="224" t="s">
        <v>294</v>
      </c>
      <c r="N46" s="4"/>
      <c r="S46" s="4"/>
      <c r="T46" s="4"/>
      <c r="U46" s="107"/>
    </row>
    <row r="47" spans="1:32" x14ac:dyDescent="0.25">
      <c r="B47" s="537">
        <v>42304</v>
      </c>
      <c r="C47" s="541">
        <v>5100</v>
      </c>
      <c r="D47" s="588">
        <v>17.29</v>
      </c>
      <c r="E47" s="542">
        <v>16.68</v>
      </c>
      <c r="F47" s="542">
        <f t="shared" ref="F47:F84" si="1">-C47*(D47-E47)</f>
        <v>-3110.9999999999973</v>
      </c>
      <c r="G47" s="542">
        <f t="shared" ref="G47:G56" si="2">IF(C47=0, 0,D47*C47)</f>
        <v>88179</v>
      </c>
      <c r="H47" s="589">
        <f t="shared" ref="H47:H61" si="3">IF(C47=0, D47, (E47-D47)/D47)</f>
        <v>-3.5280508964719459E-2</v>
      </c>
      <c r="I47" s="542"/>
      <c r="J47" s="542"/>
      <c r="N47" s="4"/>
      <c r="S47" s="4"/>
      <c r="T47" s="4"/>
      <c r="U47" s="107"/>
    </row>
    <row r="48" spans="1:32" x14ac:dyDescent="0.25">
      <c r="B48" s="537">
        <v>42305</v>
      </c>
      <c r="C48" s="541">
        <v>4900</v>
      </c>
      <c r="D48" s="588">
        <v>17.29</v>
      </c>
      <c r="E48" s="542">
        <v>16.920000000000002</v>
      </c>
      <c r="F48" s="542">
        <f t="shared" si="1"/>
        <v>-1812.9999999999875</v>
      </c>
      <c r="G48" s="542">
        <f t="shared" si="2"/>
        <v>84721</v>
      </c>
      <c r="H48" s="589">
        <f t="shared" si="3"/>
        <v>-2.1399652978600199E-2</v>
      </c>
      <c r="I48" s="542"/>
      <c r="J48" s="542"/>
      <c r="N48" s="4"/>
      <c r="S48" s="421"/>
      <c r="T48" s="421"/>
      <c r="U48" s="422"/>
    </row>
    <row r="49" spans="2:32" x14ac:dyDescent="0.25">
      <c r="B49" s="537">
        <v>42306</v>
      </c>
      <c r="C49" s="541">
        <v>5100</v>
      </c>
      <c r="D49" s="588">
        <v>17.25</v>
      </c>
      <c r="E49" s="542">
        <v>16.21</v>
      </c>
      <c r="F49" s="542">
        <f t="shared" si="1"/>
        <v>-5303.9999999999955</v>
      </c>
      <c r="G49" s="542">
        <f t="shared" si="2"/>
        <v>87975</v>
      </c>
      <c r="H49" s="589">
        <f t="shared" si="3"/>
        <v>-6.0289855072463719E-2</v>
      </c>
      <c r="I49" s="542"/>
      <c r="J49" s="542"/>
      <c r="N49" s="4"/>
      <c r="S49" s="4"/>
      <c r="T49" s="4"/>
      <c r="U49" s="228"/>
    </row>
    <row r="50" spans="2:32" x14ac:dyDescent="0.25">
      <c r="B50" s="537">
        <v>42311</v>
      </c>
      <c r="C50" s="541">
        <v>2710</v>
      </c>
      <c r="D50" s="588">
        <v>16.989999999999998</v>
      </c>
      <c r="E50" s="542">
        <v>17.84</v>
      </c>
      <c r="F50" s="542">
        <f t="shared" si="1"/>
        <v>2303.5000000000036</v>
      </c>
      <c r="G50" s="542">
        <f t="shared" si="2"/>
        <v>46042.899999999994</v>
      </c>
      <c r="H50" s="589">
        <f t="shared" si="3"/>
        <v>5.0029429075927105E-2</v>
      </c>
      <c r="I50" s="542"/>
      <c r="J50" s="542"/>
      <c r="N50" s="4"/>
      <c r="S50" s="4"/>
      <c r="T50" s="4"/>
      <c r="U50" s="228"/>
      <c r="AC50" s="229"/>
      <c r="AF50" s="229"/>
    </row>
    <row r="51" spans="2:32" x14ac:dyDescent="0.25">
      <c r="B51" s="537">
        <v>42312</v>
      </c>
      <c r="C51" s="541">
        <v>2902</v>
      </c>
      <c r="D51" s="588">
        <v>16.989999999999998</v>
      </c>
      <c r="E51" s="542">
        <v>17.440000000000001</v>
      </c>
      <c r="F51" s="542">
        <f t="shared" si="1"/>
        <v>1305.9000000000083</v>
      </c>
      <c r="G51" s="542">
        <f t="shared" si="2"/>
        <v>49304.979999999996</v>
      </c>
      <c r="H51" s="589">
        <f t="shared" si="3"/>
        <v>2.6486168334314473E-2</v>
      </c>
      <c r="I51" s="542"/>
      <c r="J51" s="542"/>
      <c r="N51" s="4"/>
      <c r="S51" s="4"/>
      <c r="T51" s="4"/>
      <c r="U51" s="228"/>
    </row>
    <row r="52" spans="2:32" x14ac:dyDescent="0.25">
      <c r="B52" s="537">
        <v>42313</v>
      </c>
      <c r="C52" s="541">
        <v>5710</v>
      </c>
      <c r="D52" s="588">
        <v>16.91</v>
      </c>
      <c r="E52" s="542">
        <v>16.510000000000002</v>
      </c>
      <c r="F52" s="542">
        <f t="shared" si="1"/>
        <v>-2283.9999999999918</v>
      </c>
      <c r="G52" s="542">
        <f t="shared" si="2"/>
        <v>96556.1</v>
      </c>
      <c r="H52" s="589">
        <f t="shared" si="3"/>
        <v>-2.3654642223536283E-2</v>
      </c>
      <c r="I52" s="542"/>
      <c r="J52" s="542"/>
      <c r="N52" s="4"/>
      <c r="S52" s="4"/>
      <c r="T52" s="4"/>
      <c r="U52" s="228"/>
    </row>
    <row r="53" spans="2:32" x14ac:dyDescent="0.25">
      <c r="B53" s="537">
        <v>42314</v>
      </c>
      <c r="C53" s="541">
        <v>4710</v>
      </c>
      <c r="D53" s="588">
        <v>16.95</v>
      </c>
      <c r="E53" s="542">
        <v>16.45</v>
      </c>
      <c r="F53" s="542">
        <f t="shared" si="1"/>
        <v>-2355</v>
      </c>
      <c r="G53" s="542">
        <f t="shared" si="2"/>
        <v>79834.5</v>
      </c>
      <c r="H53" s="589">
        <f t="shared" si="3"/>
        <v>-2.9498525073746312E-2</v>
      </c>
      <c r="I53" s="542"/>
      <c r="J53" s="542"/>
      <c r="N53" s="4"/>
      <c r="S53" s="4"/>
      <c r="T53" s="4"/>
      <c r="U53" s="228"/>
    </row>
    <row r="54" spans="2:32" x14ac:dyDescent="0.25">
      <c r="B54" s="537">
        <v>42317</v>
      </c>
      <c r="C54" s="541">
        <v>5060</v>
      </c>
      <c r="D54" s="588">
        <v>16.87</v>
      </c>
      <c r="E54" s="542">
        <v>15.84</v>
      </c>
      <c r="F54" s="542">
        <f t="shared" si="1"/>
        <v>-5211.8000000000056</v>
      </c>
      <c r="G54" s="542">
        <f t="shared" si="2"/>
        <v>85362.200000000012</v>
      </c>
      <c r="H54" s="589">
        <f t="shared" si="3"/>
        <v>-6.1055127445169E-2</v>
      </c>
      <c r="I54" s="542"/>
      <c r="J54" s="542"/>
      <c r="N54" s="4"/>
      <c r="S54" s="4"/>
      <c r="T54" s="4"/>
      <c r="U54" s="423"/>
      <c r="AC54" s="229"/>
      <c r="AF54" s="229"/>
    </row>
    <row r="55" spans="2:32" x14ac:dyDescent="0.25">
      <c r="B55" s="537">
        <v>42324</v>
      </c>
      <c r="C55" s="541">
        <v>6000</v>
      </c>
      <c r="D55" s="588">
        <v>16.54</v>
      </c>
      <c r="E55" s="542">
        <v>14.89</v>
      </c>
      <c r="F55" s="542">
        <f t="shared" si="1"/>
        <v>-9899.9999999999909</v>
      </c>
      <c r="G55" s="542">
        <f t="shared" si="2"/>
        <v>99240</v>
      </c>
      <c r="H55" s="589">
        <f t="shared" si="3"/>
        <v>-9.9758162031438849E-2</v>
      </c>
      <c r="I55" s="542"/>
      <c r="J55" s="542"/>
      <c r="N55" s="4"/>
      <c r="S55" s="4"/>
      <c r="T55" s="4"/>
      <c r="U55" s="107"/>
    </row>
    <row r="56" spans="2:32" x14ac:dyDescent="0.25">
      <c r="B56" s="537">
        <v>42325</v>
      </c>
      <c r="C56" s="541">
        <v>5060</v>
      </c>
      <c r="D56" s="588">
        <v>16.73</v>
      </c>
      <c r="E56" s="542">
        <v>15.28</v>
      </c>
      <c r="F56" s="542">
        <f t="shared" si="1"/>
        <v>-7337.0000000000055</v>
      </c>
      <c r="G56" s="542">
        <f t="shared" si="2"/>
        <v>84653.8</v>
      </c>
      <c r="H56" s="589">
        <f t="shared" si="3"/>
        <v>-8.6670651524208067E-2</v>
      </c>
      <c r="I56" s="542"/>
      <c r="J56" s="542"/>
      <c r="N56" s="4"/>
      <c r="S56" s="4"/>
      <c r="T56" s="4"/>
      <c r="U56" s="107"/>
    </row>
    <row r="57" spans="2:32" x14ac:dyDescent="0.25">
      <c r="B57" s="537">
        <v>42328</v>
      </c>
      <c r="C57" s="541">
        <v>6000</v>
      </c>
      <c r="D57" s="588">
        <v>16.52</v>
      </c>
      <c r="E57" s="542">
        <v>15.39</v>
      </c>
      <c r="F57" s="542">
        <f t="shared" si="1"/>
        <v>-6779.9999999999936</v>
      </c>
      <c r="G57" s="542">
        <f t="shared" ref="G57:G84" si="4">IF(C57=0, 0,D57*C57)</f>
        <v>99120</v>
      </c>
      <c r="H57" s="589">
        <f t="shared" si="3"/>
        <v>-6.8401937046004779E-2</v>
      </c>
      <c r="I57" s="542"/>
      <c r="J57" s="542"/>
      <c r="N57" s="4"/>
      <c r="S57" s="421"/>
      <c r="T57" s="421"/>
      <c r="U57" s="422"/>
    </row>
    <row r="58" spans="2:32" x14ac:dyDescent="0.25">
      <c r="B58" s="537">
        <v>42331</v>
      </c>
      <c r="C58" s="541">
        <v>5060</v>
      </c>
      <c r="D58" s="588">
        <v>16.68</v>
      </c>
      <c r="E58" s="542">
        <v>15.32</v>
      </c>
      <c r="F58" s="542">
        <f t="shared" si="1"/>
        <v>-6881.5999999999967</v>
      </c>
      <c r="G58" s="542">
        <f t="shared" si="4"/>
        <v>84400.8</v>
      </c>
      <c r="H58" s="589">
        <f t="shared" si="3"/>
        <v>-8.1534772182254162E-2</v>
      </c>
      <c r="I58" s="542"/>
      <c r="J58" s="542"/>
      <c r="N58" s="4"/>
      <c r="S58" s="4"/>
      <c r="T58" s="4"/>
      <c r="U58" s="228"/>
      <c r="AC58" s="229"/>
      <c r="AF58" s="229"/>
    </row>
    <row r="59" spans="2:32" x14ac:dyDescent="0.25">
      <c r="B59" s="537">
        <v>42338</v>
      </c>
      <c r="C59" s="541">
        <v>4710</v>
      </c>
      <c r="D59" s="588">
        <v>16.73</v>
      </c>
      <c r="E59" s="542">
        <v>15.93</v>
      </c>
      <c r="F59" s="542">
        <f t="shared" si="1"/>
        <v>-3768.0000000000032</v>
      </c>
      <c r="G59" s="542">
        <f t="shared" si="4"/>
        <v>78798.3</v>
      </c>
      <c r="H59" s="589">
        <f t="shared" si="3"/>
        <v>-4.7818290496114808E-2</v>
      </c>
      <c r="I59" s="542"/>
      <c r="J59" s="542"/>
      <c r="N59" s="4"/>
      <c r="S59" s="4"/>
      <c r="T59" s="4"/>
      <c r="U59" s="228"/>
    </row>
    <row r="60" spans="2:32" x14ac:dyDescent="0.25">
      <c r="B60" s="537">
        <v>42340</v>
      </c>
      <c r="C60" s="541">
        <v>5060</v>
      </c>
      <c r="D60" s="588">
        <v>16.670000000000002</v>
      </c>
      <c r="E60" s="542">
        <v>15.82</v>
      </c>
      <c r="F60" s="542">
        <f t="shared" si="1"/>
        <v>-4301.0000000000073</v>
      </c>
      <c r="G60" s="542">
        <f t="shared" si="4"/>
        <v>84350.200000000012</v>
      </c>
      <c r="H60" s="589">
        <f t="shared" si="3"/>
        <v>-5.0989802039592164E-2</v>
      </c>
      <c r="I60" s="542"/>
      <c r="J60" s="542"/>
      <c r="N60" s="4"/>
      <c r="S60" s="4"/>
      <c r="T60" s="4"/>
      <c r="U60" s="423"/>
    </row>
    <row r="61" spans="2:32" x14ac:dyDescent="0.25">
      <c r="B61" s="537">
        <v>42341</v>
      </c>
      <c r="C61" s="541">
        <v>5060</v>
      </c>
      <c r="D61" s="588">
        <v>16.64</v>
      </c>
      <c r="E61" s="542">
        <v>15.61</v>
      </c>
      <c r="F61" s="542">
        <f t="shared" si="1"/>
        <v>-5211.8000000000056</v>
      </c>
      <c r="G61" s="542">
        <f t="shared" si="4"/>
        <v>84198.400000000009</v>
      </c>
      <c r="H61" s="589">
        <f t="shared" si="3"/>
        <v>-6.1899038461538526E-2</v>
      </c>
      <c r="I61" s="542"/>
      <c r="J61" s="542"/>
      <c r="N61" s="4"/>
      <c r="S61" s="4"/>
      <c r="T61" s="4"/>
      <c r="U61" s="107"/>
    </row>
    <row r="62" spans="2:32" x14ac:dyDescent="0.25">
      <c r="B62" s="537">
        <v>42347</v>
      </c>
      <c r="C62" s="541">
        <v>5260</v>
      </c>
      <c r="D62" s="588">
        <v>16.559999999999999</v>
      </c>
      <c r="E62" s="542">
        <v>14.32</v>
      </c>
      <c r="F62" s="542">
        <f t="shared" si="1"/>
        <v>-11782.399999999992</v>
      </c>
      <c r="G62" s="542">
        <f t="shared" si="4"/>
        <v>87105.599999999991</v>
      </c>
      <c r="H62" s="589">
        <f t="shared" ref="H62:H84" si="5">IF(C62=0, D62, (E62-D62)/D62)</f>
        <v>-0.13526570048309169</v>
      </c>
      <c r="I62" s="542"/>
      <c r="J62" s="542"/>
      <c r="N62" s="4"/>
      <c r="S62" s="4"/>
      <c r="T62" s="4"/>
      <c r="U62" s="107"/>
    </row>
    <row r="63" spans="2:32" x14ac:dyDescent="0.25">
      <c r="B63" s="537">
        <v>42348</v>
      </c>
      <c r="C63" s="541">
        <v>5060</v>
      </c>
      <c r="D63" s="588">
        <v>16.63</v>
      </c>
      <c r="E63" s="542">
        <v>14.66</v>
      </c>
      <c r="F63" s="542">
        <f t="shared" si="1"/>
        <v>-9968.1999999999935</v>
      </c>
      <c r="G63" s="542">
        <f t="shared" si="4"/>
        <v>84147.799999999988</v>
      </c>
      <c r="H63" s="589">
        <f t="shared" si="5"/>
        <v>-0.11846061334936855</v>
      </c>
      <c r="I63" s="542"/>
      <c r="J63" s="542"/>
      <c r="N63" s="4"/>
      <c r="S63" s="4"/>
      <c r="T63" s="4"/>
      <c r="U63" s="107"/>
    </row>
    <row r="64" spans="2:32" x14ac:dyDescent="0.25">
      <c r="B64" s="537">
        <v>42349</v>
      </c>
      <c r="C64" s="541">
        <v>5060</v>
      </c>
      <c r="D64" s="588">
        <v>16.62</v>
      </c>
      <c r="E64" s="542">
        <v>14.04</v>
      </c>
      <c r="F64" s="542">
        <f t="shared" si="1"/>
        <v>-13054.80000000001</v>
      </c>
      <c r="G64" s="542">
        <f t="shared" si="4"/>
        <v>84097.200000000012</v>
      </c>
      <c r="H64" s="589">
        <f t="shared" si="5"/>
        <v>-0.15523465703971129</v>
      </c>
      <c r="I64" s="542"/>
      <c r="J64" s="542"/>
      <c r="N64" s="4"/>
    </row>
    <row r="65" spans="2:18" x14ac:dyDescent="0.25">
      <c r="B65" s="537">
        <v>42349</v>
      </c>
      <c r="C65" s="541">
        <v>6000</v>
      </c>
      <c r="D65" s="588">
        <v>16.22</v>
      </c>
      <c r="E65" s="542">
        <v>14.04</v>
      </c>
      <c r="F65" s="542">
        <f t="shared" si="1"/>
        <v>-13079.999999999998</v>
      </c>
      <c r="G65" s="542">
        <f t="shared" si="4"/>
        <v>97320</v>
      </c>
      <c r="H65" s="589">
        <f t="shared" si="5"/>
        <v>-0.13440197287299629</v>
      </c>
      <c r="I65" s="542"/>
      <c r="J65" s="542"/>
      <c r="N65" s="4"/>
    </row>
    <row r="66" spans="2:18" x14ac:dyDescent="0.25">
      <c r="B66" s="537">
        <v>42349</v>
      </c>
      <c r="C66" s="541">
        <v>6200</v>
      </c>
      <c r="D66" s="588">
        <v>16.14</v>
      </c>
      <c r="E66" s="542">
        <v>14.04</v>
      </c>
      <c r="F66" s="542">
        <f t="shared" si="1"/>
        <v>-13020.000000000009</v>
      </c>
      <c r="G66" s="542">
        <f t="shared" si="4"/>
        <v>100068</v>
      </c>
      <c r="H66" s="589">
        <f t="shared" si="5"/>
        <v>-0.13011152416356886</v>
      </c>
      <c r="I66" s="542"/>
      <c r="J66" s="542"/>
      <c r="N66" s="4"/>
    </row>
    <row r="67" spans="2:18" x14ac:dyDescent="0.25">
      <c r="B67" s="537">
        <v>42349</v>
      </c>
      <c r="C67" s="541">
        <v>5721</v>
      </c>
      <c r="D67" s="588">
        <v>16.32</v>
      </c>
      <c r="E67" s="542">
        <v>14.04</v>
      </c>
      <c r="F67" s="542">
        <f t="shared" si="1"/>
        <v>-13043.880000000006</v>
      </c>
      <c r="G67" s="542">
        <f t="shared" si="4"/>
        <v>93366.720000000001</v>
      </c>
      <c r="H67" s="589">
        <f t="shared" si="5"/>
        <v>-0.13970588235294124</v>
      </c>
      <c r="I67" s="542"/>
      <c r="J67" s="542"/>
      <c r="N67" s="4"/>
      <c r="O67" s="4"/>
      <c r="P67" s="4"/>
      <c r="Q67" s="4"/>
      <c r="R67" s="4"/>
    </row>
    <row r="68" spans="2:18" x14ac:dyDescent="0.25">
      <c r="B68" s="537">
        <v>42349</v>
      </c>
      <c r="C68" s="541">
        <v>5060</v>
      </c>
      <c r="D68" s="588">
        <v>16.6143</v>
      </c>
      <c r="E68" s="542">
        <v>14.04</v>
      </c>
      <c r="F68" s="542">
        <f t="shared" si="1"/>
        <v>-13025.958000000004</v>
      </c>
      <c r="G68" s="542">
        <f t="shared" si="4"/>
        <v>84068.358000000007</v>
      </c>
      <c r="H68" s="589">
        <f t="shared" si="5"/>
        <v>-0.15494483667683867</v>
      </c>
      <c r="I68" s="542"/>
      <c r="J68" s="542"/>
      <c r="O68" s="421"/>
      <c r="P68" s="4"/>
      <c r="Q68" s="4"/>
      <c r="R68" s="4"/>
    </row>
    <row r="69" spans="2:18" x14ac:dyDescent="0.25">
      <c r="B69" s="537">
        <v>42356</v>
      </c>
      <c r="C69" s="541">
        <v>5060</v>
      </c>
      <c r="D69" s="588">
        <v>16.596900000000002</v>
      </c>
      <c r="E69" s="542">
        <v>14.32</v>
      </c>
      <c r="F69" s="542">
        <f t="shared" si="1"/>
        <v>-11521.114000000007</v>
      </c>
      <c r="G69" s="542">
        <f t="shared" si="4"/>
        <v>83980.314000000013</v>
      </c>
      <c r="H69" s="589">
        <f t="shared" si="5"/>
        <v>-0.13718827009863294</v>
      </c>
      <c r="I69" s="542"/>
      <c r="J69" s="542"/>
      <c r="Q69" s="421"/>
      <c r="R69" s="421"/>
    </row>
    <row r="70" spans="2:18" x14ac:dyDescent="0.25">
      <c r="B70" s="537">
        <v>42356</v>
      </c>
      <c r="C70" s="541">
        <v>7000</v>
      </c>
      <c r="D70" s="588">
        <v>15.97</v>
      </c>
      <c r="E70" s="542">
        <v>14.34</v>
      </c>
      <c r="F70" s="542">
        <f t="shared" si="1"/>
        <v>-11410.000000000005</v>
      </c>
      <c r="G70" s="542">
        <f t="shared" si="4"/>
        <v>111790</v>
      </c>
      <c r="H70" s="589">
        <f t="shared" si="5"/>
        <v>-0.10206637445209772</v>
      </c>
      <c r="I70" s="542"/>
      <c r="J70" s="542"/>
      <c r="Q70" s="4"/>
      <c r="R70" s="4"/>
    </row>
    <row r="71" spans="2:18" x14ac:dyDescent="0.25">
      <c r="B71" s="537">
        <v>42356</v>
      </c>
      <c r="C71" s="541">
        <v>6000</v>
      </c>
      <c r="D71" s="588">
        <v>16.23</v>
      </c>
      <c r="E71" s="542">
        <v>14.36</v>
      </c>
      <c r="F71" s="542">
        <f t="shared" si="1"/>
        <v>-11220.000000000005</v>
      </c>
      <c r="G71" s="542">
        <f t="shared" si="4"/>
        <v>97380</v>
      </c>
      <c r="H71" s="589">
        <f t="shared" si="5"/>
        <v>-0.11521873074553302</v>
      </c>
      <c r="I71" s="542"/>
      <c r="J71" s="542"/>
      <c r="Q71" s="4"/>
      <c r="R71" s="4"/>
    </row>
    <row r="72" spans="2:18" x14ac:dyDescent="0.25">
      <c r="B72" s="537">
        <v>42357</v>
      </c>
      <c r="C72" s="541">
        <v>5500</v>
      </c>
      <c r="D72" s="588">
        <v>16.398399999999999</v>
      </c>
      <c r="E72" s="542">
        <v>14.36</v>
      </c>
      <c r="F72" s="542">
        <f t="shared" si="1"/>
        <v>-11211.199999999997</v>
      </c>
      <c r="G72" s="542">
        <f t="shared" si="4"/>
        <v>90191.2</v>
      </c>
      <c r="H72" s="589">
        <f t="shared" si="5"/>
        <v>-0.12430481022538781</v>
      </c>
      <c r="I72" s="542"/>
      <c r="J72" s="542"/>
      <c r="Q72" s="4"/>
      <c r="R72" s="4"/>
    </row>
    <row r="73" spans="2:18" x14ac:dyDescent="0.25">
      <c r="B73" s="537">
        <v>42359</v>
      </c>
      <c r="C73" s="541">
        <v>5060</v>
      </c>
      <c r="D73" s="588">
        <v>16.55</v>
      </c>
      <c r="E73" s="542">
        <v>14.64</v>
      </c>
      <c r="F73" s="542">
        <f t="shared" si="1"/>
        <v>-9664.6</v>
      </c>
      <c r="G73" s="542">
        <f t="shared" si="4"/>
        <v>83743</v>
      </c>
      <c r="H73" s="589">
        <f t="shared" si="5"/>
        <v>-0.11540785498489427</v>
      </c>
      <c r="I73" s="542"/>
      <c r="J73" s="542"/>
      <c r="Q73" s="4"/>
      <c r="R73" s="4"/>
    </row>
    <row r="74" spans="2:18" x14ac:dyDescent="0.25">
      <c r="B74" s="537">
        <v>42361</v>
      </c>
      <c r="C74" s="541">
        <v>5060</v>
      </c>
      <c r="D74" s="588">
        <v>16.5456</v>
      </c>
      <c r="E74" s="542">
        <v>14.61</v>
      </c>
      <c r="F74" s="542">
        <f t="shared" si="1"/>
        <v>-9794.1360000000041</v>
      </c>
      <c r="G74" s="542">
        <f t="shared" si="4"/>
        <v>83720.736000000004</v>
      </c>
      <c r="H74" s="589">
        <f t="shared" si="5"/>
        <v>-0.11698578474035398</v>
      </c>
      <c r="I74" s="542"/>
      <c r="J74" s="542"/>
      <c r="Q74" s="4"/>
      <c r="R74" s="4"/>
    </row>
    <row r="75" spans="2:18" x14ac:dyDescent="0.25">
      <c r="B75" s="537">
        <v>42377</v>
      </c>
      <c r="C75" s="541">
        <v>5260</v>
      </c>
      <c r="D75" s="588">
        <v>16.424099999999999</v>
      </c>
      <c r="E75" s="542">
        <v>13.33</v>
      </c>
      <c r="F75" s="542">
        <f t="shared" si="1"/>
        <v>-16274.965999999995</v>
      </c>
      <c r="G75" s="542">
        <f t="shared" si="4"/>
        <v>86390.766000000003</v>
      </c>
      <c r="H75" s="589">
        <f t="shared" si="5"/>
        <v>-0.18838779598273264</v>
      </c>
      <c r="I75" s="542"/>
      <c r="J75" s="542"/>
      <c r="Q75" s="4"/>
      <c r="R75" s="4"/>
    </row>
    <row r="76" spans="2:18" x14ac:dyDescent="0.25">
      <c r="B76" s="537">
        <v>42398</v>
      </c>
      <c r="C76" s="541">
        <v>5000</v>
      </c>
      <c r="D76" s="588">
        <v>16.72</v>
      </c>
      <c r="E76" s="542">
        <v>10.74</v>
      </c>
      <c r="F76" s="542">
        <f t="shared" si="1"/>
        <v>-29899.999999999993</v>
      </c>
      <c r="G76" s="542">
        <f t="shared" si="4"/>
        <v>83600</v>
      </c>
      <c r="H76" s="589">
        <f t="shared" si="5"/>
        <v>-0.35765550239234445</v>
      </c>
      <c r="I76" s="542"/>
      <c r="J76" s="542"/>
      <c r="Q76" s="4"/>
      <c r="R76" s="4"/>
    </row>
    <row r="77" spans="2:18" x14ac:dyDescent="0.25">
      <c r="B77" s="537">
        <v>42401</v>
      </c>
      <c r="C77" s="541">
        <v>5260</v>
      </c>
      <c r="D77" s="588">
        <v>16.419699999999999</v>
      </c>
      <c r="E77" s="542">
        <v>10.96</v>
      </c>
      <c r="F77" s="542">
        <f t="shared" si="1"/>
        <v>-28718.02199999999</v>
      </c>
      <c r="G77" s="542">
        <f t="shared" si="4"/>
        <v>86367.621999999988</v>
      </c>
      <c r="H77" s="589">
        <f t="shared" si="5"/>
        <v>-0.33250912014226802</v>
      </c>
      <c r="I77" s="542"/>
      <c r="J77" s="542"/>
      <c r="Q77" s="4"/>
      <c r="R77" s="4"/>
    </row>
    <row r="78" spans="2:18" x14ac:dyDescent="0.25">
      <c r="B78" s="537">
        <v>42416</v>
      </c>
      <c r="C78" s="541">
        <v>4760</v>
      </c>
      <c r="D78" s="588">
        <v>17.02</v>
      </c>
      <c r="E78" s="542">
        <v>10.65</v>
      </c>
      <c r="F78" s="542">
        <f t="shared" si="1"/>
        <v>-30321.199999999997</v>
      </c>
      <c r="G78" s="542">
        <f t="shared" si="4"/>
        <v>81015.199999999997</v>
      </c>
      <c r="H78" s="589">
        <f t="shared" si="5"/>
        <v>-0.37426556991774379</v>
      </c>
      <c r="I78" s="542"/>
      <c r="J78" s="542"/>
      <c r="Q78" s="421"/>
      <c r="R78" s="421"/>
    </row>
    <row r="79" spans="2:18" x14ac:dyDescent="0.25">
      <c r="B79" s="537">
        <v>42416</v>
      </c>
      <c r="C79" s="541">
        <v>4000</v>
      </c>
      <c r="D79" s="588">
        <v>18.1967</v>
      </c>
      <c r="E79" s="542">
        <v>10.744999999999999</v>
      </c>
      <c r="F79" s="542">
        <f t="shared" si="1"/>
        <v>-29806.800000000003</v>
      </c>
      <c r="G79" s="542">
        <f t="shared" si="4"/>
        <v>72786.8</v>
      </c>
      <c r="H79" s="589">
        <f t="shared" si="5"/>
        <v>-0.40950831744217364</v>
      </c>
      <c r="I79" s="542"/>
      <c r="J79" s="542"/>
      <c r="Q79" s="4"/>
      <c r="R79" s="4"/>
    </row>
    <row r="80" spans="2:18" x14ac:dyDescent="0.25">
      <c r="B80" s="537">
        <v>42418</v>
      </c>
      <c r="C80" s="541">
        <v>3600</v>
      </c>
      <c r="D80" s="588">
        <v>18.931999999999999</v>
      </c>
      <c r="E80" s="542">
        <v>10.81</v>
      </c>
      <c r="F80" s="542">
        <f t="shared" si="1"/>
        <v>-29239.199999999993</v>
      </c>
      <c r="G80" s="542">
        <f t="shared" si="4"/>
        <v>68155.199999999997</v>
      </c>
      <c r="H80" s="589">
        <f t="shared" si="5"/>
        <v>-0.42900908514684127</v>
      </c>
      <c r="I80" s="542"/>
      <c r="J80" s="542"/>
      <c r="Q80" s="4"/>
      <c r="R80" s="4"/>
    </row>
    <row r="81" spans="2:18" x14ac:dyDescent="0.25">
      <c r="B81" s="537">
        <v>42423</v>
      </c>
      <c r="C81" s="541">
        <v>5260</v>
      </c>
      <c r="D81" s="588">
        <v>16.356200000000001</v>
      </c>
      <c r="E81" s="542">
        <v>10.49</v>
      </c>
      <c r="F81" s="542">
        <f t="shared" si="1"/>
        <v>-30856.212000000007</v>
      </c>
      <c r="G81" s="542">
        <f t="shared" si="4"/>
        <v>86033.612000000008</v>
      </c>
      <c r="H81" s="589">
        <f t="shared" si="5"/>
        <v>-0.35865298785781541</v>
      </c>
      <c r="I81" s="542"/>
      <c r="J81" s="542"/>
      <c r="Q81" s="4"/>
      <c r="R81" s="4"/>
    </row>
    <row r="82" spans="2:18" x14ac:dyDescent="0.25">
      <c r="B82" s="537">
        <v>42431</v>
      </c>
      <c r="C82" s="541">
        <v>4760</v>
      </c>
      <c r="D82" s="588">
        <v>16.858899999999998</v>
      </c>
      <c r="E82" s="542">
        <v>11.68</v>
      </c>
      <c r="F82" s="542">
        <f t="shared" si="1"/>
        <v>-24651.563999999995</v>
      </c>
      <c r="G82" s="542">
        <f t="shared" si="4"/>
        <v>80248.363999999987</v>
      </c>
      <c r="H82" s="589">
        <f t="shared" si="5"/>
        <v>-0.30719086061368173</v>
      </c>
      <c r="I82" s="542"/>
      <c r="J82" s="542"/>
      <c r="Q82" s="4"/>
      <c r="R82" s="4"/>
    </row>
    <row r="83" spans="2:18" x14ac:dyDescent="0.25">
      <c r="B83" s="537">
        <v>42436</v>
      </c>
      <c r="C83" s="541">
        <v>5290</v>
      </c>
      <c r="D83" s="588">
        <v>16.258900000000001</v>
      </c>
      <c r="E83" s="542">
        <v>11.58</v>
      </c>
      <c r="F83" s="542">
        <f t="shared" si="1"/>
        <v>-24751.381000000001</v>
      </c>
      <c r="G83" s="542">
        <f t="shared" si="4"/>
        <v>86009.581000000006</v>
      </c>
      <c r="H83" s="589">
        <f t="shared" si="5"/>
        <v>-0.28777469570512154</v>
      </c>
      <c r="I83" s="542"/>
      <c r="J83" s="542"/>
      <c r="Q83" s="4"/>
      <c r="R83" s="4"/>
    </row>
    <row r="84" spans="2:18" x14ac:dyDescent="0.25">
      <c r="B84" s="537">
        <v>42444</v>
      </c>
      <c r="C84" s="541">
        <v>5290</v>
      </c>
      <c r="D84" s="588">
        <v>16.259</v>
      </c>
      <c r="E84" s="542">
        <v>10.85</v>
      </c>
      <c r="F84" s="542">
        <f t="shared" si="1"/>
        <v>-28613.610000000004</v>
      </c>
      <c r="G84" s="542">
        <f t="shared" si="4"/>
        <v>86010.11</v>
      </c>
      <c r="H84" s="589">
        <f t="shared" si="5"/>
        <v>-0.33267728642597949</v>
      </c>
      <c r="I84" s="542"/>
      <c r="J84" s="542"/>
      <c r="Q84" s="4"/>
      <c r="R84" s="4"/>
    </row>
    <row r="85" spans="2:18" x14ac:dyDescent="0.25">
      <c r="B85" s="537">
        <v>42446</v>
      </c>
      <c r="C85" s="541">
        <v>5295</v>
      </c>
      <c r="D85" s="588">
        <v>16.2348</v>
      </c>
      <c r="E85" s="542">
        <v>10.87</v>
      </c>
      <c r="F85" s="542">
        <f t="shared" ref="F85:F123" si="6">-C85*(D85-E85)</f>
        <v>-28406.616000000002</v>
      </c>
      <c r="G85" s="542">
        <f t="shared" ref="G85:G123" si="7">IF(C85=0, 0,D85*C85)</f>
        <v>85963.266000000003</v>
      </c>
      <c r="H85" s="589">
        <f t="shared" ref="H85:H123" si="8">IF(C85=0, D85, (E85-D85)/D85)</f>
        <v>-0.33045063690344201</v>
      </c>
      <c r="I85" s="542"/>
      <c r="J85" s="542"/>
    </row>
    <row r="86" spans="2:18" x14ac:dyDescent="0.25">
      <c r="B86" s="537">
        <v>42447</v>
      </c>
      <c r="C86" s="541">
        <v>5300</v>
      </c>
      <c r="D86" s="588">
        <v>16.211200000000002</v>
      </c>
      <c r="E86" s="542">
        <v>11.07</v>
      </c>
      <c r="F86" s="542">
        <f t="shared" si="6"/>
        <v>-27248.360000000008</v>
      </c>
      <c r="G86" s="542">
        <f t="shared" si="7"/>
        <v>85919.360000000015</v>
      </c>
      <c r="H86" s="589">
        <f t="shared" si="8"/>
        <v>-0.31713876825898152</v>
      </c>
      <c r="I86" s="542"/>
      <c r="J86" s="542"/>
    </row>
    <row r="87" spans="2:18" x14ac:dyDescent="0.25">
      <c r="B87" s="537">
        <v>42447</v>
      </c>
      <c r="C87" s="541">
        <v>5155</v>
      </c>
      <c r="D87" s="588">
        <v>16.352699999999999</v>
      </c>
      <c r="E87" s="542">
        <v>11.14</v>
      </c>
      <c r="F87" s="542">
        <f t="shared" si="6"/>
        <v>-26871.468499999992</v>
      </c>
      <c r="G87" s="542">
        <f t="shared" si="7"/>
        <v>84298.1685</v>
      </c>
      <c r="H87" s="589">
        <f t="shared" si="8"/>
        <v>-0.31876693145474438</v>
      </c>
      <c r="I87" s="542"/>
      <c r="J87" s="542"/>
    </row>
    <row r="88" spans="2:18" x14ac:dyDescent="0.25">
      <c r="B88" s="537">
        <v>42450</v>
      </c>
      <c r="C88" s="541">
        <v>3955</v>
      </c>
      <c r="D88" s="588">
        <v>17.7959</v>
      </c>
      <c r="E88" s="542">
        <v>11.54</v>
      </c>
      <c r="F88" s="542">
        <f t="shared" si="6"/>
        <v>-24742.084500000001</v>
      </c>
      <c r="G88" s="542">
        <f t="shared" si="7"/>
        <v>70382.784499999994</v>
      </c>
      <c r="H88" s="589">
        <f t="shared" si="8"/>
        <v>-0.3515360279614968</v>
      </c>
      <c r="I88" s="542"/>
      <c r="J88" s="542"/>
      <c r="N88" s="4"/>
    </row>
    <row r="89" spans="2:18" x14ac:dyDescent="0.25">
      <c r="B89" s="537">
        <v>42451</v>
      </c>
      <c r="C89" s="541">
        <v>5260</v>
      </c>
      <c r="D89" s="588">
        <v>16.2089</v>
      </c>
      <c r="E89" s="542">
        <v>11.44</v>
      </c>
      <c r="F89" s="542">
        <f t="shared" si="6"/>
        <v>-25084.414000000001</v>
      </c>
      <c r="G89" s="542">
        <f t="shared" si="7"/>
        <v>85258.813999999998</v>
      </c>
      <c r="H89" s="589">
        <f t="shared" si="8"/>
        <v>-0.29421490662537253</v>
      </c>
      <c r="I89" s="590"/>
      <c r="J89" s="590"/>
    </row>
    <row r="90" spans="2:18" x14ac:dyDescent="0.25">
      <c r="B90" s="537">
        <v>42451</v>
      </c>
      <c r="C90" s="541">
        <v>5360</v>
      </c>
      <c r="D90" s="588">
        <v>16.1083</v>
      </c>
      <c r="E90" s="542">
        <v>10.65</v>
      </c>
      <c r="F90" s="542">
        <f t="shared" si="6"/>
        <v>-29256.487999999998</v>
      </c>
      <c r="G90" s="542">
        <f t="shared" si="7"/>
        <v>86340.487999999998</v>
      </c>
      <c r="H90" s="589">
        <f t="shared" si="8"/>
        <v>-0.33885015799308427</v>
      </c>
      <c r="I90" s="590"/>
      <c r="J90" s="590"/>
    </row>
    <row r="91" spans="2:18" x14ac:dyDescent="0.25">
      <c r="B91" s="537">
        <v>42461</v>
      </c>
      <c r="C91" s="541">
        <v>5260</v>
      </c>
      <c r="D91" s="588">
        <v>16.207000000000001</v>
      </c>
      <c r="E91" s="542">
        <v>10.92</v>
      </c>
      <c r="F91" s="542">
        <f t="shared" si="6"/>
        <v>-27809.620000000003</v>
      </c>
      <c r="G91" s="542">
        <f t="shared" si="7"/>
        <v>85248.82</v>
      </c>
      <c r="H91" s="589">
        <f t="shared" si="8"/>
        <v>-0.32621706669957429</v>
      </c>
      <c r="I91" s="542"/>
      <c r="J91" s="542"/>
    </row>
    <row r="92" spans="2:18" x14ac:dyDescent="0.25">
      <c r="B92" s="537">
        <v>42465</v>
      </c>
      <c r="C92" s="541">
        <v>5260</v>
      </c>
      <c r="D92" s="588">
        <v>16.207000000000001</v>
      </c>
      <c r="E92" s="542">
        <v>10.4</v>
      </c>
      <c r="F92" s="542">
        <f t="shared" si="6"/>
        <v>-30544.820000000003</v>
      </c>
      <c r="G92" s="542">
        <f t="shared" si="7"/>
        <v>85248.82</v>
      </c>
      <c r="H92" s="589">
        <f t="shared" si="8"/>
        <v>-0.3583019682853088</v>
      </c>
      <c r="I92" s="542"/>
      <c r="J92" s="542"/>
    </row>
    <row r="93" spans="2:18" x14ac:dyDescent="0.25">
      <c r="B93" s="537">
        <v>42467</v>
      </c>
      <c r="C93" s="541">
        <v>5760</v>
      </c>
      <c r="D93" s="588">
        <v>15.703799999999999</v>
      </c>
      <c r="E93" s="542">
        <v>10.4</v>
      </c>
      <c r="F93" s="542">
        <f t="shared" si="6"/>
        <v>-30549.887999999995</v>
      </c>
      <c r="G93" s="542">
        <f t="shared" si="7"/>
        <v>90453.887999999992</v>
      </c>
      <c r="H93" s="589">
        <f t="shared" si="8"/>
        <v>-0.33773991008545695</v>
      </c>
      <c r="I93" s="542"/>
      <c r="J93" s="542"/>
    </row>
    <row r="94" spans="2:18" x14ac:dyDescent="0.25">
      <c r="B94" s="537">
        <v>42468</v>
      </c>
      <c r="C94" s="541">
        <v>5260</v>
      </c>
      <c r="D94" s="588">
        <v>16.167100000000001</v>
      </c>
      <c r="E94" s="542">
        <v>10.76</v>
      </c>
      <c r="F94" s="542">
        <f t="shared" si="6"/>
        <v>-28441.346000000009</v>
      </c>
      <c r="G94" s="542">
        <f t="shared" si="7"/>
        <v>85038.946000000011</v>
      </c>
      <c r="H94" s="589">
        <f t="shared" si="8"/>
        <v>-0.33445082915303309</v>
      </c>
      <c r="I94" s="590" t="s">
        <v>192</v>
      </c>
      <c r="J94" s="590"/>
    </row>
    <row r="95" spans="2:18" x14ac:dyDescent="0.25">
      <c r="B95" s="537">
        <v>42472</v>
      </c>
      <c r="C95" s="541">
        <v>5860</v>
      </c>
      <c r="D95" s="588">
        <v>15.567399999999999</v>
      </c>
      <c r="E95" s="542">
        <v>10.17</v>
      </c>
      <c r="F95" s="542">
        <f t="shared" si="6"/>
        <v>-31628.763999999996</v>
      </c>
      <c r="G95" s="542">
        <f t="shared" si="7"/>
        <v>91224.963999999993</v>
      </c>
      <c r="H95" s="589">
        <f t="shared" si="8"/>
        <v>-0.34671171807752094</v>
      </c>
      <c r="I95" s="542"/>
      <c r="J95" s="542"/>
    </row>
    <row r="96" spans="2:18" x14ac:dyDescent="0.25">
      <c r="B96" s="537">
        <v>42473</v>
      </c>
      <c r="C96" s="541">
        <v>5260</v>
      </c>
      <c r="D96" s="588">
        <v>16.1158</v>
      </c>
      <c r="E96" s="542">
        <v>10.88</v>
      </c>
      <c r="F96" s="542">
        <f t="shared" si="6"/>
        <v>-27540.307999999997</v>
      </c>
      <c r="G96" s="542">
        <f t="shared" si="7"/>
        <v>84769.108000000007</v>
      </c>
      <c r="H96" s="589">
        <f t="shared" si="8"/>
        <v>-0.32488613658645549</v>
      </c>
      <c r="I96" s="542"/>
      <c r="J96" s="542"/>
    </row>
    <row r="97" spans="2:16" x14ac:dyDescent="0.25">
      <c r="B97" s="537">
        <v>42484</v>
      </c>
      <c r="C97" s="541">
        <v>5260</v>
      </c>
      <c r="D97" s="588">
        <v>16.1158</v>
      </c>
      <c r="E97" s="542">
        <v>10.66</v>
      </c>
      <c r="F97" s="542">
        <f t="shared" si="6"/>
        <v>-28697.508000000002</v>
      </c>
      <c r="G97" s="542">
        <f t="shared" si="7"/>
        <v>84769.108000000007</v>
      </c>
      <c r="H97" s="589">
        <f t="shared" si="8"/>
        <v>-0.33853733603047942</v>
      </c>
      <c r="I97" s="542"/>
      <c r="J97" s="542"/>
    </row>
    <row r="98" spans="2:16" x14ac:dyDescent="0.25">
      <c r="B98" s="537">
        <v>42486</v>
      </c>
      <c r="C98" s="541">
        <v>4260</v>
      </c>
      <c r="D98" s="588">
        <v>17.2287</v>
      </c>
      <c r="E98" s="542">
        <v>11.51</v>
      </c>
      <c r="F98" s="542">
        <f t="shared" si="6"/>
        <v>-24361.662</v>
      </c>
      <c r="G98" s="542">
        <f t="shared" si="7"/>
        <v>73394.262000000002</v>
      </c>
      <c r="H98" s="589">
        <f t="shared" si="8"/>
        <v>-0.33192870036624933</v>
      </c>
      <c r="I98" s="542"/>
      <c r="J98" s="542"/>
    </row>
    <row r="99" spans="2:16" x14ac:dyDescent="0.25">
      <c r="B99" s="537">
        <v>42487</v>
      </c>
      <c r="C99" s="541">
        <v>5260</v>
      </c>
      <c r="D99" s="588">
        <v>16.099699999999999</v>
      </c>
      <c r="E99" s="542">
        <v>11.56</v>
      </c>
      <c r="F99" s="542">
        <f t="shared" si="6"/>
        <v>-23878.821999999989</v>
      </c>
      <c r="G99" s="542">
        <f t="shared" si="7"/>
        <v>84684.421999999991</v>
      </c>
      <c r="H99" s="589">
        <f t="shared" si="8"/>
        <v>-0.28197419827698644</v>
      </c>
      <c r="I99" s="542"/>
      <c r="J99" s="542"/>
      <c r="O99" s="4"/>
      <c r="P99" s="235"/>
    </row>
    <row r="100" spans="2:16" x14ac:dyDescent="0.25">
      <c r="B100" s="537">
        <v>42488</v>
      </c>
      <c r="C100" s="541">
        <v>5260</v>
      </c>
      <c r="D100" s="588">
        <v>16.078399999999998</v>
      </c>
      <c r="E100" s="542">
        <v>11.62</v>
      </c>
      <c r="F100" s="542">
        <f t="shared" si="6"/>
        <v>-23451.183999999997</v>
      </c>
      <c r="G100" s="542">
        <f t="shared" si="7"/>
        <v>84572.383999999991</v>
      </c>
      <c r="H100" s="589">
        <f t="shared" si="8"/>
        <v>-0.27729127276345905</v>
      </c>
      <c r="I100" s="542"/>
      <c r="J100" s="542"/>
      <c r="O100" s="4"/>
      <c r="P100" s="4"/>
    </row>
    <row r="101" spans="2:16" x14ac:dyDescent="0.25">
      <c r="B101" s="537">
        <v>42489</v>
      </c>
      <c r="C101" s="541">
        <v>5500</v>
      </c>
      <c r="D101" s="588">
        <v>15.848599999999999</v>
      </c>
      <c r="E101" s="542">
        <v>10.75</v>
      </c>
      <c r="F101" s="542">
        <f t="shared" si="6"/>
        <v>-28042.299999999996</v>
      </c>
      <c r="G101" s="542">
        <f t="shared" si="7"/>
        <v>87167.3</v>
      </c>
      <c r="H101" s="589">
        <f t="shared" si="8"/>
        <v>-0.32170664916774983</v>
      </c>
      <c r="I101" s="542"/>
      <c r="J101" s="542"/>
      <c r="O101" s="4"/>
      <c r="P101" s="4"/>
    </row>
    <row r="102" spans="2:16" x14ac:dyDescent="0.25">
      <c r="B102" s="537">
        <v>42494</v>
      </c>
      <c r="C102" s="541">
        <v>6500</v>
      </c>
      <c r="D102" s="588">
        <v>14.9526</v>
      </c>
      <c r="E102" s="542">
        <v>10</v>
      </c>
      <c r="F102" s="542">
        <f t="shared" si="6"/>
        <v>-32191.9</v>
      </c>
      <c r="G102" s="542">
        <f t="shared" si="7"/>
        <v>97191.900000000009</v>
      </c>
      <c r="H102" s="589">
        <f t="shared" si="8"/>
        <v>-0.33121998849698381</v>
      </c>
      <c r="I102" s="542"/>
      <c r="J102" s="542"/>
    </row>
    <row r="103" spans="2:16" x14ac:dyDescent="0.25">
      <c r="B103" s="537">
        <v>42495</v>
      </c>
      <c r="C103" s="541">
        <v>5500</v>
      </c>
      <c r="D103" s="588">
        <v>15.7966</v>
      </c>
      <c r="E103" s="542">
        <v>10.06</v>
      </c>
      <c r="F103" s="542">
        <f t="shared" si="6"/>
        <v>-31551.299999999996</v>
      </c>
      <c r="G103" s="542">
        <f t="shared" si="7"/>
        <v>86881.3</v>
      </c>
      <c r="H103" s="589">
        <f t="shared" si="8"/>
        <v>-0.363154096451135</v>
      </c>
      <c r="I103" s="542"/>
      <c r="J103" s="542"/>
    </row>
    <row r="104" spans="2:16" x14ac:dyDescent="0.25">
      <c r="B104" s="537">
        <v>42502</v>
      </c>
      <c r="C104" s="541">
        <v>8500</v>
      </c>
      <c r="D104" s="588">
        <v>13.6378</v>
      </c>
      <c r="E104" s="542">
        <v>9.6199999999999992</v>
      </c>
      <c r="F104" s="542">
        <f t="shared" si="6"/>
        <v>-34151.30000000001</v>
      </c>
      <c r="G104" s="542">
        <f t="shared" si="7"/>
        <v>115921.3</v>
      </c>
      <c r="H104" s="589">
        <f t="shared" si="8"/>
        <v>-0.2946076346624823</v>
      </c>
      <c r="I104" s="542"/>
      <c r="J104" s="542"/>
    </row>
    <row r="105" spans="2:16" x14ac:dyDescent="0.25">
      <c r="B105" s="537">
        <v>42503</v>
      </c>
      <c r="C105" s="541">
        <v>5500</v>
      </c>
      <c r="D105" s="588">
        <v>15.754899999999999</v>
      </c>
      <c r="E105" s="542">
        <v>9.58</v>
      </c>
      <c r="F105" s="542">
        <f t="shared" si="6"/>
        <v>-33961.949999999997</v>
      </c>
      <c r="G105" s="542">
        <f t="shared" si="7"/>
        <v>86651.95</v>
      </c>
      <c r="H105" s="589">
        <f t="shared" si="8"/>
        <v>-0.39193520745926663</v>
      </c>
      <c r="I105" s="542"/>
      <c r="J105" s="542"/>
    </row>
    <row r="106" spans="2:16" x14ac:dyDescent="0.25">
      <c r="B106" s="537">
        <v>42510</v>
      </c>
      <c r="C106" s="591">
        <v>5000</v>
      </c>
      <c r="D106" s="592">
        <v>16.255400000000002</v>
      </c>
      <c r="E106" s="542">
        <v>10.8</v>
      </c>
      <c r="F106" s="542">
        <f t="shared" si="6"/>
        <v>-27277.000000000004</v>
      </c>
      <c r="G106" s="542">
        <f t="shared" si="7"/>
        <v>81277.000000000015</v>
      </c>
      <c r="H106" s="589">
        <f t="shared" si="8"/>
        <v>-0.33560539882131479</v>
      </c>
      <c r="I106" s="542"/>
      <c r="J106" s="542"/>
    </row>
    <row r="107" spans="2:16" x14ac:dyDescent="0.25">
      <c r="B107" s="537">
        <v>42514</v>
      </c>
      <c r="C107" s="541">
        <v>4500</v>
      </c>
      <c r="D107" s="588">
        <v>16.752199999999998</v>
      </c>
      <c r="E107" s="542">
        <v>11.49</v>
      </c>
      <c r="F107" s="542">
        <f t="shared" si="6"/>
        <v>-23679.899999999991</v>
      </c>
      <c r="G107" s="542">
        <f t="shared" si="7"/>
        <v>75384.899999999994</v>
      </c>
      <c r="H107" s="589">
        <f t="shared" si="8"/>
        <v>-0.31411993648595399</v>
      </c>
      <c r="I107" s="542"/>
      <c r="J107" s="542"/>
    </row>
    <row r="108" spans="2:16" x14ac:dyDescent="0.25">
      <c r="B108" s="537">
        <v>42515</v>
      </c>
      <c r="C108" s="541">
        <v>4500</v>
      </c>
      <c r="D108" s="588">
        <v>16.746700000000001</v>
      </c>
      <c r="E108" s="542">
        <v>11.6</v>
      </c>
      <c r="F108" s="542">
        <f t="shared" si="6"/>
        <v>-23160.150000000005</v>
      </c>
      <c r="G108" s="542">
        <f t="shared" si="7"/>
        <v>75360.150000000009</v>
      </c>
      <c r="H108" s="589">
        <f t="shared" si="8"/>
        <v>-0.30732621949398992</v>
      </c>
      <c r="I108" s="542"/>
      <c r="J108" s="542"/>
    </row>
    <row r="109" spans="2:16" x14ac:dyDescent="0.25">
      <c r="B109" s="537">
        <v>42516</v>
      </c>
      <c r="C109" s="541">
        <v>4000</v>
      </c>
      <c r="D109" s="588">
        <v>17.344999999999999</v>
      </c>
      <c r="E109" s="542">
        <v>11.95</v>
      </c>
      <c r="F109" s="542">
        <f t="shared" si="6"/>
        <v>-21580</v>
      </c>
      <c r="G109" s="542">
        <f t="shared" si="7"/>
        <v>69380</v>
      </c>
      <c r="H109" s="589">
        <f t="shared" si="8"/>
        <v>-0.31104064571922746</v>
      </c>
      <c r="I109" s="542"/>
      <c r="J109" s="542"/>
    </row>
    <row r="110" spans="2:16" x14ac:dyDescent="0.25">
      <c r="B110" s="537">
        <v>42517</v>
      </c>
      <c r="C110" s="541">
        <v>4000</v>
      </c>
      <c r="D110" s="588">
        <v>17.322700000000001</v>
      </c>
      <c r="E110" s="542">
        <v>12.31</v>
      </c>
      <c r="F110" s="542">
        <f t="shared" si="6"/>
        <v>-20050.800000000003</v>
      </c>
      <c r="G110" s="542">
        <f t="shared" si="7"/>
        <v>69290.8</v>
      </c>
      <c r="H110" s="589">
        <f t="shared" si="8"/>
        <v>-0.28937174920768705</v>
      </c>
      <c r="I110" s="542"/>
      <c r="J110" s="542"/>
    </row>
    <row r="111" spans="2:16" x14ac:dyDescent="0.25">
      <c r="B111" s="537">
        <v>42522</v>
      </c>
      <c r="C111" s="541">
        <v>3375</v>
      </c>
      <c r="D111" s="588">
        <v>18.078900000000001</v>
      </c>
      <c r="E111" s="542">
        <v>13.09</v>
      </c>
      <c r="F111" s="542">
        <f t="shared" si="6"/>
        <v>-16837.537500000002</v>
      </c>
      <c r="G111" s="542">
        <f t="shared" si="7"/>
        <v>61016.287500000006</v>
      </c>
      <c r="H111" s="589">
        <f t="shared" si="8"/>
        <v>-0.27595152359933406</v>
      </c>
      <c r="I111" s="542"/>
      <c r="J111" s="542"/>
    </row>
    <row r="112" spans="2:16" x14ac:dyDescent="0.25">
      <c r="B112" s="537">
        <v>42524</v>
      </c>
      <c r="C112" s="541">
        <v>4000</v>
      </c>
      <c r="D112" s="588">
        <v>17.229099999999999</v>
      </c>
      <c r="E112" s="542">
        <v>12.86</v>
      </c>
      <c r="F112" s="542">
        <f t="shared" si="6"/>
        <v>-17476.399999999998</v>
      </c>
      <c r="G112" s="542">
        <f t="shared" si="7"/>
        <v>68916.399999999994</v>
      </c>
      <c r="H112" s="589">
        <f t="shared" si="8"/>
        <v>-0.25358840566251284</v>
      </c>
      <c r="I112" s="542"/>
      <c r="J112" s="542"/>
    </row>
    <row r="113" spans="2:10" x14ac:dyDescent="0.25">
      <c r="B113" s="537">
        <v>42530</v>
      </c>
      <c r="C113" s="541">
        <v>4000</v>
      </c>
      <c r="D113" s="588">
        <v>17.184100000000001</v>
      </c>
      <c r="E113" s="542">
        <v>12.51</v>
      </c>
      <c r="F113" s="542">
        <f t="shared" si="6"/>
        <v>-18696.400000000005</v>
      </c>
      <c r="G113" s="542">
        <f t="shared" si="7"/>
        <v>68736.400000000009</v>
      </c>
      <c r="H113" s="589">
        <f t="shared" si="8"/>
        <v>-0.27200144319458108</v>
      </c>
      <c r="I113" s="542"/>
      <c r="J113" s="542"/>
    </row>
    <row r="114" spans="2:10" x14ac:dyDescent="0.25">
      <c r="B114" s="537">
        <v>42532</v>
      </c>
      <c r="C114" s="541">
        <v>4760</v>
      </c>
      <c r="D114" s="588">
        <v>16.386800000000001</v>
      </c>
      <c r="E114" s="542">
        <v>12.14</v>
      </c>
      <c r="F114" s="542">
        <f t="shared" si="6"/>
        <v>-20214.768</v>
      </c>
      <c r="G114" s="542">
        <f t="shared" si="7"/>
        <v>78001.168000000005</v>
      </c>
      <c r="H114" s="589">
        <f t="shared" si="8"/>
        <v>-0.25915981155564233</v>
      </c>
      <c r="I114" s="542"/>
      <c r="J114" s="542"/>
    </row>
    <row r="115" spans="2:10" x14ac:dyDescent="0.25">
      <c r="B115" s="537">
        <v>42535</v>
      </c>
      <c r="C115" s="541">
        <v>4760</v>
      </c>
      <c r="D115" s="588">
        <v>16.387</v>
      </c>
      <c r="E115" s="542">
        <v>11.92</v>
      </c>
      <c r="F115" s="542">
        <f t="shared" si="6"/>
        <v>-21262.920000000002</v>
      </c>
      <c r="G115" s="542">
        <f t="shared" si="7"/>
        <v>78002.12</v>
      </c>
      <c r="H115" s="589">
        <f t="shared" si="8"/>
        <v>-0.27259412949289075</v>
      </c>
      <c r="I115" s="542"/>
      <c r="J115" s="542"/>
    </row>
    <row r="116" spans="2:10" x14ac:dyDescent="0.25">
      <c r="B116" s="537">
        <v>42537</v>
      </c>
      <c r="C116" s="541">
        <v>4760</v>
      </c>
      <c r="D116" s="588">
        <v>16.361599999999999</v>
      </c>
      <c r="E116" s="542">
        <v>11.95</v>
      </c>
      <c r="F116" s="542">
        <f t="shared" si="6"/>
        <v>-20999.216</v>
      </c>
      <c r="G116" s="542">
        <f t="shared" si="7"/>
        <v>77881.216</v>
      </c>
      <c r="H116" s="589">
        <f t="shared" si="8"/>
        <v>-0.26963133189908078</v>
      </c>
      <c r="I116" s="542"/>
      <c r="J116" s="542"/>
    </row>
    <row r="117" spans="2:10" x14ac:dyDescent="0.25">
      <c r="B117" s="537">
        <v>42541</v>
      </c>
      <c r="C117" s="541">
        <v>4600</v>
      </c>
      <c r="D117" s="588">
        <v>16.459700000000002</v>
      </c>
      <c r="E117" s="542">
        <v>12.32</v>
      </c>
      <c r="F117" s="542">
        <f t="shared" si="6"/>
        <v>-19042.620000000006</v>
      </c>
      <c r="G117" s="542">
        <f t="shared" si="7"/>
        <v>75714.62000000001</v>
      </c>
      <c r="H117" s="589">
        <f t="shared" si="8"/>
        <v>-0.25150519146764527</v>
      </c>
      <c r="I117" s="542"/>
      <c r="J117" s="542"/>
    </row>
    <row r="118" spans="2:10" x14ac:dyDescent="0.25">
      <c r="B118" s="537">
        <v>42542</v>
      </c>
      <c r="C118" s="541">
        <v>4000</v>
      </c>
      <c r="D118" s="588">
        <v>17.010200000000001</v>
      </c>
      <c r="E118" s="542">
        <v>12.75</v>
      </c>
      <c r="F118" s="542">
        <f t="shared" si="6"/>
        <v>-17040.800000000003</v>
      </c>
      <c r="G118" s="542">
        <f t="shared" si="7"/>
        <v>68040.800000000003</v>
      </c>
      <c r="H118" s="589">
        <f t="shared" si="8"/>
        <v>-0.25044973016190292</v>
      </c>
      <c r="I118" s="542"/>
      <c r="J118" s="542"/>
    </row>
    <row r="119" spans="2:10" x14ac:dyDescent="0.25">
      <c r="B119" s="537">
        <v>42544</v>
      </c>
      <c r="C119" s="541">
        <v>2500</v>
      </c>
      <c r="D119" s="588">
        <v>18.952100000000002</v>
      </c>
      <c r="E119" s="542">
        <v>14.05</v>
      </c>
      <c r="F119" s="542">
        <f t="shared" si="6"/>
        <v>-12255.250000000002</v>
      </c>
      <c r="G119" s="542">
        <f t="shared" si="7"/>
        <v>47380.250000000007</v>
      </c>
      <c r="H119" s="589">
        <f t="shared" si="8"/>
        <v>-0.25865735195571998</v>
      </c>
      <c r="I119" s="542"/>
      <c r="J119" s="542"/>
    </row>
    <row r="120" spans="2:10" x14ac:dyDescent="0.25">
      <c r="B120" s="537">
        <v>42545</v>
      </c>
      <c r="C120" s="541">
        <v>3000</v>
      </c>
      <c r="D120" s="588">
        <v>18.046700000000001</v>
      </c>
      <c r="E120" s="542">
        <v>13.52</v>
      </c>
      <c r="F120" s="542">
        <f t="shared" si="6"/>
        <v>-13580.100000000006</v>
      </c>
      <c r="G120" s="542">
        <f t="shared" si="7"/>
        <v>54140.100000000006</v>
      </c>
      <c r="H120" s="589">
        <f t="shared" si="8"/>
        <v>-0.25083256218588446</v>
      </c>
      <c r="I120" s="542"/>
      <c r="J120" s="542"/>
    </row>
    <row r="121" spans="2:10" x14ac:dyDescent="0.25">
      <c r="B121" s="537">
        <v>42545</v>
      </c>
      <c r="C121" s="541">
        <v>3500</v>
      </c>
      <c r="D121" s="588">
        <v>17.391500000000001</v>
      </c>
      <c r="E121" s="542">
        <v>13.46</v>
      </c>
      <c r="F121" s="542">
        <f t="shared" si="6"/>
        <v>-13760.25</v>
      </c>
      <c r="G121" s="542">
        <f t="shared" si="7"/>
        <v>60870.25</v>
      </c>
      <c r="H121" s="589">
        <f t="shared" si="8"/>
        <v>-0.22605870683954804</v>
      </c>
      <c r="I121" s="542"/>
      <c r="J121" s="542"/>
    </row>
    <row r="122" spans="2:10" x14ac:dyDescent="0.25">
      <c r="B122" s="537">
        <v>42545</v>
      </c>
      <c r="C122" s="541">
        <v>4000</v>
      </c>
      <c r="D122" s="588">
        <v>16.8825</v>
      </c>
      <c r="E122" s="542">
        <v>13.32</v>
      </c>
      <c r="F122" s="542">
        <f t="shared" si="6"/>
        <v>-14250</v>
      </c>
      <c r="G122" s="542">
        <f t="shared" si="7"/>
        <v>67530</v>
      </c>
      <c r="H122" s="589">
        <f t="shared" si="8"/>
        <v>-0.21101732563305198</v>
      </c>
      <c r="I122" s="542"/>
      <c r="J122" s="542"/>
    </row>
    <row r="123" spans="2:10" x14ac:dyDescent="0.25">
      <c r="B123" s="537">
        <v>42548</v>
      </c>
      <c r="C123" s="541">
        <v>4760</v>
      </c>
      <c r="D123" s="588">
        <v>16.2315</v>
      </c>
      <c r="E123" s="542">
        <v>12.23</v>
      </c>
      <c r="F123" s="542">
        <f t="shared" si="6"/>
        <v>-19047.14</v>
      </c>
      <c r="G123" s="542">
        <f t="shared" si="7"/>
        <v>77261.94</v>
      </c>
      <c r="H123" s="589">
        <f t="shared" si="8"/>
        <v>-0.246526815143394</v>
      </c>
      <c r="I123" s="542"/>
      <c r="J123" s="542"/>
    </row>
    <row r="124" spans="2:10" x14ac:dyDescent="0.25">
      <c r="B124" s="537">
        <v>42548</v>
      </c>
      <c r="C124" s="541">
        <v>5260</v>
      </c>
      <c r="D124" s="588">
        <v>15.884399999999999</v>
      </c>
      <c r="E124" s="542">
        <v>12.23</v>
      </c>
      <c r="F124" s="542">
        <f t="shared" ref="F124:F171" si="9">-C124*(D124-E124)</f>
        <v>-19222.143999999993</v>
      </c>
      <c r="G124" s="542">
        <f t="shared" ref="G124:G171" si="10">IF(C124=0, 0,D124*C124)</f>
        <v>83551.944000000003</v>
      </c>
      <c r="H124" s="589">
        <f t="shared" ref="H124:H171" si="11">IF(C124=0, D124, (E124-D124)/D124)</f>
        <v>-0.23006219939059702</v>
      </c>
      <c r="I124" s="542"/>
      <c r="J124" s="542"/>
    </row>
    <row r="125" spans="2:10" x14ac:dyDescent="0.25">
      <c r="B125" s="537">
        <v>42549</v>
      </c>
      <c r="C125" s="541">
        <v>4500</v>
      </c>
      <c r="D125" s="588">
        <v>16.3767</v>
      </c>
      <c r="E125" s="542">
        <v>12.99</v>
      </c>
      <c r="F125" s="542">
        <f t="shared" si="9"/>
        <v>-15240.149999999998</v>
      </c>
      <c r="G125" s="542">
        <f t="shared" si="10"/>
        <v>73695.149999999994</v>
      </c>
      <c r="H125" s="589">
        <f t="shared" si="11"/>
        <v>-0.2067999047427137</v>
      </c>
      <c r="I125" s="542"/>
      <c r="J125" s="542"/>
    </row>
    <row r="126" spans="2:10" x14ac:dyDescent="0.25">
      <c r="B126" s="537">
        <v>42550</v>
      </c>
      <c r="C126" s="541">
        <v>4500</v>
      </c>
      <c r="D126" s="588">
        <v>16.3767</v>
      </c>
      <c r="E126" s="542">
        <v>13.19</v>
      </c>
      <c r="F126" s="542">
        <f t="shared" si="9"/>
        <v>-14340.15</v>
      </c>
      <c r="G126" s="542">
        <f t="shared" si="10"/>
        <v>73695.149999999994</v>
      </c>
      <c r="H126" s="589">
        <f t="shared" si="11"/>
        <v>-0.19458743214444912</v>
      </c>
      <c r="I126" s="542">
        <v>16</v>
      </c>
      <c r="J126" s="542"/>
    </row>
    <row r="127" spans="2:10" x14ac:dyDescent="0.25">
      <c r="B127" s="537">
        <v>42551</v>
      </c>
      <c r="C127" s="541">
        <v>4000</v>
      </c>
      <c r="D127" s="588">
        <v>16.708500000000001</v>
      </c>
      <c r="E127" s="542">
        <v>13.76</v>
      </c>
      <c r="F127" s="542">
        <f t="shared" si="9"/>
        <v>-11794.000000000004</v>
      </c>
      <c r="G127" s="542">
        <f t="shared" si="10"/>
        <v>66834</v>
      </c>
      <c r="H127" s="589">
        <f t="shared" si="11"/>
        <v>-0.176467067660173</v>
      </c>
      <c r="I127" s="542"/>
      <c r="J127" s="542"/>
    </row>
    <row r="128" spans="2:10" x14ac:dyDescent="0.25">
      <c r="B128" s="537">
        <v>42551</v>
      </c>
      <c r="C128" s="541">
        <v>4500</v>
      </c>
      <c r="D128" s="588">
        <v>16.23</v>
      </c>
      <c r="E128" s="542">
        <v>13.76</v>
      </c>
      <c r="F128" s="542">
        <f t="shared" si="9"/>
        <v>-11115.000000000004</v>
      </c>
      <c r="G128" s="542">
        <f t="shared" si="10"/>
        <v>73035</v>
      </c>
      <c r="H128" s="589">
        <f t="shared" si="11"/>
        <v>-0.15218730745532968</v>
      </c>
      <c r="I128" s="542" t="s">
        <v>230</v>
      </c>
      <c r="J128" s="542"/>
    </row>
    <row r="129" spans="2:10" x14ac:dyDescent="0.25">
      <c r="B129" s="537">
        <v>42552</v>
      </c>
      <c r="C129" s="541">
        <v>4500</v>
      </c>
      <c r="D129" s="588">
        <v>16.23</v>
      </c>
      <c r="E129" s="542">
        <v>12.5</v>
      </c>
      <c r="F129" s="542">
        <f t="shared" si="9"/>
        <v>-16785.000000000004</v>
      </c>
      <c r="G129" s="542">
        <f t="shared" si="10"/>
        <v>73035</v>
      </c>
      <c r="H129" s="589">
        <f t="shared" si="11"/>
        <v>-0.22982131854590268</v>
      </c>
      <c r="I129" s="542"/>
      <c r="J129" s="542"/>
    </row>
    <row r="130" spans="2:10" x14ac:dyDescent="0.25">
      <c r="B130" s="537">
        <v>42556</v>
      </c>
      <c r="C130" s="591">
        <v>5000</v>
      </c>
      <c r="D130" s="592">
        <v>15.7963</v>
      </c>
      <c r="E130" s="542">
        <v>11.91</v>
      </c>
      <c r="F130" s="542">
        <f t="shared" si="9"/>
        <v>-19431.5</v>
      </c>
      <c r="G130" s="542">
        <f t="shared" si="10"/>
        <v>78981.5</v>
      </c>
      <c r="H130" s="589">
        <f t="shared" si="11"/>
        <v>-0.24602596810645533</v>
      </c>
      <c r="I130" s="542">
        <v>15.6</v>
      </c>
      <c r="J130" s="542"/>
    </row>
    <row r="131" spans="2:10" x14ac:dyDescent="0.25">
      <c r="B131" s="537">
        <v>42557</v>
      </c>
      <c r="C131" s="541">
        <v>4500</v>
      </c>
      <c r="D131" s="588">
        <v>16.142600000000002</v>
      </c>
      <c r="E131" s="542">
        <v>12.2</v>
      </c>
      <c r="F131" s="542">
        <f t="shared" si="9"/>
        <v>-17741.700000000012</v>
      </c>
      <c r="G131" s="542">
        <f t="shared" si="10"/>
        <v>72641.700000000012</v>
      </c>
      <c r="H131" s="589">
        <f t="shared" si="11"/>
        <v>-0.24423574888803551</v>
      </c>
      <c r="I131" s="542"/>
      <c r="J131" s="542"/>
    </row>
    <row r="132" spans="2:10" x14ac:dyDescent="0.25">
      <c r="B132" s="537">
        <v>42559</v>
      </c>
      <c r="C132" s="541">
        <v>4500</v>
      </c>
      <c r="D132" s="588">
        <v>16.142600000000002</v>
      </c>
      <c r="E132" s="542">
        <v>12.62</v>
      </c>
      <c r="F132" s="542">
        <f t="shared" si="9"/>
        <v>-15851.700000000012</v>
      </c>
      <c r="G132" s="542">
        <f t="shared" si="10"/>
        <v>72641.700000000012</v>
      </c>
      <c r="H132" s="589">
        <f t="shared" si="11"/>
        <v>-0.21821763532516461</v>
      </c>
      <c r="I132" s="542"/>
      <c r="J132" s="542"/>
    </row>
    <row r="133" spans="2:10" x14ac:dyDescent="0.25">
      <c r="B133" s="537">
        <v>42562</v>
      </c>
      <c r="C133" s="541">
        <v>4500</v>
      </c>
      <c r="D133" s="588">
        <v>16.143000000000001</v>
      </c>
      <c r="E133" s="542">
        <v>12.64</v>
      </c>
      <c r="F133" s="542">
        <f t="shared" si="9"/>
        <v>-15763.5</v>
      </c>
      <c r="G133" s="542">
        <f t="shared" si="10"/>
        <v>72643.5</v>
      </c>
      <c r="H133" s="589">
        <f t="shared" si="11"/>
        <v>-0.21699807966301182</v>
      </c>
      <c r="I133" s="542"/>
      <c r="J133" s="542"/>
    </row>
    <row r="134" spans="2:10" x14ac:dyDescent="0.25">
      <c r="B134" s="537">
        <v>42572</v>
      </c>
      <c r="C134" s="541">
        <v>4500</v>
      </c>
      <c r="D134" s="588">
        <v>16.143000000000001</v>
      </c>
      <c r="E134" s="542">
        <v>13.18</v>
      </c>
      <c r="F134" s="542">
        <f t="shared" si="9"/>
        <v>-13333.500000000004</v>
      </c>
      <c r="G134" s="542">
        <f t="shared" si="10"/>
        <v>72643.5</v>
      </c>
      <c r="H134" s="589">
        <f t="shared" si="11"/>
        <v>-0.18354704825621018</v>
      </c>
      <c r="I134" s="542"/>
      <c r="J134" s="542"/>
    </row>
    <row r="135" spans="2:10" x14ac:dyDescent="0.25">
      <c r="B135" s="537">
        <v>42576</v>
      </c>
      <c r="C135" s="541">
        <v>4000</v>
      </c>
      <c r="D135" s="588">
        <v>16.433</v>
      </c>
      <c r="E135" s="542">
        <v>13.92</v>
      </c>
      <c r="F135" s="542">
        <f t="shared" si="9"/>
        <v>-10052</v>
      </c>
      <c r="G135" s="542">
        <f t="shared" si="10"/>
        <v>65732</v>
      </c>
      <c r="H135" s="589">
        <f t="shared" si="11"/>
        <v>-0.15292399440150917</v>
      </c>
      <c r="I135" s="542"/>
      <c r="J135" s="542"/>
    </row>
    <row r="136" spans="2:10" x14ac:dyDescent="0.25">
      <c r="B136" s="537">
        <v>42577</v>
      </c>
      <c r="C136" s="541">
        <v>3200</v>
      </c>
      <c r="D136" s="588">
        <v>16.935400000000001</v>
      </c>
      <c r="E136" s="542">
        <v>14.67</v>
      </c>
      <c r="F136" s="542">
        <f t="shared" si="9"/>
        <v>-7249.2800000000043</v>
      </c>
      <c r="G136" s="542">
        <f t="shared" si="10"/>
        <v>54193.280000000006</v>
      </c>
      <c r="H136" s="589">
        <f t="shared" si="11"/>
        <v>-0.1337671386563058</v>
      </c>
      <c r="I136" s="542"/>
      <c r="J136" s="542"/>
    </row>
    <row r="137" spans="2:10" x14ac:dyDescent="0.25">
      <c r="B137" s="537">
        <v>42578</v>
      </c>
      <c r="C137" s="541">
        <v>3400</v>
      </c>
      <c r="D137" s="588">
        <v>16.7698</v>
      </c>
      <c r="E137" s="542">
        <v>14.19</v>
      </c>
      <c r="F137" s="542">
        <f t="shared" si="9"/>
        <v>-8771.3200000000015</v>
      </c>
      <c r="G137" s="542">
        <f t="shared" si="10"/>
        <v>57017.32</v>
      </c>
      <c r="H137" s="589">
        <f t="shared" si="11"/>
        <v>-0.15383606244558673</v>
      </c>
      <c r="I137" s="542"/>
      <c r="J137" s="542"/>
    </row>
    <row r="138" spans="2:10" x14ac:dyDescent="0.25">
      <c r="B138" s="537">
        <v>42579</v>
      </c>
      <c r="C138" s="541">
        <v>4000</v>
      </c>
      <c r="D138" s="588">
        <v>16.327300000000001</v>
      </c>
      <c r="E138" s="542">
        <v>13.81</v>
      </c>
      <c r="F138" s="542">
        <f t="shared" si="9"/>
        <v>-10069.200000000003</v>
      </c>
      <c r="G138" s="542">
        <f t="shared" si="10"/>
        <v>65309.200000000004</v>
      </c>
      <c r="H138" s="589">
        <f t="shared" si="11"/>
        <v>-0.15417735939193869</v>
      </c>
      <c r="I138" s="542"/>
      <c r="J138" s="542"/>
    </row>
    <row r="139" spans="2:10" x14ac:dyDescent="0.25">
      <c r="B139" s="537">
        <v>42580</v>
      </c>
      <c r="C139" s="541">
        <v>4500</v>
      </c>
      <c r="D139" s="588">
        <v>16.026499999999999</v>
      </c>
      <c r="E139" s="542">
        <v>13.74</v>
      </c>
      <c r="F139" s="542">
        <f t="shared" si="9"/>
        <v>-10289.249999999993</v>
      </c>
      <c r="G139" s="542">
        <f t="shared" si="10"/>
        <v>72119.25</v>
      </c>
      <c r="H139" s="589">
        <f t="shared" si="11"/>
        <v>-0.14266995289052498</v>
      </c>
      <c r="I139" s="542"/>
      <c r="J139" s="542"/>
    </row>
    <row r="140" spans="2:10" x14ac:dyDescent="0.25">
      <c r="B140" s="537">
        <v>42585</v>
      </c>
      <c r="C140" s="541">
        <v>4700</v>
      </c>
      <c r="D140" s="588">
        <v>15.9011</v>
      </c>
      <c r="E140" s="542">
        <v>13.4</v>
      </c>
      <c r="F140" s="542">
        <f t="shared" si="9"/>
        <v>-11755.169999999996</v>
      </c>
      <c r="G140" s="542">
        <f t="shared" si="10"/>
        <v>74735.17</v>
      </c>
      <c r="H140" s="589">
        <f t="shared" si="11"/>
        <v>-0.15729100502480955</v>
      </c>
      <c r="I140" s="542"/>
      <c r="J140" s="542"/>
    </row>
    <row r="141" spans="2:10" x14ac:dyDescent="0.25">
      <c r="B141" s="537">
        <v>42586</v>
      </c>
      <c r="C141" s="541">
        <v>4500</v>
      </c>
      <c r="D141" s="588">
        <v>15.990399999999999</v>
      </c>
      <c r="E141" s="542">
        <v>14.03</v>
      </c>
      <c r="F141" s="542">
        <f t="shared" si="9"/>
        <v>-8821.7999999999993</v>
      </c>
      <c r="G141" s="542">
        <f t="shared" si="10"/>
        <v>71956.800000000003</v>
      </c>
      <c r="H141" s="589">
        <f t="shared" si="11"/>
        <v>-0.12259855913548129</v>
      </c>
      <c r="I141" s="542" t="s">
        <v>265</v>
      </c>
      <c r="J141" s="542"/>
    </row>
    <row r="142" spans="2:10" x14ac:dyDescent="0.25">
      <c r="B142" s="537">
        <v>42587</v>
      </c>
      <c r="C142" s="541">
        <v>4000</v>
      </c>
      <c r="D142" s="588">
        <v>16.158000000000001</v>
      </c>
      <c r="E142" s="542">
        <v>14.52</v>
      </c>
      <c r="F142" s="542">
        <f t="shared" si="9"/>
        <v>-6552.0000000000064</v>
      </c>
      <c r="G142" s="542">
        <f t="shared" si="10"/>
        <v>64632.000000000007</v>
      </c>
      <c r="H142" s="589">
        <f t="shared" si="11"/>
        <v>-0.10137393241737848</v>
      </c>
      <c r="I142" s="542">
        <v>16</v>
      </c>
      <c r="J142" s="542"/>
    </row>
    <row r="143" spans="2:10" x14ac:dyDescent="0.25">
      <c r="B143" s="537">
        <v>42593</v>
      </c>
      <c r="C143" s="541">
        <v>4000</v>
      </c>
      <c r="D143" s="588">
        <v>16.158000000000001</v>
      </c>
      <c r="E143" s="542">
        <v>14.2</v>
      </c>
      <c r="F143" s="542">
        <f t="shared" si="9"/>
        <v>-7832.0000000000082</v>
      </c>
      <c r="G143" s="542">
        <f t="shared" si="10"/>
        <v>64632.000000000007</v>
      </c>
      <c r="H143" s="589">
        <f t="shared" si="11"/>
        <v>-0.12117836365886879</v>
      </c>
      <c r="I143" s="542"/>
      <c r="J143" s="542"/>
    </row>
    <row r="144" spans="2:10" x14ac:dyDescent="0.25">
      <c r="B144" s="537">
        <v>42597</v>
      </c>
      <c r="C144" s="541">
        <v>2000</v>
      </c>
      <c r="D144" s="588">
        <v>17.3687</v>
      </c>
      <c r="E144" s="542">
        <v>15.53</v>
      </c>
      <c r="F144" s="542">
        <f t="shared" si="9"/>
        <v>-3677.4000000000024</v>
      </c>
      <c r="G144" s="542">
        <f t="shared" si="10"/>
        <v>34737.4</v>
      </c>
      <c r="H144" s="589">
        <f t="shared" si="11"/>
        <v>-0.10586284523309177</v>
      </c>
      <c r="I144" s="542">
        <v>17</v>
      </c>
      <c r="J144" s="542"/>
    </row>
    <row r="145" spans="2:10" x14ac:dyDescent="0.25">
      <c r="B145" s="537">
        <v>42599</v>
      </c>
      <c r="C145" s="541">
        <v>2000</v>
      </c>
      <c r="D145" s="588">
        <v>17.331299999999999</v>
      </c>
      <c r="E145" s="542">
        <v>15.52</v>
      </c>
      <c r="F145" s="542">
        <f t="shared" si="9"/>
        <v>-3622.5999999999985</v>
      </c>
      <c r="G145" s="542">
        <f t="shared" si="10"/>
        <v>34662.6</v>
      </c>
      <c r="H145" s="589">
        <f t="shared" si="11"/>
        <v>-0.10451033678950797</v>
      </c>
      <c r="I145" s="542"/>
      <c r="J145" s="542"/>
    </row>
    <row r="146" spans="2:10" x14ac:dyDescent="0.25">
      <c r="B146" s="537">
        <v>42600</v>
      </c>
      <c r="C146" s="541">
        <v>2000</v>
      </c>
      <c r="D146" s="588">
        <v>17.331299999999999</v>
      </c>
      <c r="E146" s="542">
        <v>15.77</v>
      </c>
      <c r="F146" s="542">
        <f t="shared" si="9"/>
        <v>-3122.5999999999985</v>
      </c>
      <c r="G146" s="542">
        <f t="shared" si="10"/>
        <v>34662.6</v>
      </c>
      <c r="H146" s="589">
        <f t="shared" si="11"/>
        <v>-9.0085567730060601E-2</v>
      </c>
      <c r="I146" s="542"/>
      <c r="J146" s="542"/>
    </row>
    <row r="147" spans="2:10" x14ac:dyDescent="0.25">
      <c r="B147" s="537">
        <v>42601</v>
      </c>
      <c r="C147" s="541">
        <v>2000</v>
      </c>
      <c r="D147" s="588">
        <v>17.331299999999999</v>
      </c>
      <c r="E147" s="542">
        <v>16.25</v>
      </c>
      <c r="F147" s="542">
        <f t="shared" si="9"/>
        <v>-2162.5999999999976</v>
      </c>
      <c r="G147" s="542">
        <f t="shared" si="10"/>
        <v>34662.6</v>
      </c>
      <c r="H147" s="589">
        <f t="shared" si="11"/>
        <v>-6.2390011135921651E-2</v>
      </c>
      <c r="I147" s="542"/>
      <c r="J147" s="542"/>
    </row>
    <row r="148" spans="2:10" x14ac:dyDescent="0.25">
      <c r="B148" s="537">
        <v>42604</v>
      </c>
      <c r="C148" s="541">
        <v>2000</v>
      </c>
      <c r="D148" s="588">
        <v>17.331299999999999</v>
      </c>
      <c r="E148" s="542">
        <v>16.190000000000001</v>
      </c>
      <c r="F148" s="542">
        <f t="shared" si="9"/>
        <v>-2282.5999999999949</v>
      </c>
      <c r="G148" s="542">
        <f t="shared" si="10"/>
        <v>34662.6</v>
      </c>
      <c r="H148" s="589">
        <f t="shared" si="11"/>
        <v>-6.5851955710188939E-2</v>
      </c>
      <c r="I148" s="542"/>
      <c r="J148" s="542"/>
    </row>
    <row r="149" spans="2:10" x14ac:dyDescent="0.25">
      <c r="B149" s="537">
        <v>42607</v>
      </c>
      <c r="C149" s="541">
        <v>2000</v>
      </c>
      <c r="D149" s="588">
        <v>17.331299999999999</v>
      </c>
      <c r="E149" s="542">
        <v>16.2</v>
      </c>
      <c r="F149" s="542">
        <f t="shared" si="9"/>
        <v>-2262.599999999999</v>
      </c>
      <c r="G149" s="542">
        <f t="shared" si="10"/>
        <v>34662.6</v>
      </c>
      <c r="H149" s="589">
        <f t="shared" si="11"/>
        <v>-6.5274964947811168E-2</v>
      </c>
      <c r="I149" s="542"/>
      <c r="J149" s="542"/>
    </row>
    <row r="150" spans="2:10" x14ac:dyDescent="0.25">
      <c r="B150" s="537">
        <v>42609</v>
      </c>
      <c r="C150" s="541">
        <v>2000</v>
      </c>
      <c r="D150" s="588">
        <v>17.331299999999999</v>
      </c>
      <c r="E150" s="542">
        <v>16.91</v>
      </c>
      <c r="F150" s="542">
        <f t="shared" si="9"/>
        <v>-842.59999999999741</v>
      </c>
      <c r="G150" s="542">
        <f t="shared" si="10"/>
        <v>34662.6</v>
      </c>
      <c r="H150" s="589">
        <f t="shared" si="11"/>
        <v>-2.4308620818980612E-2</v>
      </c>
      <c r="I150" s="542"/>
      <c r="J150" s="542"/>
    </row>
    <row r="151" spans="2:10" x14ac:dyDescent="0.25">
      <c r="B151" s="537">
        <v>42612</v>
      </c>
      <c r="C151" s="541">
        <v>2000</v>
      </c>
      <c r="D151" s="588">
        <v>17.331299999999999</v>
      </c>
      <c r="E151" s="542">
        <v>16.739999999999998</v>
      </c>
      <c r="F151" s="542">
        <f t="shared" si="9"/>
        <v>-1182.6000000000008</v>
      </c>
      <c r="G151" s="542">
        <f t="shared" si="10"/>
        <v>34662.6</v>
      </c>
      <c r="H151" s="589">
        <f t="shared" si="11"/>
        <v>-3.4117463779404916E-2</v>
      </c>
      <c r="I151" s="542"/>
      <c r="J151" s="542"/>
    </row>
    <row r="152" spans="2:10" x14ac:dyDescent="0.25">
      <c r="B152" s="537">
        <v>42615</v>
      </c>
      <c r="C152" s="541">
        <v>2000</v>
      </c>
      <c r="D152" s="588">
        <v>17.331299999999999</v>
      </c>
      <c r="E152" s="542">
        <v>16.7</v>
      </c>
      <c r="F152" s="542">
        <f t="shared" si="9"/>
        <v>-1262.599999999999</v>
      </c>
      <c r="G152" s="542">
        <f t="shared" si="10"/>
        <v>34662.6</v>
      </c>
      <c r="H152" s="589">
        <f t="shared" si="11"/>
        <v>-3.6425426828916446E-2</v>
      </c>
      <c r="I152" s="542"/>
      <c r="J152" s="542"/>
    </row>
    <row r="153" spans="2:10" x14ac:dyDescent="0.25">
      <c r="B153" s="537">
        <v>42619</v>
      </c>
      <c r="C153" s="541">
        <v>2000</v>
      </c>
      <c r="D153" s="588">
        <v>17.273900000000001</v>
      </c>
      <c r="E153" s="542">
        <v>17.010000000000002</v>
      </c>
      <c r="F153" s="542">
        <f t="shared" si="9"/>
        <v>-527.79999999999916</v>
      </c>
      <c r="G153" s="542">
        <f t="shared" si="10"/>
        <v>34547.800000000003</v>
      </c>
      <c r="H153" s="589">
        <f t="shared" si="11"/>
        <v>-1.5277383798678906E-2</v>
      </c>
      <c r="I153" s="542">
        <v>17</v>
      </c>
      <c r="J153" s="542"/>
    </row>
    <row r="154" spans="2:10" x14ac:dyDescent="0.25">
      <c r="B154" s="537">
        <v>42620</v>
      </c>
      <c r="C154" s="541">
        <v>2000</v>
      </c>
      <c r="D154" s="588">
        <v>17.234000000000002</v>
      </c>
      <c r="E154" s="542">
        <v>17.16</v>
      </c>
      <c r="F154" s="542">
        <f t="shared" si="9"/>
        <v>-148.00000000000324</v>
      </c>
      <c r="G154" s="542">
        <f t="shared" si="10"/>
        <v>34468</v>
      </c>
      <c r="H154" s="589">
        <f t="shared" si="11"/>
        <v>-4.2938377625624706E-3</v>
      </c>
      <c r="I154" s="542">
        <v>17</v>
      </c>
      <c r="J154" s="542"/>
    </row>
    <row r="155" spans="2:10" x14ac:dyDescent="0.25">
      <c r="B155" s="537">
        <v>42621</v>
      </c>
      <c r="C155" s="541">
        <v>1500</v>
      </c>
      <c r="D155" s="588">
        <v>17.168800000000001</v>
      </c>
      <c r="E155" s="542">
        <v>17.45</v>
      </c>
      <c r="F155" s="542">
        <f t="shared" si="9"/>
        <v>421.79999999999751</v>
      </c>
      <c r="G155" s="542">
        <f t="shared" si="10"/>
        <v>25753.200000000001</v>
      </c>
      <c r="H155" s="589">
        <f t="shared" si="11"/>
        <v>1.6378547132006798E-2</v>
      </c>
      <c r="I155" s="542"/>
      <c r="J155" s="542"/>
    </row>
    <row r="156" spans="2:10" x14ac:dyDescent="0.25">
      <c r="B156" s="537">
        <v>42622</v>
      </c>
      <c r="C156" s="541">
        <v>2000</v>
      </c>
      <c r="D156" s="588">
        <v>17.137899999999998</v>
      </c>
      <c r="E156" s="542">
        <v>16.809999999999999</v>
      </c>
      <c r="F156" s="542">
        <f t="shared" si="9"/>
        <v>-655.79999999999927</v>
      </c>
      <c r="G156" s="542">
        <f t="shared" si="10"/>
        <v>34275.799999999996</v>
      </c>
      <c r="H156" s="589">
        <f t="shared" si="11"/>
        <v>-1.9133032635270348E-2</v>
      </c>
      <c r="I156" s="542">
        <v>17</v>
      </c>
      <c r="J156" s="542"/>
    </row>
    <row r="157" spans="2:10" x14ac:dyDescent="0.25">
      <c r="B157" s="537">
        <v>42625</v>
      </c>
      <c r="C157" s="541">
        <v>2000</v>
      </c>
      <c r="D157" s="588">
        <v>17.137899999999998</v>
      </c>
      <c r="E157" s="542">
        <v>17.149999999999999</v>
      </c>
      <c r="F157" s="542">
        <f t="shared" si="9"/>
        <v>24.200000000000443</v>
      </c>
      <c r="G157" s="542">
        <f t="shared" si="10"/>
        <v>34275.799999999996</v>
      </c>
      <c r="H157" s="589">
        <f t="shared" si="11"/>
        <v>7.0603749584256077E-4</v>
      </c>
      <c r="I157" s="542"/>
      <c r="J157" s="542"/>
    </row>
    <row r="158" spans="2:10" x14ac:dyDescent="0.25">
      <c r="B158" s="537">
        <v>42626</v>
      </c>
      <c r="C158" s="541">
        <v>2100</v>
      </c>
      <c r="D158" s="588">
        <v>17.1065</v>
      </c>
      <c r="E158" s="542">
        <v>16.75</v>
      </c>
      <c r="F158" s="542">
        <f t="shared" si="9"/>
        <v>-748.650000000001</v>
      </c>
      <c r="G158" s="542">
        <f t="shared" si="10"/>
        <v>35923.65</v>
      </c>
      <c r="H158" s="589">
        <f t="shared" si="11"/>
        <v>-2.0840031566948265E-2</v>
      </c>
      <c r="I158" s="542"/>
      <c r="J158" s="542"/>
    </row>
    <row r="159" spans="2:10" x14ac:dyDescent="0.25">
      <c r="B159" s="537">
        <v>42627</v>
      </c>
      <c r="C159" s="541">
        <v>2100</v>
      </c>
      <c r="D159" s="588">
        <v>17.1065</v>
      </c>
      <c r="E159" s="542">
        <v>16.93</v>
      </c>
      <c r="F159" s="542">
        <f t="shared" si="9"/>
        <v>-370.65000000000163</v>
      </c>
      <c r="G159" s="542">
        <f t="shared" si="10"/>
        <v>35923.65</v>
      </c>
      <c r="H159" s="589">
        <f t="shared" si="11"/>
        <v>-1.0317715488264739E-2</v>
      </c>
      <c r="I159" s="542"/>
      <c r="J159" s="542"/>
    </row>
    <row r="160" spans="2:10" x14ac:dyDescent="0.25">
      <c r="B160" s="537">
        <v>42628</v>
      </c>
      <c r="C160" s="541">
        <v>2100</v>
      </c>
      <c r="D160" s="588">
        <v>17.1065</v>
      </c>
      <c r="E160" s="542">
        <v>17.45</v>
      </c>
      <c r="F160" s="542">
        <f t="shared" si="9"/>
        <v>721.34999999999752</v>
      </c>
      <c r="G160" s="542">
        <f t="shared" si="10"/>
        <v>35923.65</v>
      </c>
      <c r="H160" s="589">
        <f t="shared" si="11"/>
        <v>2.008008651682102E-2</v>
      </c>
      <c r="I160" s="542"/>
      <c r="J160" s="542"/>
    </row>
    <row r="161" spans="2:10" x14ac:dyDescent="0.25">
      <c r="B161" s="537">
        <v>42629</v>
      </c>
      <c r="C161" s="541">
        <v>2100</v>
      </c>
      <c r="D161" s="588">
        <v>17.1065</v>
      </c>
      <c r="E161" s="542">
        <v>17.48</v>
      </c>
      <c r="F161" s="542">
        <f t="shared" si="9"/>
        <v>784.34999999999991</v>
      </c>
      <c r="G161" s="542">
        <f t="shared" si="10"/>
        <v>35923.65</v>
      </c>
      <c r="H161" s="589">
        <f t="shared" si="11"/>
        <v>2.1833805863268343E-2</v>
      </c>
      <c r="I161" s="542"/>
      <c r="J161" s="542"/>
    </row>
    <row r="162" spans="2:10" x14ac:dyDescent="0.25">
      <c r="B162" s="537">
        <v>42632</v>
      </c>
      <c r="C162" s="541">
        <v>2100</v>
      </c>
      <c r="D162" s="588">
        <v>17.106529999999999</v>
      </c>
      <c r="E162" s="542">
        <v>16.95</v>
      </c>
      <c r="F162" s="542">
        <f t="shared" si="9"/>
        <v>-328.71300000000014</v>
      </c>
      <c r="G162" s="542">
        <f t="shared" si="10"/>
        <v>35923.712999999996</v>
      </c>
      <c r="H162" s="589">
        <f t="shared" si="11"/>
        <v>-9.150306929576019E-3</v>
      </c>
      <c r="I162" s="542"/>
      <c r="J162" s="542"/>
    </row>
    <row r="163" spans="2:10" x14ac:dyDescent="0.25">
      <c r="B163" s="537">
        <v>42634</v>
      </c>
      <c r="C163" s="541">
        <v>1600</v>
      </c>
      <c r="D163" s="588">
        <v>16.943059999999999</v>
      </c>
      <c r="E163" s="542">
        <v>17.66</v>
      </c>
      <c r="F163" s="542">
        <f t="shared" si="9"/>
        <v>1147.1040000000016</v>
      </c>
      <c r="G163" s="542">
        <f t="shared" si="10"/>
        <v>27108.895999999997</v>
      </c>
      <c r="H163" s="589">
        <f t="shared" si="11"/>
        <v>4.2314670431433346E-2</v>
      </c>
      <c r="I163" s="542"/>
      <c r="J163" s="542"/>
    </row>
    <row r="164" spans="2:10" x14ac:dyDescent="0.25">
      <c r="B164" s="537">
        <v>42635</v>
      </c>
      <c r="C164" s="541">
        <v>1600</v>
      </c>
      <c r="D164" s="588">
        <v>16.943059999999999</v>
      </c>
      <c r="E164" s="542">
        <v>17.59</v>
      </c>
      <c r="F164" s="542">
        <f t="shared" si="9"/>
        <v>1035.1040000000012</v>
      </c>
      <c r="G164" s="542">
        <f t="shared" si="10"/>
        <v>27108.895999999997</v>
      </c>
      <c r="H164" s="589">
        <f t="shared" si="11"/>
        <v>3.8183185327797978E-2</v>
      </c>
      <c r="I164" s="542"/>
      <c r="J164" s="542"/>
    </row>
    <row r="165" spans="2:10" x14ac:dyDescent="0.25">
      <c r="B165" s="537">
        <v>42640</v>
      </c>
      <c r="C165" s="541">
        <v>1600</v>
      </c>
      <c r="D165" s="588">
        <v>16.943059999999999</v>
      </c>
      <c r="E165" s="542">
        <v>18</v>
      </c>
      <c r="F165" s="542">
        <f t="shared" si="9"/>
        <v>1691.1040000000014</v>
      </c>
      <c r="G165" s="542">
        <f t="shared" si="10"/>
        <v>27108.895999999997</v>
      </c>
      <c r="H165" s="589">
        <f t="shared" si="11"/>
        <v>6.2381883791947909E-2</v>
      </c>
      <c r="I165" s="542"/>
      <c r="J165" s="542"/>
    </row>
    <row r="166" spans="2:10" x14ac:dyDescent="0.25">
      <c r="B166" s="537">
        <v>42641</v>
      </c>
      <c r="C166" s="541">
        <v>1800</v>
      </c>
      <c r="D166" s="588">
        <v>16.979289999999999</v>
      </c>
      <c r="E166" s="542">
        <v>17.440000000000001</v>
      </c>
      <c r="F166" s="542">
        <f t="shared" si="9"/>
        <v>829.27800000000434</v>
      </c>
      <c r="G166" s="542">
        <f t="shared" si="10"/>
        <v>30562.721999999998</v>
      </c>
      <c r="H166" s="589">
        <f t="shared" si="11"/>
        <v>2.71336433973389E-2</v>
      </c>
      <c r="I166" s="542"/>
      <c r="J166" s="542"/>
    </row>
    <row r="167" spans="2:10" x14ac:dyDescent="0.25">
      <c r="B167" s="537">
        <v>42643</v>
      </c>
      <c r="C167" s="541">
        <v>1800</v>
      </c>
      <c r="D167" s="588">
        <v>16.979289999999999</v>
      </c>
      <c r="E167" s="542">
        <v>17.78</v>
      </c>
      <c r="F167" s="542">
        <f t="shared" si="9"/>
        <v>1441.2780000000041</v>
      </c>
      <c r="G167" s="542">
        <f t="shared" si="10"/>
        <v>30562.721999999998</v>
      </c>
      <c r="H167" s="589">
        <f t="shared" si="11"/>
        <v>4.7158037821369583E-2</v>
      </c>
      <c r="I167" s="542"/>
      <c r="J167" s="542"/>
    </row>
    <row r="168" spans="2:10" x14ac:dyDescent="0.25">
      <c r="B168" s="537">
        <v>42647</v>
      </c>
      <c r="C168" s="541">
        <v>2000</v>
      </c>
      <c r="D168" s="588">
        <v>16.989360000000001</v>
      </c>
      <c r="E168" s="542">
        <v>17.8</v>
      </c>
      <c r="F168" s="542">
        <f t="shared" si="9"/>
        <v>1621.2799999999988</v>
      </c>
      <c r="G168" s="542">
        <f t="shared" si="10"/>
        <v>33978.720000000001</v>
      </c>
      <c r="H168" s="589">
        <f t="shared" si="11"/>
        <v>4.7714569589437116E-2</v>
      </c>
      <c r="I168" s="593" t="s">
        <v>295</v>
      </c>
      <c r="J168" s="593" t="s">
        <v>293</v>
      </c>
    </row>
    <row r="169" spans="2:10" x14ac:dyDescent="0.25">
      <c r="B169" s="537">
        <v>42648</v>
      </c>
      <c r="C169" s="541">
        <v>2000</v>
      </c>
      <c r="D169" s="588">
        <v>16.989360000000001</v>
      </c>
      <c r="E169" s="542">
        <v>17.7</v>
      </c>
      <c r="F169" s="542">
        <f t="shared" si="9"/>
        <v>1421.2799999999959</v>
      </c>
      <c r="G169" s="542">
        <f t="shared" si="10"/>
        <v>33978.720000000001</v>
      </c>
      <c r="H169" s="589">
        <f t="shared" si="11"/>
        <v>4.1828532681631204E-2</v>
      </c>
      <c r="I169" s="542"/>
      <c r="J169" s="542"/>
    </row>
    <row r="170" spans="2:10" x14ac:dyDescent="0.25">
      <c r="B170" s="537">
        <v>42661</v>
      </c>
      <c r="C170" s="541">
        <v>2200</v>
      </c>
      <c r="D170" s="588">
        <v>16.96123</v>
      </c>
      <c r="E170" s="542">
        <v>17.41</v>
      </c>
      <c r="F170" s="542">
        <f t="shared" si="9"/>
        <v>987.2939999999993</v>
      </c>
      <c r="G170" s="542">
        <f t="shared" si="10"/>
        <v>37314.705999999998</v>
      </c>
      <c r="H170" s="589">
        <f t="shared" si="11"/>
        <v>2.6458576412205934E-2</v>
      </c>
      <c r="I170" s="542"/>
      <c r="J170" s="542"/>
    </row>
    <row r="171" spans="2:10" x14ac:dyDescent="0.25">
      <c r="B171" s="537">
        <v>42662</v>
      </c>
      <c r="C171" s="541">
        <v>2000</v>
      </c>
      <c r="D171" s="588">
        <v>16.933399999999999</v>
      </c>
      <c r="E171" s="542">
        <v>17.215</v>
      </c>
      <c r="F171" s="542">
        <f t="shared" si="9"/>
        <v>563.20000000000186</v>
      </c>
      <c r="G171" s="542">
        <f t="shared" si="10"/>
        <v>33866.799999999996</v>
      </c>
      <c r="H171" s="589">
        <f t="shared" si="11"/>
        <v>1.6629855787969397E-2</v>
      </c>
      <c r="I171" s="593">
        <v>16.8</v>
      </c>
      <c r="J171" s="542"/>
    </row>
    <row r="172" spans="2:10" x14ac:dyDescent="0.25">
      <c r="B172" s="537">
        <v>42664</v>
      </c>
      <c r="C172" s="541">
        <v>2000</v>
      </c>
      <c r="D172" s="588">
        <v>16.933399999999999</v>
      </c>
      <c r="E172" s="542">
        <v>16.940000000000001</v>
      </c>
      <c r="F172" s="542">
        <f t="shared" ref="F172:F177" si="12">-C172*(D172-E172)</f>
        <v>13.200000000004763</v>
      </c>
      <c r="G172" s="542">
        <f t="shared" ref="G172:G177" si="13">IF(C172=0, 0,D172*C172)</f>
        <v>33866.799999999996</v>
      </c>
      <c r="H172" s="589">
        <f t="shared" ref="H172:H177" si="14">IF(C172=0, D172, (E172-D172)/D172)</f>
        <v>3.8976224503067206E-4</v>
      </c>
      <c r="I172" s="542"/>
      <c r="J172" s="542"/>
    </row>
    <row r="173" spans="2:10" x14ac:dyDescent="0.25">
      <c r="B173" s="537">
        <v>42668</v>
      </c>
      <c r="C173" s="541">
        <v>1800</v>
      </c>
      <c r="D173" s="588">
        <v>16.864930000000001</v>
      </c>
      <c r="E173" s="542">
        <v>17.54</v>
      </c>
      <c r="F173" s="542">
        <f t="shared" si="12"/>
        <v>1215.1259999999966</v>
      </c>
      <c r="G173" s="542">
        <f t="shared" si="13"/>
        <v>30356.874000000003</v>
      </c>
      <c r="H173" s="589">
        <f t="shared" si="14"/>
        <v>4.0028034507110198E-2</v>
      </c>
      <c r="I173" s="542"/>
      <c r="J173" s="542"/>
    </row>
    <row r="174" spans="2:10" x14ac:dyDescent="0.25">
      <c r="B174" s="537">
        <v>42669</v>
      </c>
      <c r="C174" s="541">
        <v>1000</v>
      </c>
      <c r="D174" s="588">
        <v>16.149180000000001</v>
      </c>
      <c r="E174" s="542">
        <v>17.64</v>
      </c>
      <c r="F174" s="542">
        <f t="shared" si="12"/>
        <v>1490.8199999999993</v>
      </c>
      <c r="G174" s="542">
        <f t="shared" si="13"/>
        <v>16149.18</v>
      </c>
      <c r="H174" s="589">
        <f t="shared" si="14"/>
        <v>9.2315523141113007E-2</v>
      </c>
      <c r="I174" s="542"/>
      <c r="J174" s="542"/>
    </row>
    <row r="175" spans="2:10" x14ac:dyDescent="0.25">
      <c r="B175" s="537">
        <v>42670</v>
      </c>
      <c r="C175" s="541">
        <v>1800</v>
      </c>
      <c r="D175" s="588">
        <v>16.753990000000002</v>
      </c>
      <c r="E175" s="542">
        <v>17.53</v>
      </c>
      <c r="F175" s="542">
        <f t="shared" si="12"/>
        <v>1396.8179999999988</v>
      </c>
      <c r="G175" s="542">
        <f t="shared" si="13"/>
        <v>30157.182000000004</v>
      </c>
      <c r="H175" s="589">
        <f t="shared" si="14"/>
        <v>4.6317921880101358E-2</v>
      </c>
      <c r="I175" s="542"/>
      <c r="J175" s="542"/>
    </row>
    <row r="176" spans="2:10" x14ac:dyDescent="0.25">
      <c r="B176" s="537">
        <v>42670</v>
      </c>
      <c r="C176" s="541">
        <v>2000</v>
      </c>
      <c r="D176" s="588">
        <v>16.820589999999999</v>
      </c>
      <c r="E176" s="542">
        <v>17.53</v>
      </c>
      <c r="F176" s="542">
        <f t="shared" si="12"/>
        <v>1418.8200000000038</v>
      </c>
      <c r="G176" s="542">
        <f t="shared" si="13"/>
        <v>33641.18</v>
      </c>
      <c r="H176" s="589">
        <f t="shared" si="14"/>
        <v>4.2175096117318234E-2</v>
      </c>
      <c r="I176" s="593">
        <v>16.8</v>
      </c>
      <c r="J176" s="542"/>
    </row>
    <row r="177" spans="2:17" x14ac:dyDescent="0.25">
      <c r="B177" s="537">
        <v>42671</v>
      </c>
      <c r="C177" s="541">
        <v>2000</v>
      </c>
      <c r="D177" s="588">
        <v>16.752666999999999</v>
      </c>
      <c r="E177" s="542">
        <v>17.2</v>
      </c>
      <c r="F177" s="542">
        <f t="shared" si="12"/>
        <v>894.66600000000085</v>
      </c>
      <c r="G177" s="542">
        <f t="shared" si="13"/>
        <v>33505.333999999995</v>
      </c>
      <c r="H177" s="589">
        <f t="shared" si="14"/>
        <v>2.6702196133905155E-2</v>
      </c>
      <c r="I177" s="593" t="s">
        <v>305</v>
      </c>
      <c r="J177" s="542"/>
    </row>
    <row r="178" spans="2:17" x14ac:dyDescent="0.25">
      <c r="B178" s="537">
        <v>42672</v>
      </c>
      <c r="C178" s="541">
        <v>2000</v>
      </c>
      <c r="D178" s="588">
        <v>16.752666999999999</v>
      </c>
      <c r="E178" s="542">
        <v>17.16</v>
      </c>
      <c r="F178" s="542">
        <f>-C178*(D178-E178)</f>
        <v>814.66600000000255</v>
      </c>
      <c r="G178" s="542">
        <f>IF(C178=0, 0,D178*C178)</f>
        <v>33505.333999999995</v>
      </c>
      <c r="H178" s="589">
        <f>IF(C178=0, D178, (E178-D178)/D178)</f>
        <v>2.4314516608012402E-2</v>
      </c>
      <c r="I178" s="593" t="s">
        <v>305</v>
      </c>
      <c r="J178" s="542"/>
    </row>
    <row r="179" spans="2:17" x14ac:dyDescent="0.25">
      <c r="B179" s="537">
        <v>42675</v>
      </c>
      <c r="C179" s="541">
        <v>2000</v>
      </c>
      <c r="D179" s="588">
        <v>16.742699999999999</v>
      </c>
      <c r="E179" s="542">
        <v>17.2</v>
      </c>
      <c r="F179" s="542">
        <f>-C179*(D179-E179)</f>
        <v>914.60000000000014</v>
      </c>
      <c r="G179" s="542">
        <f>IF(C179=0, 0,D179*C179)</f>
        <v>33485.4</v>
      </c>
      <c r="H179" s="589">
        <f>IF(C179=0, D179, (E179-D179)/D179)</f>
        <v>2.731339628614262E-2</v>
      </c>
      <c r="I179" s="593" t="s">
        <v>305</v>
      </c>
      <c r="J179" s="542"/>
    </row>
    <row r="180" spans="2:17" x14ac:dyDescent="0.25">
      <c r="B180" s="537">
        <v>42676</v>
      </c>
      <c r="C180" s="541">
        <v>2000</v>
      </c>
      <c r="D180" s="588">
        <v>16.742699999999999</v>
      </c>
      <c r="E180" s="542">
        <v>16.675000000000001</v>
      </c>
      <c r="F180" s="542">
        <f t="shared" ref="F180:F191" si="15">-C180*(D180-E180)</f>
        <v>-135.39999999999708</v>
      </c>
      <c r="G180" s="542">
        <f t="shared" ref="G180:G191" si="16">IF(C180=0, 0,D180*C180)</f>
        <v>33485.4</v>
      </c>
      <c r="H180" s="589">
        <f t="shared" ref="H180:H191" si="17">IF(C180=0, D180, (E180-D180)/D180)</f>
        <v>-4.0435533098006019E-3</v>
      </c>
      <c r="I180" s="542"/>
      <c r="J180" s="542"/>
    </row>
    <row r="181" spans="2:17" x14ac:dyDescent="0.25">
      <c r="B181" s="537">
        <v>42678</v>
      </c>
      <c r="C181" s="541">
        <v>2000</v>
      </c>
      <c r="D181" s="588">
        <v>16.7227</v>
      </c>
      <c r="E181" s="542">
        <v>16.68</v>
      </c>
      <c r="F181" s="542">
        <f t="shared" si="15"/>
        <v>-85.39999999999992</v>
      </c>
      <c r="G181" s="542">
        <f t="shared" si="16"/>
        <v>33445.4</v>
      </c>
      <c r="H181" s="589">
        <f t="shared" si="17"/>
        <v>-2.5534154173668102E-3</v>
      </c>
      <c r="I181" s="593" t="s">
        <v>305</v>
      </c>
      <c r="J181" s="542"/>
    </row>
    <row r="182" spans="2:17" x14ac:dyDescent="0.25">
      <c r="B182" s="537">
        <v>42701</v>
      </c>
      <c r="C182" s="541">
        <v>1800</v>
      </c>
      <c r="D182" s="588">
        <v>16.627528999999999</v>
      </c>
      <c r="E182" s="542">
        <v>20.13</v>
      </c>
      <c r="F182" s="542">
        <f t="shared" si="15"/>
        <v>6304.4477999999999</v>
      </c>
      <c r="G182" s="542">
        <f t="shared" si="16"/>
        <v>29929.552199999998</v>
      </c>
      <c r="H182" s="589">
        <f t="shared" si="17"/>
        <v>0.21064290430646671</v>
      </c>
      <c r="I182" s="542"/>
      <c r="J182" s="542"/>
    </row>
    <row r="183" spans="2:17" x14ac:dyDescent="0.25">
      <c r="B183" s="537">
        <v>42702</v>
      </c>
      <c r="C183" s="541">
        <v>1650</v>
      </c>
      <c r="D183" s="588">
        <v>16.310980000000001</v>
      </c>
      <c r="E183" s="542">
        <v>20.059999999999999</v>
      </c>
      <c r="F183" s="542">
        <f t="shared" si="15"/>
        <v>6185.8829999999971</v>
      </c>
      <c r="G183" s="542">
        <f t="shared" si="16"/>
        <v>26913.117000000002</v>
      </c>
      <c r="H183" s="589">
        <f t="shared" si="17"/>
        <v>0.22984639794788528</v>
      </c>
      <c r="I183" s="542"/>
      <c r="J183" s="542"/>
    </row>
    <row r="184" spans="2:17" x14ac:dyDescent="0.25">
      <c r="B184" s="537">
        <v>42705</v>
      </c>
      <c r="C184" s="541">
        <v>1800</v>
      </c>
      <c r="D184" s="588">
        <v>16.541699999999999</v>
      </c>
      <c r="E184" s="542">
        <v>18.48</v>
      </c>
      <c r="F184" s="542">
        <f t="shared" si="15"/>
        <v>3488.9400000000032</v>
      </c>
      <c r="G184" s="542">
        <f t="shared" si="16"/>
        <v>29775.059999999998</v>
      </c>
      <c r="H184" s="589">
        <f t="shared" si="17"/>
        <v>0.11717659007236268</v>
      </c>
      <c r="I184" s="542"/>
      <c r="J184" s="542"/>
    </row>
    <row r="185" spans="2:17" x14ac:dyDescent="0.25">
      <c r="B185" s="537">
        <v>42705</v>
      </c>
      <c r="C185" s="541">
        <v>2000</v>
      </c>
      <c r="D185" s="588">
        <v>16.707599999999999</v>
      </c>
      <c r="E185" s="542">
        <v>18.48</v>
      </c>
      <c r="F185" s="542">
        <f t="shared" si="15"/>
        <v>3544.800000000002</v>
      </c>
      <c r="G185" s="542">
        <f t="shared" si="16"/>
        <v>33415.199999999997</v>
      </c>
      <c r="H185" s="589">
        <f t="shared" si="17"/>
        <v>0.10608345902463556</v>
      </c>
      <c r="I185" s="593">
        <v>16.48</v>
      </c>
      <c r="J185" s="542"/>
    </row>
    <row r="186" spans="2:17" x14ac:dyDescent="0.25">
      <c r="B186" s="537">
        <v>42706</v>
      </c>
      <c r="C186" s="541">
        <v>1800</v>
      </c>
      <c r="D186" s="588">
        <v>16.476199999999999</v>
      </c>
      <c r="E186" s="542">
        <v>18.79</v>
      </c>
      <c r="F186" s="542">
        <f t="shared" si="15"/>
        <v>4164.8400000000011</v>
      </c>
      <c r="G186" s="542">
        <f t="shared" si="16"/>
        <v>29657.159999999996</v>
      </c>
      <c r="H186" s="589">
        <f t="shared" si="17"/>
        <v>0.14043286680181113</v>
      </c>
      <c r="I186" s="542"/>
      <c r="J186" s="542"/>
    </row>
    <row r="187" spans="2:17" x14ac:dyDescent="0.25">
      <c r="B187" s="537">
        <v>42710</v>
      </c>
      <c r="C187" s="541">
        <v>1800</v>
      </c>
      <c r="D187" s="588">
        <v>16.450700000000001</v>
      </c>
      <c r="E187" s="542">
        <v>19.059999999999999</v>
      </c>
      <c r="F187" s="542">
        <f t="shared" si="15"/>
        <v>4696.7399999999952</v>
      </c>
      <c r="G187" s="542">
        <f t="shared" si="16"/>
        <v>29611.260000000002</v>
      </c>
      <c r="H187" s="589">
        <f t="shared" si="17"/>
        <v>0.1586133112876654</v>
      </c>
      <c r="I187" s="542"/>
      <c r="J187" s="542"/>
    </row>
    <row r="188" spans="2:17" x14ac:dyDescent="0.25">
      <c r="B188" s="537">
        <v>42711</v>
      </c>
      <c r="C188" s="541">
        <v>1000</v>
      </c>
      <c r="D188" s="588">
        <v>13.444599999999999</v>
      </c>
      <c r="E188" s="542">
        <v>20.440000000000001</v>
      </c>
      <c r="F188" s="542">
        <f t="shared" si="15"/>
        <v>6995.4000000000015</v>
      </c>
      <c r="G188" s="542">
        <f t="shared" si="16"/>
        <v>13444.599999999999</v>
      </c>
      <c r="H188" s="589">
        <f t="shared" si="17"/>
        <v>0.52031298811418725</v>
      </c>
      <c r="I188" s="542"/>
      <c r="J188" s="542"/>
    </row>
    <row r="189" spans="2:17" x14ac:dyDescent="0.25">
      <c r="B189" s="537">
        <v>42716</v>
      </c>
      <c r="C189" s="541">
        <v>1800</v>
      </c>
      <c r="D189" s="588">
        <v>16.229800000000001</v>
      </c>
      <c r="E189" s="542">
        <v>20.02</v>
      </c>
      <c r="F189" s="542">
        <f t="shared" si="15"/>
        <v>6822.3599999999979</v>
      </c>
      <c r="G189" s="542">
        <f t="shared" si="16"/>
        <v>29213.640000000003</v>
      </c>
      <c r="H189" s="589">
        <f t="shared" si="17"/>
        <v>0.2335333768746379</v>
      </c>
      <c r="I189" s="542"/>
      <c r="J189" s="542"/>
    </row>
    <row r="190" spans="2:17" x14ac:dyDescent="0.25">
      <c r="B190" s="537">
        <v>42716</v>
      </c>
      <c r="C190" s="541">
        <v>1650</v>
      </c>
      <c r="D190" s="588">
        <v>15.888</v>
      </c>
      <c r="E190" s="542">
        <v>20.02</v>
      </c>
      <c r="F190" s="542">
        <f t="shared" si="15"/>
        <v>6817.7999999999993</v>
      </c>
      <c r="G190" s="542">
        <f t="shared" si="16"/>
        <v>26215.200000000001</v>
      </c>
      <c r="H190" s="589">
        <f t="shared" si="17"/>
        <v>0.26007049345417926</v>
      </c>
      <c r="I190" s="542"/>
      <c r="J190" s="542"/>
    </row>
    <row r="191" spans="2:17" x14ac:dyDescent="0.25">
      <c r="B191" s="537">
        <v>42717</v>
      </c>
      <c r="C191" s="541">
        <v>1550</v>
      </c>
      <c r="D191" s="588">
        <v>15.6</v>
      </c>
      <c r="E191" s="542">
        <v>20.13</v>
      </c>
      <c r="F191" s="542">
        <f t="shared" si="15"/>
        <v>7021.4999999999991</v>
      </c>
      <c r="G191" s="542">
        <f t="shared" si="16"/>
        <v>24180</v>
      </c>
      <c r="H191" s="589">
        <f t="shared" si="17"/>
        <v>0.29038461538461535</v>
      </c>
      <c r="I191" s="542"/>
      <c r="J191" s="542"/>
      <c r="Q191" s="4"/>
    </row>
    <row r="192" spans="2:17" x14ac:dyDescent="0.25">
      <c r="B192" s="537">
        <v>42726</v>
      </c>
      <c r="C192" s="541">
        <v>1550</v>
      </c>
      <c r="D192" s="588">
        <v>15.6</v>
      </c>
      <c r="E192" s="542">
        <v>23.2</v>
      </c>
      <c r="F192" s="542">
        <f>-C192*(D192-E192)</f>
        <v>11780</v>
      </c>
      <c r="G192" s="542">
        <f>IF(C192=0, 0,D192*C192)</f>
        <v>24180</v>
      </c>
      <c r="H192" s="589">
        <f>IF(C192=0, D192, (E192-D192)/D192)</f>
        <v>0.48717948717948717</v>
      </c>
      <c r="I192" s="542"/>
      <c r="J192" s="542"/>
      <c r="Q192" s="4"/>
    </row>
    <row r="193" spans="1:17" x14ac:dyDescent="0.25">
      <c r="B193" s="537">
        <v>42733</v>
      </c>
      <c r="C193" s="541">
        <v>1550</v>
      </c>
      <c r="D193" s="588">
        <v>15.6</v>
      </c>
      <c r="E193" s="542">
        <v>22.27</v>
      </c>
      <c r="F193" s="542">
        <f>-C193*(D193-E193)</f>
        <v>10338.5</v>
      </c>
      <c r="G193" s="542">
        <f>IF(C193=0, 0,D193*C193)</f>
        <v>24180</v>
      </c>
      <c r="H193" s="589">
        <f>IF(C193=0, D193, (E193-D193)/D193)</f>
        <v>0.42756410256410254</v>
      </c>
      <c r="I193" s="542"/>
      <c r="J193" s="542"/>
      <c r="Q193" s="4"/>
    </row>
    <row r="194" spans="1:17" x14ac:dyDescent="0.25">
      <c r="B194" s="537">
        <v>42738</v>
      </c>
      <c r="C194" s="541">
        <v>1550</v>
      </c>
      <c r="D194" s="588">
        <v>15.548634</v>
      </c>
      <c r="E194" s="542">
        <v>22.55</v>
      </c>
      <c r="F194" s="542">
        <f>-C194*(D194-E194)</f>
        <v>10852.117300000002</v>
      </c>
      <c r="G194" s="542">
        <f>IF(C194=0, 0,D194*C194)</f>
        <v>24100.382699999998</v>
      </c>
      <c r="H194" s="589">
        <f>IF(C194=0, D194, (E194-D194)/D194)</f>
        <v>0.4502881732247348</v>
      </c>
      <c r="I194" s="542"/>
      <c r="J194" s="542"/>
    </row>
    <row r="195" spans="1:17" x14ac:dyDescent="0.25">
      <c r="B195" s="537"/>
      <c r="C195" s="541"/>
      <c r="D195" s="588"/>
      <c r="E195" s="542"/>
      <c r="F195" s="542"/>
      <c r="G195" s="542"/>
      <c r="H195" s="589"/>
      <c r="I195" s="542"/>
      <c r="J195" s="542"/>
    </row>
    <row r="196" spans="1:17" x14ac:dyDescent="0.25">
      <c r="B196" s="188"/>
      <c r="C196" s="10"/>
      <c r="D196" s="195"/>
      <c r="E196" s="39"/>
      <c r="F196" s="39"/>
      <c r="G196" s="39"/>
      <c r="H196" s="227"/>
      <c r="I196" s="39"/>
      <c r="J196" s="39"/>
    </row>
    <row r="197" spans="1:17" x14ac:dyDescent="0.25">
      <c r="B197" s="188"/>
      <c r="C197" s="10"/>
      <c r="D197" s="195"/>
      <c r="E197" s="39"/>
      <c r="F197" s="39"/>
      <c r="G197" s="39"/>
      <c r="H197" s="227"/>
      <c r="I197" s="39"/>
      <c r="J197" s="39"/>
    </row>
    <row r="198" spans="1:17" x14ac:dyDescent="0.25">
      <c r="B198" s="489"/>
      <c r="C198" s="4"/>
      <c r="D198" s="3"/>
      <c r="E198" s="3"/>
      <c r="F198" s="3"/>
      <c r="G198" s="72"/>
      <c r="H198" s="180"/>
      <c r="I198" s="3"/>
      <c r="J198" s="3"/>
      <c r="K198" s="3"/>
      <c r="L198" s="4"/>
      <c r="M198" s="4"/>
    </row>
    <row r="199" spans="1:17" x14ac:dyDescent="0.25">
      <c r="B199" s="489"/>
      <c r="C199" s="4"/>
      <c r="D199" s="3"/>
      <c r="E199" s="3"/>
      <c r="F199" s="3"/>
      <c r="G199" s="72"/>
      <c r="H199" s="180"/>
      <c r="I199" s="3"/>
      <c r="J199" s="3"/>
      <c r="K199" s="3"/>
      <c r="L199" s="4"/>
      <c r="M199" s="4"/>
    </row>
    <row r="200" spans="1:17" x14ac:dyDescent="0.25">
      <c r="B200" s="186" t="s">
        <v>113</v>
      </c>
      <c r="C200" s="186" t="s">
        <v>146</v>
      </c>
      <c r="D200" s="187" t="s">
        <v>145</v>
      </c>
      <c r="E200" s="189" t="s">
        <v>147</v>
      </c>
      <c r="F200" s="190" t="s">
        <v>65</v>
      </c>
      <c r="G200" s="224" t="s">
        <v>151</v>
      </c>
      <c r="H200" s="190" t="s">
        <v>88</v>
      </c>
      <c r="I200" s="224" t="s">
        <v>154</v>
      </c>
      <c r="J200" s="224" t="s">
        <v>514</v>
      </c>
      <c r="K200" s="224" t="s">
        <v>480</v>
      </c>
      <c r="L200" s="224" t="s">
        <v>714</v>
      </c>
      <c r="M200" s="4"/>
    </row>
    <row r="201" spans="1:17" x14ac:dyDescent="0.25">
      <c r="A201" s="371" t="s">
        <v>355</v>
      </c>
      <c r="B201" s="370">
        <v>42754</v>
      </c>
      <c r="C201" s="371">
        <v>1550</v>
      </c>
      <c r="D201" s="376">
        <v>20.207419000000002</v>
      </c>
      <c r="E201" s="372">
        <v>21.71</v>
      </c>
      <c r="F201" s="372">
        <f t="shared" ref="F201:F243" si="18">-C201*(D201-E201)</f>
        <v>2329.0005499999988</v>
      </c>
      <c r="G201" s="372">
        <f>IF(C201=0, 0,D201*C201)</f>
        <v>31321.499450000003</v>
      </c>
      <c r="H201" s="374">
        <f t="shared" ref="H201:H243" si="19">IF(C201=0, D201, (E201-D201)/D201)</f>
        <v>7.4357888060815641E-2</v>
      </c>
      <c r="I201" s="372"/>
      <c r="J201" s="372"/>
      <c r="K201" s="372"/>
      <c r="L201" s="372"/>
      <c r="M201" s="4"/>
    </row>
    <row r="202" spans="1:17" x14ac:dyDescent="0.25">
      <c r="A202" s="371" t="s">
        <v>362</v>
      </c>
      <c r="B202" s="370">
        <v>42759</v>
      </c>
      <c r="C202" s="371">
        <v>1350</v>
      </c>
      <c r="D202" s="376">
        <v>19.798221999999999</v>
      </c>
      <c r="E202" s="372">
        <v>22.995000000000001</v>
      </c>
      <c r="F202" s="372">
        <f t="shared" si="18"/>
        <v>4315.650300000003</v>
      </c>
      <c r="G202" s="372">
        <f t="shared" ref="G202:G243" si="20">IF(C202=0, 0,D202*C202)</f>
        <v>26727.599699999999</v>
      </c>
      <c r="H202" s="374">
        <f t="shared" si="19"/>
        <v>0.16146793383769523</v>
      </c>
      <c r="I202" s="372"/>
      <c r="J202" s="372"/>
      <c r="K202" s="372"/>
      <c r="L202" s="372"/>
      <c r="M202" s="4"/>
    </row>
    <row r="203" spans="1:17" x14ac:dyDescent="0.25">
      <c r="A203" s="371" t="s">
        <v>363</v>
      </c>
      <c r="B203" s="370">
        <v>42759</v>
      </c>
      <c r="C203" s="371">
        <v>1550</v>
      </c>
      <c r="D203" s="376">
        <v>20.192</v>
      </c>
      <c r="E203" s="372">
        <v>22.86</v>
      </c>
      <c r="F203" s="372">
        <f t="shared" si="18"/>
        <v>4135.3999999999987</v>
      </c>
      <c r="G203" s="372">
        <f t="shared" si="20"/>
        <v>31297.599999999999</v>
      </c>
      <c r="H203" s="374">
        <f t="shared" si="19"/>
        <v>0.13213153724247223</v>
      </c>
      <c r="I203" s="372"/>
      <c r="J203" s="372"/>
      <c r="K203" s="372"/>
      <c r="L203" s="372"/>
      <c r="M203" s="4"/>
    </row>
    <row r="204" spans="1:17" x14ac:dyDescent="0.25">
      <c r="A204" s="371"/>
      <c r="B204" s="370">
        <v>42760</v>
      </c>
      <c r="C204" s="371">
        <v>950</v>
      </c>
      <c r="D204" s="376">
        <v>17.926220000000001</v>
      </c>
      <c r="E204" s="372">
        <v>23.78</v>
      </c>
      <c r="F204" s="372">
        <f t="shared" si="18"/>
        <v>5561.0910000000003</v>
      </c>
      <c r="G204" s="372">
        <f t="shared" si="20"/>
        <v>17029.909</v>
      </c>
      <c r="H204" s="374">
        <f t="shared" si="19"/>
        <v>0.32654848596078817</v>
      </c>
      <c r="I204" s="372"/>
      <c r="J204" s="372"/>
      <c r="K204" s="372"/>
      <c r="L204" s="372"/>
      <c r="M204" s="4"/>
    </row>
    <row r="205" spans="1:17" x14ac:dyDescent="0.25">
      <c r="A205" s="371" t="s">
        <v>364</v>
      </c>
      <c r="B205" s="370">
        <v>42760</v>
      </c>
      <c r="C205" s="371">
        <v>1550</v>
      </c>
      <c r="D205" s="376">
        <v>20.03736</v>
      </c>
      <c r="E205" s="372">
        <v>23.38</v>
      </c>
      <c r="F205" s="372">
        <f t="shared" si="18"/>
        <v>5181.0919999999987</v>
      </c>
      <c r="G205" s="372">
        <f t="shared" si="20"/>
        <v>31057.907999999999</v>
      </c>
      <c r="H205" s="374">
        <f t="shared" si="19"/>
        <v>0.16682037953103598</v>
      </c>
      <c r="I205" s="372">
        <v>20</v>
      </c>
      <c r="J205" s="372"/>
      <c r="K205" s="372"/>
      <c r="L205" s="372"/>
      <c r="M205" s="4"/>
    </row>
    <row r="206" spans="1:17" x14ac:dyDescent="0.25">
      <c r="A206" s="511" t="s">
        <v>386</v>
      </c>
      <c r="B206" s="510">
        <v>42765</v>
      </c>
      <c r="C206" s="511">
        <v>1350</v>
      </c>
      <c r="D206" s="512">
        <v>23.093333000000001</v>
      </c>
      <c r="E206" s="513">
        <v>24.18</v>
      </c>
      <c r="F206" s="513">
        <f t="shared" si="18"/>
        <v>1467.000449999998</v>
      </c>
      <c r="G206" s="513">
        <f t="shared" si="20"/>
        <v>31175.99955</v>
      </c>
      <c r="H206" s="514">
        <f t="shared" si="19"/>
        <v>4.7055442365118903E-2</v>
      </c>
      <c r="I206" s="513"/>
      <c r="J206" s="513"/>
      <c r="K206" s="513"/>
      <c r="L206" s="513"/>
      <c r="M206" s="4"/>
    </row>
    <row r="207" spans="1:17" x14ac:dyDescent="0.25">
      <c r="A207" s="511" t="s">
        <v>402</v>
      </c>
      <c r="B207" s="510">
        <v>42769</v>
      </c>
      <c r="C207" s="511">
        <v>1350</v>
      </c>
      <c r="D207" s="512">
        <v>23.059799999999999</v>
      </c>
      <c r="E207" s="513">
        <v>24.6</v>
      </c>
      <c r="F207" s="513">
        <f t="shared" si="18"/>
        <v>2079.2700000000032</v>
      </c>
      <c r="G207" s="513">
        <f t="shared" si="20"/>
        <v>31130.73</v>
      </c>
      <c r="H207" s="514">
        <f t="shared" si="19"/>
        <v>6.679155933702817E-2</v>
      </c>
      <c r="I207" s="513"/>
      <c r="J207" s="513"/>
      <c r="K207" s="513"/>
      <c r="L207" s="513"/>
      <c r="M207" s="4"/>
    </row>
    <row r="208" spans="1:17" x14ac:dyDescent="0.25">
      <c r="A208" s="511" t="s">
        <v>427</v>
      </c>
      <c r="B208" s="510">
        <v>42776</v>
      </c>
      <c r="C208" s="511">
        <v>1550</v>
      </c>
      <c r="D208" s="512">
        <v>23.174665000000001</v>
      </c>
      <c r="E208" s="513">
        <v>24.05</v>
      </c>
      <c r="F208" s="513">
        <f t="shared" si="18"/>
        <v>1356.7692499999996</v>
      </c>
      <c r="G208" s="513">
        <f t="shared" si="20"/>
        <v>35920.730750000002</v>
      </c>
      <c r="H208" s="514">
        <f t="shared" si="19"/>
        <v>3.7771204028191979E-2</v>
      </c>
      <c r="I208" s="513">
        <v>23</v>
      </c>
      <c r="J208" s="513"/>
      <c r="K208" s="513"/>
      <c r="L208" s="513"/>
      <c r="M208" s="4"/>
    </row>
    <row r="209" spans="1:13" x14ac:dyDescent="0.25">
      <c r="A209" s="511" t="s">
        <v>432</v>
      </c>
      <c r="B209" s="510">
        <v>42780</v>
      </c>
      <c r="C209" s="511">
        <v>1650</v>
      </c>
      <c r="D209" s="512">
        <v>23.174665000000001</v>
      </c>
      <c r="E209" s="513">
        <v>23.12</v>
      </c>
      <c r="F209" s="513">
        <f t="shared" si="18"/>
        <v>-90.19724999999994</v>
      </c>
      <c r="G209" s="513">
        <f t="shared" si="20"/>
        <v>38238.197250000005</v>
      </c>
      <c r="H209" s="514">
        <f t="shared" si="19"/>
        <v>-2.3588258988856995E-3</v>
      </c>
      <c r="I209" s="513"/>
      <c r="J209" s="513"/>
      <c r="K209" s="513"/>
      <c r="L209" s="513"/>
      <c r="M209" s="3"/>
    </row>
    <row r="210" spans="1:13" x14ac:dyDescent="0.25">
      <c r="A210" s="511" t="s">
        <v>445</v>
      </c>
      <c r="B210" s="510">
        <v>42782</v>
      </c>
      <c r="C210" s="511">
        <v>1550</v>
      </c>
      <c r="D210" s="512">
        <v>23.148890000000002</v>
      </c>
      <c r="E210" s="513">
        <v>22.98</v>
      </c>
      <c r="F210" s="513">
        <f t="shared" si="18"/>
        <v>-261.77950000000169</v>
      </c>
      <c r="G210" s="513">
        <f t="shared" si="20"/>
        <v>35880.779500000004</v>
      </c>
      <c r="H210" s="514">
        <f t="shared" si="19"/>
        <v>-7.2958141837470864E-3</v>
      </c>
      <c r="I210" s="513">
        <v>23</v>
      </c>
      <c r="J210" s="513"/>
      <c r="K210" s="513"/>
      <c r="L210" s="513"/>
      <c r="M210" s="4"/>
    </row>
    <row r="211" spans="1:13" x14ac:dyDescent="0.25">
      <c r="A211" s="649" t="s">
        <v>445</v>
      </c>
      <c r="B211" s="650">
        <v>42788</v>
      </c>
      <c r="C211" s="649">
        <v>1550</v>
      </c>
      <c r="D211" s="659">
        <v>23.390999999999998</v>
      </c>
      <c r="E211" s="651">
        <v>23.75</v>
      </c>
      <c r="F211" s="651">
        <f t="shared" si="18"/>
        <v>556.45000000000277</v>
      </c>
      <c r="G211" s="651">
        <f t="shared" si="20"/>
        <v>36256.049999999996</v>
      </c>
      <c r="H211" s="660">
        <f t="shared" si="19"/>
        <v>1.5347783335470985E-2</v>
      </c>
      <c r="I211" s="651">
        <v>23</v>
      </c>
      <c r="J211" s="651"/>
      <c r="K211" s="651"/>
      <c r="L211" s="651"/>
      <c r="M211" s="4"/>
    </row>
    <row r="212" spans="1:13" x14ac:dyDescent="0.25">
      <c r="A212" s="649" t="s">
        <v>464</v>
      </c>
      <c r="B212" s="650">
        <v>42790</v>
      </c>
      <c r="C212" s="649">
        <v>1550</v>
      </c>
      <c r="D212" s="659">
        <v>23.390999999999998</v>
      </c>
      <c r="E212" s="651">
        <v>23.24</v>
      </c>
      <c r="F212" s="651">
        <f t="shared" si="18"/>
        <v>-234.0499999999997</v>
      </c>
      <c r="G212" s="651">
        <f t="shared" si="20"/>
        <v>36256.049999999996</v>
      </c>
      <c r="H212" s="660">
        <f t="shared" si="19"/>
        <v>-6.4554743277328809E-3</v>
      </c>
      <c r="I212" s="651"/>
      <c r="J212" s="651"/>
      <c r="K212" s="651"/>
      <c r="L212" s="651"/>
      <c r="M212" s="4"/>
    </row>
    <row r="213" spans="1:13" x14ac:dyDescent="0.25">
      <c r="A213" s="649"/>
      <c r="B213" s="650">
        <v>42793</v>
      </c>
      <c r="C213" s="649">
        <v>1550</v>
      </c>
      <c r="D213" s="659">
        <v>23.390999999999998</v>
      </c>
      <c r="E213" s="651">
        <v>23.76</v>
      </c>
      <c r="F213" s="651">
        <f t="shared" si="18"/>
        <v>571.95000000000516</v>
      </c>
      <c r="G213" s="651">
        <f t="shared" si="20"/>
        <v>36256.049999999996</v>
      </c>
      <c r="H213" s="660">
        <f t="shared" si="19"/>
        <v>1.5775298191612303E-2</v>
      </c>
      <c r="I213" s="651"/>
      <c r="J213" s="651"/>
      <c r="K213" s="651"/>
      <c r="L213" s="651"/>
      <c r="M213" s="4"/>
    </row>
    <row r="214" spans="1:13" x14ac:dyDescent="0.25">
      <c r="A214" s="649">
        <v>600</v>
      </c>
      <c r="B214" s="650">
        <v>42795</v>
      </c>
      <c r="C214" s="649">
        <v>1200</v>
      </c>
      <c r="D214" s="659">
        <v>23.166550000000001</v>
      </c>
      <c r="E214" s="651">
        <v>24.55</v>
      </c>
      <c r="F214" s="651">
        <f t="shared" si="18"/>
        <v>1660.1399999999999</v>
      </c>
      <c r="G214" s="651">
        <f t="shared" si="20"/>
        <v>27799.86</v>
      </c>
      <c r="H214" s="660">
        <f t="shared" si="19"/>
        <v>5.9717566922998885E-2</v>
      </c>
      <c r="I214" s="651">
        <v>23</v>
      </c>
      <c r="J214" s="651"/>
      <c r="K214" s="651">
        <v>14210</v>
      </c>
      <c r="L214" s="651">
        <f>(G214-K214)/C214</f>
        <v>11.324883333333334</v>
      </c>
    </row>
    <row r="215" spans="1:13" x14ac:dyDescent="0.25">
      <c r="A215" s="649">
        <v>200</v>
      </c>
      <c r="B215" s="650">
        <v>42796</v>
      </c>
      <c r="C215" s="649">
        <v>1200</v>
      </c>
      <c r="D215" s="659">
        <v>22.916799999999999</v>
      </c>
      <c r="E215" s="651">
        <v>24.7</v>
      </c>
      <c r="F215" s="651">
        <f t="shared" si="18"/>
        <v>2139.8400000000011</v>
      </c>
      <c r="G215" s="651">
        <f t="shared" si="20"/>
        <v>27500.16</v>
      </c>
      <c r="H215" s="660">
        <f t="shared" si="19"/>
        <v>7.7811910912518364E-2</v>
      </c>
      <c r="I215" s="651">
        <v>22.5</v>
      </c>
      <c r="J215" s="651"/>
      <c r="K215" s="651">
        <v>14690</v>
      </c>
      <c r="L215" s="651">
        <f t="shared" ref="L215:L230" si="21">(G215-K215)/C215</f>
        <v>10.675133333333333</v>
      </c>
    </row>
    <row r="216" spans="1:13" x14ac:dyDescent="0.25">
      <c r="A216" s="649">
        <v>100</v>
      </c>
      <c r="B216" s="650">
        <v>42798</v>
      </c>
      <c r="C216" s="649">
        <v>1000</v>
      </c>
      <c r="D216" s="659">
        <v>22.424299999999999</v>
      </c>
      <c r="E216" s="651">
        <v>25.57</v>
      </c>
      <c r="F216" s="651">
        <f t="shared" si="18"/>
        <v>3145.7000000000016</v>
      </c>
      <c r="G216" s="651">
        <f t="shared" si="20"/>
        <v>22424.3</v>
      </c>
      <c r="H216" s="660">
        <f t="shared" si="19"/>
        <v>0.14028085603563997</v>
      </c>
      <c r="I216" s="651"/>
      <c r="J216" s="651"/>
      <c r="K216" s="651">
        <v>15696</v>
      </c>
      <c r="L216" s="651">
        <f t="shared" si="21"/>
        <v>6.7282999999999991</v>
      </c>
    </row>
    <row r="217" spans="1:13" x14ac:dyDescent="0.25">
      <c r="A217" s="649">
        <v>100</v>
      </c>
      <c r="B217" s="650">
        <v>42803</v>
      </c>
      <c r="C217" s="649">
        <v>1100</v>
      </c>
      <c r="D217" s="659">
        <v>22.663</v>
      </c>
      <c r="E217" s="651">
        <v>25.15</v>
      </c>
      <c r="F217" s="651">
        <f t="shared" si="18"/>
        <v>2735.699999999998</v>
      </c>
      <c r="G217" s="651">
        <f t="shared" si="20"/>
        <v>24929.3</v>
      </c>
      <c r="H217" s="660">
        <f t="shared" si="19"/>
        <v>0.1097383400255923</v>
      </c>
      <c r="I217" s="651"/>
      <c r="J217" s="651"/>
      <c r="K217" s="651">
        <v>15286</v>
      </c>
      <c r="L217" s="651">
        <f t="shared" si="21"/>
        <v>8.7666363636363638</v>
      </c>
    </row>
    <row r="218" spans="1:13" x14ac:dyDescent="0.25">
      <c r="A218" s="649">
        <v>0</v>
      </c>
      <c r="B218" s="650">
        <v>42804</v>
      </c>
      <c r="C218" s="649">
        <v>1000</v>
      </c>
      <c r="D218" s="659">
        <v>22.371400000000001</v>
      </c>
      <c r="E218" s="651">
        <v>25.18</v>
      </c>
      <c r="F218" s="651">
        <f t="shared" si="18"/>
        <v>2808.5999999999985</v>
      </c>
      <c r="G218" s="651">
        <f t="shared" si="20"/>
        <v>22371.4</v>
      </c>
      <c r="H218" s="660">
        <f t="shared" si="19"/>
        <v>0.12554422164012974</v>
      </c>
      <c r="I218" s="651"/>
      <c r="J218" s="651"/>
      <c r="K218" s="651">
        <v>15359</v>
      </c>
      <c r="L218" s="651">
        <f t="shared" si="21"/>
        <v>7.0124000000000013</v>
      </c>
    </row>
    <row r="219" spans="1:13" x14ac:dyDescent="0.25">
      <c r="A219" s="649">
        <v>200</v>
      </c>
      <c r="B219" s="650">
        <v>42808</v>
      </c>
      <c r="C219" s="649">
        <v>1000</v>
      </c>
      <c r="D219" s="659">
        <v>22.371400000000001</v>
      </c>
      <c r="E219" s="651">
        <v>25.58</v>
      </c>
      <c r="F219" s="651">
        <f t="shared" si="18"/>
        <v>3208.5999999999972</v>
      </c>
      <c r="G219" s="651">
        <f t="shared" si="20"/>
        <v>22371.4</v>
      </c>
      <c r="H219" s="660">
        <f t="shared" si="19"/>
        <v>0.1434241933897743</v>
      </c>
      <c r="I219" s="651">
        <v>22</v>
      </c>
      <c r="J219" s="651"/>
      <c r="K219" s="651">
        <v>15759</v>
      </c>
      <c r="L219" s="651">
        <f t="shared" si="21"/>
        <v>6.6124000000000018</v>
      </c>
      <c r="M219" s="4"/>
    </row>
    <row r="220" spans="1:13" x14ac:dyDescent="0.25">
      <c r="A220" s="464">
        <v>0</v>
      </c>
      <c r="B220" s="463">
        <v>42809</v>
      </c>
      <c r="C220" s="464">
        <v>1000</v>
      </c>
      <c r="D220" s="639">
        <v>24.635000000000002</v>
      </c>
      <c r="E220" s="465">
        <v>26.12</v>
      </c>
      <c r="F220" s="465">
        <f t="shared" si="18"/>
        <v>1484.9999999999995</v>
      </c>
      <c r="G220" s="465">
        <f t="shared" si="20"/>
        <v>24635</v>
      </c>
      <c r="H220" s="662">
        <f t="shared" si="19"/>
        <v>6.0280089303835979E-2</v>
      </c>
      <c r="I220" s="465">
        <v>24</v>
      </c>
      <c r="J220" s="465">
        <v>68.36</v>
      </c>
      <c r="K220" s="465">
        <v>16373</v>
      </c>
      <c r="L220" s="465">
        <f t="shared" si="21"/>
        <v>8.2620000000000005</v>
      </c>
      <c r="M220" s="4"/>
    </row>
    <row r="221" spans="1:13" x14ac:dyDescent="0.25">
      <c r="A221" s="464">
        <v>0</v>
      </c>
      <c r="B221" s="463">
        <v>42817</v>
      </c>
      <c r="C221" s="464">
        <v>900</v>
      </c>
      <c r="D221" s="639">
        <v>24.152000000000001</v>
      </c>
      <c r="E221" s="465">
        <v>26.47</v>
      </c>
      <c r="F221" s="465">
        <f t="shared" si="18"/>
        <v>2086.199999999998</v>
      </c>
      <c r="G221" s="465">
        <f t="shared" si="20"/>
        <v>21736.799999999999</v>
      </c>
      <c r="H221" s="662">
        <f t="shared" si="19"/>
        <v>9.5975488572374867E-2</v>
      </c>
      <c r="I221" s="465"/>
      <c r="J221" s="465"/>
      <c r="K221" s="465">
        <v>16974</v>
      </c>
      <c r="L221" s="465">
        <f t="shared" si="21"/>
        <v>5.2919999999999989</v>
      </c>
      <c r="M221" s="4"/>
    </row>
    <row r="222" spans="1:13" x14ac:dyDescent="0.25">
      <c r="A222" s="464">
        <v>0</v>
      </c>
      <c r="B222" s="463">
        <v>42818</v>
      </c>
      <c r="C222" s="464">
        <v>1000</v>
      </c>
      <c r="D222" s="639">
        <v>24.585000000000001</v>
      </c>
      <c r="E222" s="465">
        <v>28.43</v>
      </c>
      <c r="F222" s="465">
        <f t="shared" si="18"/>
        <v>3844.9999999999991</v>
      </c>
      <c r="G222" s="465">
        <f t="shared" si="20"/>
        <v>24585</v>
      </c>
      <c r="H222" s="662">
        <f t="shared" si="19"/>
        <v>0.15639617653040466</v>
      </c>
      <c r="I222" s="465">
        <v>24</v>
      </c>
      <c r="J222" s="465"/>
      <c r="K222" s="465">
        <v>18733</v>
      </c>
      <c r="L222" s="465">
        <f t="shared" si="21"/>
        <v>5.8520000000000003</v>
      </c>
      <c r="M222" s="4"/>
    </row>
    <row r="223" spans="1:13" x14ac:dyDescent="0.25">
      <c r="A223" s="4">
        <v>0</v>
      </c>
      <c r="B223" s="188">
        <v>42819</v>
      </c>
      <c r="C223" s="10">
        <v>1000</v>
      </c>
      <c r="D223" s="195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7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8">
        <v>42833</v>
      </c>
      <c r="C224" s="10">
        <v>1000</v>
      </c>
      <c r="D224" s="195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7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8">
        <v>42835</v>
      </c>
      <c r="C225" s="10">
        <v>1100</v>
      </c>
      <c r="D225" s="195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7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8">
        <v>42836</v>
      </c>
      <c r="C226" s="10">
        <v>1200</v>
      </c>
      <c r="D226" s="195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7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8">
        <v>42845</v>
      </c>
      <c r="C227" s="10">
        <v>1000</v>
      </c>
      <c r="D227" s="195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7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8">
        <v>42846</v>
      </c>
      <c r="C228" s="10">
        <v>1200</v>
      </c>
      <c r="D228" s="195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7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8">
        <v>42853</v>
      </c>
      <c r="C229" s="10">
        <v>1000</v>
      </c>
      <c r="D229" s="195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7">
        <f t="shared" si="19"/>
        <v>0.10910694244027583</v>
      </c>
      <c r="I229" s="197" t="s">
        <v>331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8">
        <v>42856</v>
      </c>
      <c r="C230" s="10">
        <v>950</v>
      </c>
      <c r="D230" s="195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7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8">
        <v>42864</v>
      </c>
      <c r="C231" s="10">
        <v>400</v>
      </c>
      <c r="D231" s="195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7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8">
        <v>42872</v>
      </c>
      <c r="C232" s="10">
        <v>800</v>
      </c>
      <c r="D232" s="195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7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8">
        <v>42874</v>
      </c>
      <c r="C233" s="10">
        <v>600</v>
      </c>
      <c r="D233" s="195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7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8">
        <v>42944</v>
      </c>
      <c r="C234" s="10">
        <v>450</v>
      </c>
      <c r="D234" s="195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7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8">
        <v>42947</v>
      </c>
      <c r="C235" s="10">
        <v>500</v>
      </c>
      <c r="D235" s="195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7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8">
        <v>42950</v>
      </c>
      <c r="C236" s="10">
        <v>550</v>
      </c>
      <c r="D236" s="195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7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8">
        <v>42955</v>
      </c>
      <c r="C237" s="10">
        <v>450</v>
      </c>
      <c r="D237" s="195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7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8">
        <v>42957</v>
      </c>
      <c r="C238" s="10">
        <v>550</v>
      </c>
      <c r="D238" s="195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7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8">
        <v>42962</v>
      </c>
      <c r="C239" s="10">
        <v>450</v>
      </c>
      <c r="D239" s="195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7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8">
        <v>42963</v>
      </c>
      <c r="C240" s="10">
        <v>250</v>
      </c>
      <c r="D240" s="195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7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8">
        <v>42978</v>
      </c>
      <c r="C241" s="10">
        <v>200</v>
      </c>
      <c r="D241" s="195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7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8">
        <v>42979</v>
      </c>
      <c r="C242" s="10">
        <v>150</v>
      </c>
      <c r="D242" s="195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7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8">
        <v>42983</v>
      </c>
      <c r="C243" s="10">
        <v>150</v>
      </c>
      <c r="D243" s="195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7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8"/>
      <c r="C244" s="10"/>
      <c r="D244" s="195"/>
      <c r="E244" s="39"/>
      <c r="F244" s="39"/>
      <c r="G244" s="39"/>
      <c r="H244" s="227"/>
      <c r="I244" s="39"/>
      <c r="J244" s="39"/>
      <c r="K244" s="39"/>
      <c r="L244" s="39"/>
    </row>
    <row r="245" spans="1:12" x14ac:dyDescent="0.25">
      <c r="B245" s="188"/>
      <c r="C245" s="10"/>
      <c r="D245" s="195"/>
      <c r="E245" s="39"/>
      <c r="F245" s="39"/>
      <c r="G245" s="39"/>
      <c r="H245" s="227"/>
      <c r="I245" s="39"/>
      <c r="J245" s="39"/>
      <c r="K245" s="39"/>
      <c r="L245" s="39"/>
    </row>
    <row r="246" spans="1:12" x14ac:dyDescent="0.25">
      <c r="B246" s="188"/>
      <c r="C246" s="10"/>
      <c r="D246" s="195"/>
      <c r="E246" s="39"/>
      <c r="F246" s="39"/>
      <c r="G246" s="39"/>
      <c r="H246" s="227"/>
      <c r="I246" s="39"/>
      <c r="J246" s="39"/>
      <c r="K246" s="39"/>
      <c r="L246" s="39"/>
    </row>
    <row r="247" spans="1:12" x14ac:dyDescent="0.25">
      <c r="B247" s="188"/>
      <c r="C247" s="10"/>
      <c r="D247" s="195"/>
      <c r="E247" s="39"/>
      <c r="F247" s="39"/>
      <c r="G247" s="39"/>
      <c r="H247" s="227"/>
      <c r="I247" s="39"/>
      <c r="J247" s="39"/>
      <c r="K247" s="39"/>
      <c r="L247" s="39"/>
    </row>
    <row r="248" spans="1:12" x14ac:dyDescent="0.25">
      <c r="B248" s="188"/>
      <c r="C248" s="10"/>
      <c r="D248" s="195"/>
      <c r="E248" s="39"/>
      <c r="F248" s="39"/>
      <c r="G248" s="39"/>
      <c r="H248" s="227"/>
      <c r="I248" s="39"/>
      <c r="J248" s="39"/>
      <c r="K248" s="39"/>
      <c r="L248" s="39"/>
    </row>
    <row r="250" spans="1:12" x14ac:dyDescent="0.25">
      <c r="B250" s="188"/>
      <c r="C250" s="10"/>
      <c r="D250" s="195"/>
      <c r="E250" s="39"/>
      <c r="F250" s="39"/>
      <c r="G250" s="39"/>
      <c r="H250" s="227"/>
      <c r="I250" s="39"/>
      <c r="J250" s="39"/>
    </row>
    <row r="251" spans="1:12" x14ac:dyDescent="0.25">
      <c r="B251" s="188"/>
      <c r="C251" s="10"/>
      <c r="D251" s="195"/>
      <c r="E251" s="39"/>
      <c r="F251" s="39"/>
      <c r="G251" s="39"/>
      <c r="H251" s="227"/>
      <c r="I251" s="39"/>
      <c r="J251" s="39"/>
    </row>
    <row r="252" spans="1:12" x14ac:dyDescent="0.25">
      <c r="B252" s="188"/>
      <c r="C252" s="10"/>
      <c r="D252" s="195"/>
      <c r="E252" s="39"/>
      <c r="F252" s="39"/>
      <c r="G252" s="39"/>
      <c r="H252" s="227"/>
      <c r="I252" s="39"/>
      <c r="J252" s="39"/>
    </row>
    <row r="253" spans="1:12" x14ac:dyDescent="0.25">
      <c r="B253" s="188"/>
      <c r="C253" s="10"/>
      <c r="D253" s="195"/>
      <c r="E253" s="39"/>
      <c r="F253" s="39"/>
      <c r="G253" s="39"/>
      <c r="H253" s="227"/>
      <c r="I253" s="39"/>
      <c r="J253" s="39"/>
    </row>
    <row r="254" spans="1:12" x14ac:dyDescent="0.25">
      <c r="B254" s="188"/>
      <c r="C254" s="10"/>
      <c r="D254" s="195"/>
      <c r="E254" s="39"/>
      <c r="F254" s="39"/>
      <c r="G254" s="39"/>
      <c r="H254" s="227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81" t="s">
        <v>7</v>
      </c>
      <c r="J260" s="481" t="s">
        <v>95</v>
      </c>
      <c r="K260" s="481" t="s">
        <v>61</v>
      </c>
      <c r="L260" s="31" t="s">
        <v>37</v>
      </c>
      <c r="M260" s="31" t="s">
        <v>38</v>
      </c>
    </row>
    <row r="261" spans="1:13" x14ac:dyDescent="0.25">
      <c r="A261" s="258" t="s">
        <v>34</v>
      </c>
      <c r="B261" s="562">
        <v>42166</v>
      </c>
      <c r="C261" s="254">
        <v>5</v>
      </c>
      <c r="D261" s="255">
        <v>26.04</v>
      </c>
      <c r="E261" s="255">
        <v>0</v>
      </c>
      <c r="F261" s="255">
        <f>C261*D261+E261</f>
        <v>130.19999999999999</v>
      </c>
      <c r="G261" s="259">
        <v>42186</v>
      </c>
      <c r="H261" s="254">
        <v>185</v>
      </c>
      <c r="I261" s="255">
        <v>19.75</v>
      </c>
      <c r="J261" s="255">
        <v>7.0000000000000007E-2</v>
      </c>
      <c r="K261" s="255">
        <f t="shared" ref="K261:K319" si="24">H261*I261-J261</f>
        <v>3653.68</v>
      </c>
      <c r="L261" s="254" t="s">
        <v>79</v>
      </c>
      <c r="M261" s="254"/>
    </row>
    <row r="262" spans="1:13" x14ac:dyDescent="0.25">
      <c r="A262" s="261" t="s">
        <v>71</v>
      </c>
      <c r="B262" s="562">
        <v>42167</v>
      </c>
      <c r="C262" s="254">
        <v>10</v>
      </c>
      <c r="D262" s="255">
        <v>25.1</v>
      </c>
      <c r="E262" s="255">
        <v>0</v>
      </c>
      <c r="F262" s="255">
        <f t="shared" ref="F262:F312" si="25">C262*D262+E262</f>
        <v>251</v>
      </c>
      <c r="G262" s="259">
        <v>42207</v>
      </c>
      <c r="H262" s="254">
        <v>20</v>
      </c>
      <c r="I262" s="255">
        <v>19.899999999999999</v>
      </c>
      <c r="J262" s="255">
        <v>0.01</v>
      </c>
      <c r="K262" s="255">
        <f t="shared" si="24"/>
        <v>397.99</v>
      </c>
      <c r="L262" s="254"/>
      <c r="M262" s="254"/>
    </row>
    <row r="263" spans="1:13" x14ac:dyDescent="0.25">
      <c r="A263" s="254"/>
      <c r="B263" s="562">
        <v>42179</v>
      </c>
      <c r="C263" s="254">
        <v>15</v>
      </c>
      <c r="D263" s="255">
        <v>24.51</v>
      </c>
      <c r="E263" s="255">
        <v>0</v>
      </c>
      <c r="F263" s="255">
        <f t="shared" si="25"/>
        <v>367.65000000000003</v>
      </c>
      <c r="G263" s="259">
        <v>42207</v>
      </c>
      <c r="H263" s="254">
        <v>95</v>
      </c>
      <c r="I263" s="255">
        <v>20.02</v>
      </c>
      <c r="J263" s="255">
        <v>0.5</v>
      </c>
      <c r="K263" s="255">
        <f t="shared" si="24"/>
        <v>1901.3999999999999</v>
      </c>
      <c r="L263" s="254"/>
      <c r="M263" s="254"/>
    </row>
    <row r="264" spans="1:13" x14ac:dyDescent="0.25">
      <c r="A264" s="254"/>
      <c r="B264" s="562">
        <v>42180</v>
      </c>
      <c r="C264" s="254">
        <v>100</v>
      </c>
      <c r="D264" s="255">
        <v>23.92</v>
      </c>
      <c r="E264" s="255">
        <v>0</v>
      </c>
      <c r="F264" s="255">
        <f t="shared" si="25"/>
        <v>2392</v>
      </c>
      <c r="G264" s="259">
        <v>42216</v>
      </c>
      <c r="H264" s="254">
        <v>165</v>
      </c>
      <c r="I264" s="255">
        <v>19.899999999999999</v>
      </c>
      <c r="J264" s="255">
        <v>0.06</v>
      </c>
      <c r="K264" s="255">
        <f t="shared" si="24"/>
        <v>3283.4399999999996</v>
      </c>
      <c r="L264" s="254"/>
      <c r="M264" s="254"/>
    </row>
    <row r="265" spans="1:13" x14ac:dyDescent="0.25">
      <c r="A265" s="254"/>
      <c r="B265" s="562">
        <v>42185</v>
      </c>
      <c r="C265" s="254">
        <v>50</v>
      </c>
      <c r="D265" s="255">
        <v>21.21</v>
      </c>
      <c r="E265" s="255">
        <v>0</v>
      </c>
      <c r="F265" s="255">
        <f t="shared" si="25"/>
        <v>1060.5</v>
      </c>
      <c r="G265" s="259">
        <v>42236</v>
      </c>
      <c r="H265" s="254">
        <v>630</v>
      </c>
      <c r="I265" s="255">
        <v>17.199682539682538</v>
      </c>
      <c r="J265" s="255">
        <v>0</v>
      </c>
      <c r="K265" s="255">
        <f t="shared" si="24"/>
        <v>10835.8</v>
      </c>
      <c r="L265" s="254"/>
      <c r="M265" s="254"/>
    </row>
    <row r="266" spans="1:13" x14ac:dyDescent="0.25">
      <c r="A266" s="254"/>
      <c r="B266" s="562">
        <v>42186</v>
      </c>
      <c r="C266" s="254">
        <v>50</v>
      </c>
      <c r="D266" s="255">
        <v>20.5</v>
      </c>
      <c r="E266" s="255">
        <v>0</v>
      </c>
      <c r="F266" s="255">
        <f t="shared" si="25"/>
        <v>1025</v>
      </c>
      <c r="G266" s="259">
        <v>42257</v>
      </c>
      <c r="H266" s="254">
        <v>850</v>
      </c>
      <c r="I266" s="255">
        <v>17.18</v>
      </c>
      <c r="J266" s="255">
        <v>0.27</v>
      </c>
      <c r="K266" s="255">
        <f t="shared" si="24"/>
        <v>14602.73</v>
      </c>
      <c r="L266" s="254"/>
      <c r="M266" s="254"/>
    </row>
    <row r="267" spans="1:13" x14ac:dyDescent="0.25">
      <c r="A267" s="254"/>
      <c r="B267" s="562">
        <v>42186</v>
      </c>
      <c r="C267" s="254">
        <v>170</v>
      </c>
      <c r="D267" s="255">
        <v>19.600000000000001</v>
      </c>
      <c r="E267" s="255">
        <v>0</v>
      </c>
      <c r="F267" s="255">
        <f t="shared" si="25"/>
        <v>3332.0000000000005</v>
      </c>
      <c r="G267" s="259">
        <v>42283</v>
      </c>
      <c r="H267" s="254">
        <v>1580</v>
      </c>
      <c r="I267" s="255">
        <v>15.83</v>
      </c>
      <c r="J267" s="255">
        <v>0.46</v>
      </c>
      <c r="K267" s="255">
        <f t="shared" si="24"/>
        <v>25010.940000000002</v>
      </c>
      <c r="L267" s="254"/>
      <c r="M267" s="254"/>
    </row>
    <row r="268" spans="1:13" x14ac:dyDescent="0.25">
      <c r="A268" s="254"/>
      <c r="B268" s="562">
        <v>42187</v>
      </c>
      <c r="C268" s="254">
        <v>1000</v>
      </c>
      <c r="D268" s="255">
        <v>19.2</v>
      </c>
      <c r="E268" s="255">
        <v>0</v>
      </c>
      <c r="F268" s="255">
        <f t="shared" si="25"/>
        <v>19200</v>
      </c>
      <c r="G268" s="449">
        <v>42285</v>
      </c>
      <c r="H268" s="254">
        <v>1440</v>
      </c>
      <c r="I268" s="255">
        <v>16.75</v>
      </c>
      <c r="J268" s="255">
        <v>0.44</v>
      </c>
      <c r="K268" s="255">
        <f t="shared" si="24"/>
        <v>24119.56</v>
      </c>
      <c r="L268" s="254"/>
      <c r="M268" s="254"/>
    </row>
    <row r="269" spans="1:13" x14ac:dyDescent="0.25">
      <c r="A269" s="254"/>
      <c r="B269" s="562">
        <v>42199</v>
      </c>
      <c r="C269" s="254">
        <v>100</v>
      </c>
      <c r="D269" s="255">
        <v>17.25</v>
      </c>
      <c r="E269" s="255">
        <v>0</v>
      </c>
      <c r="F269" s="255">
        <f t="shared" si="25"/>
        <v>1725</v>
      </c>
      <c r="G269" s="449">
        <v>42291</v>
      </c>
      <c r="H269" s="254">
        <v>410</v>
      </c>
      <c r="I269" s="255">
        <v>18.989999999999998</v>
      </c>
      <c r="J269" s="255">
        <v>0.14000000000000001</v>
      </c>
      <c r="K269" s="255">
        <f t="shared" si="24"/>
        <v>7785.7599999999993</v>
      </c>
      <c r="L269" s="255"/>
      <c r="M269" s="254"/>
    </row>
    <row r="270" spans="1:13" x14ac:dyDescent="0.25">
      <c r="A270" s="254"/>
      <c r="B270" s="562">
        <v>42205</v>
      </c>
      <c r="C270" s="254">
        <v>20</v>
      </c>
      <c r="D270" s="255">
        <v>18.850000000000001</v>
      </c>
      <c r="E270" s="255">
        <v>0</v>
      </c>
      <c r="F270" s="255">
        <f t="shared" si="25"/>
        <v>377</v>
      </c>
      <c r="G270" s="259">
        <v>42296</v>
      </c>
      <c r="H270" s="254">
        <v>2470</v>
      </c>
      <c r="I270" s="255">
        <v>19.100000000000001</v>
      </c>
      <c r="J270" s="255">
        <v>0.87</v>
      </c>
      <c r="K270" s="255">
        <f t="shared" si="24"/>
        <v>47176.13</v>
      </c>
      <c r="L270" s="254"/>
      <c r="M270" s="254"/>
    </row>
    <row r="271" spans="1:13" x14ac:dyDescent="0.25">
      <c r="A271" s="255"/>
      <c r="B271" s="562">
        <v>42208</v>
      </c>
      <c r="C271" s="254">
        <v>80</v>
      </c>
      <c r="D271" s="255">
        <v>18.95</v>
      </c>
      <c r="E271" s="255">
        <v>0</v>
      </c>
      <c r="F271" s="255">
        <f t="shared" si="25"/>
        <v>1516</v>
      </c>
      <c r="G271" s="259">
        <v>42310</v>
      </c>
      <c r="H271" s="254">
        <v>1100</v>
      </c>
      <c r="I271" s="255">
        <v>16.989999999999998</v>
      </c>
      <c r="J271" s="255">
        <v>7.29</v>
      </c>
      <c r="K271" s="255">
        <f t="shared" si="24"/>
        <v>18681.71</v>
      </c>
      <c r="L271" s="254"/>
      <c r="M271" s="254"/>
    </row>
    <row r="272" spans="1:13" x14ac:dyDescent="0.25">
      <c r="A272" s="254"/>
      <c r="B272" s="562">
        <v>42212</v>
      </c>
      <c r="C272" s="254">
        <v>100</v>
      </c>
      <c r="D272" s="255">
        <v>17.95</v>
      </c>
      <c r="E272" s="255">
        <v>0</v>
      </c>
      <c r="F272" s="255">
        <f t="shared" si="25"/>
        <v>1795</v>
      </c>
      <c r="G272" s="682">
        <v>42314</v>
      </c>
      <c r="H272" s="254">
        <v>2200</v>
      </c>
      <c r="I272" s="255">
        <v>17.55</v>
      </c>
      <c r="J272" s="255">
        <v>0.77</v>
      </c>
      <c r="K272" s="255">
        <f t="shared" si="24"/>
        <v>38609.230000000003</v>
      </c>
      <c r="L272" s="254"/>
      <c r="M272" s="254"/>
    </row>
    <row r="273" spans="1:13" x14ac:dyDescent="0.25">
      <c r="A273" s="254"/>
      <c r="B273" s="562">
        <v>42221</v>
      </c>
      <c r="C273" s="254">
        <v>65</v>
      </c>
      <c r="D273" s="255">
        <v>19.100000000000001</v>
      </c>
      <c r="E273" s="255">
        <v>0</v>
      </c>
      <c r="F273" s="255">
        <f t="shared" si="25"/>
        <v>1241.5</v>
      </c>
      <c r="G273" s="682"/>
      <c r="H273" s="254">
        <v>190</v>
      </c>
      <c r="I273" s="255">
        <v>17.55</v>
      </c>
      <c r="J273" s="255">
        <v>0</v>
      </c>
      <c r="K273" s="255">
        <f t="shared" si="24"/>
        <v>3334.5</v>
      </c>
      <c r="L273" s="254"/>
      <c r="M273" s="254"/>
    </row>
    <row r="274" spans="1:13" x14ac:dyDescent="0.25">
      <c r="A274" s="254"/>
      <c r="B274" s="562">
        <v>42221</v>
      </c>
      <c r="C274" s="254">
        <v>300</v>
      </c>
      <c r="D274" s="255">
        <v>18.600000000000001</v>
      </c>
      <c r="E274" s="255">
        <v>0</v>
      </c>
      <c r="F274" s="255">
        <f t="shared" si="25"/>
        <v>5580</v>
      </c>
      <c r="G274" s="259">
        <v>42320</v>
      </c>
      <c r="H274" s="254">
        <v>1000</v>
      </c>
      <c r="I274" s="255">
        <v>16.734999999999999</v>
      </c>
      <c r="J274" s="255">
        <v>0.31</v>
      </c>
      <c r="K274" s="255">
        <f t="shared" si="24"/>
        <v>16734.689999999999</v>
      </c>
      <c r="L274" s="254"/>
      <c r="M274" s="254"/>
    </row>
    <row r="275" spans="1:13" x14ac:dyDescent="0.25">
      <c r="A275" s="254"/>
      <c r="B275" s="562">
        <v>42221</v>
      </c>
      <c r="C275" s="254">
        <v>200</v>
      </c>
      <c r="D275" s="255">
        <v>18.5</v>
      </c>
      <c r="E275" s="255">
        <v>0</v>
      </c>
      <c r="F275" s="255">
        <f t="shared" si="25"/>
        <v>3700</v>
      </c>
      <c r="G275" s="259">
        <v>42328</v>
      </c>
      <c r="H275" s="254">
        <v>940</v>
      </c>
      <c r="I275" s="255">
        <v>15.51</v>
      </c>
      <c r="J275" s="255">
        <v>0.27</v>
      </c>
      <c r="K275" s="255">
        <f t="shared" si="24"/>
        <v>14579.13</v>
      </c>
      <c r="L275" s="254"/>
      <c r="M275" s="254"/>
    </row>
    <row r="276" spans="1:13" x14ac:dyDescent="0.25">
      <c r="A276" s="254"/>
      <c r="B276" s="562">
        <v>42223</v>
      </c>
      <c r="C276" s="254">
        <v>50</v>
      </c>
      <c r="D276" s="255">
        <v>18.75</v>
      </c>
      <c r="E276" s="255">
        <v>0</v>
      </c>
      <c r="F276" s="255">
        <f t="shared" si="25"/>
        <v>937.5</v>
      </c>
      <c r="G276" s="259">
        <v>42335</v>
      </c>
      <c r="H276" s="254">
        <v>940</v>
      </c>
      <c r="I276" s="255">
        <v>15.62</v>
      </c>
      <c r="J276" s="255">
        <v>0.27</v>
      </c>
      <c r="K276" s="255">
        <f t="shared" si="24"/>
        <v>14682.529999999999</v>
      </c>
      <c r="L276" s="254"/>
      <c r="M276" s="254"/>
    </row>
    <row r="277" spans="1:13" x14ac:dyDescent="0.25">
      <c r="A277" s="254"/>
      <c r="B277" s="562">
        <v>42227</v>
      </c>
      <c r="C277" s="254">
        <v>50</v>
      </c>
      <c r="D277" s="255">
        <v>18.45</v>
      </c>
      <c r="E277" s="255">
        <v>0</v>
      </c>
      <c r="F277" s="255">
        <f t="shared" si="25"/>
        <v>922.5</v>
      </c>
      <c r="G277" s="259">
        <v>42341</v>
      </c>
      <c r="H277" s="254">
        <v>350</v>
      </c>
      <c r="I277" s="255">
        <v>16.03</v>
      </c>
      <c r="J277" s="255">
        <v>0.1</v>
      </c>
      <c r="K277" s="255">
        <f t="shared" si="24"/>
        <v>5610.4</v>
      </c>
      <c r="L277" s="254"/>
      <c r="M277" s="254"/>
    </row>
    <row r="278" spans="1:13" x14ac:dyDescent="0.25">
      <c r="A278" s="254"/>
      <c r="B278" s="562">
        <v>42228</v>
      </c>
      <c r="C278" s="254">
        <v>100</v>
      </c>
      <c r="D278" s="255">
        <v>18.45</v>
      </c>
      <c r="E278" s="255">
        <v>0</v>
      </c>
      <c r="F278" s="255">
        <f t="shared" si="25"/>
        <v>1845</v>
      </c>
      <c r="G278" s="259">
        <v>42346</v>
      </c>
      <c r="H278" s="254">
        <v>200</v>
      </c>
      <c r="I278" s="255">
        <v>16.2</v>
      </c>
      <c r="J278" s="255">
        <v>0.06</v>
      </c>
      <c r="K278" s="255">
        <f t="shared" si="24"/>
        <v>3239.94</v>
      </c>
      <c r="L278" s="254"/>
      <c r="M278" s="254"/>
    </row>
    <row r="279" spans="1:13" x14ac:dyDescent="0.25">
      <c r="A279" s="254"/>
      <c r="B279" s="562">
        <v>42228</v>
      </c>
      <c r="C279" s="254">
        <v>200</v>
      </c>
      <c r="D279" s="255">
        <v>18.190000000000001</v>
      </c>
      <c r="E279" s="255">
        <v>0</v>
      </c>
      <c r="F279" s="255">
        <f t="shared" si="25"/>
        <v>3638.0000000000005</v>
      </c>
      <c r="G279" s="259">
        <v>42353</v>
      </c>
      <c r="H279" s="254">
        <v>200</v>
      </c>
      <c r="I279" s="255">
        <v>14.74</v>
      </c>
      <c r="J279" s="255">
        <v>0.05</v>
      </c>
      <c r="K279" s="255">
        <f t="shared" si="24"/>
        <v>2947.95</v>
      </c>
      <c r="L279" s="254"/>
      <c r="M279" s="254"/>
    </row>
    <row r="280" spans="1:13" x14ac:dyDescent="0.25">
      <c r="A280" s="254"/>
      <c r="B280" s="562">
        <v>42228</v>
      </c>
      <c r="C280" s="254">
        <v>200</v>
      </c>
      <c r="D280" s="255">
        <v>18.100000000000001</v>
      </c>
      <c r="E280" s="255">
        <v>0</v>
      </c>
      <c r="F280" s="255">
        <f t="shared" si="25"/>
        <v>3620.0000000000005</v>
      </c>
      <c r="G280" s="259">
        <v>42354</v>
      </c>
      <c r="H280" s="254">
        <v>940</v>
      </c>
      <c r="I280" s="255">
        <v>14.15</v>
      </c>
      <c r="J280" s="255">
        <v>0.24</v>
      </c>
      <c r="K280" s="255">
        <f t="shared" si="24"/>
        <v>13300.76</v>
      </c>
      <c r="L280" s="254"/>
      <c r="M280" s="254"/>
    </row>
    <row r="281" spans="1:13" x14ac:dyDescent="0.25">
      <c r="A281" s="254"/>
      <c r="B281" s="562">
        <v>42229</v>
      </c>
      <c r="C281" s="254">
        <v>100</v>
      </c>
      <c r="D281" s="255">
        <v>18.329999999999998</v>
      </c>
      <c r="E281" s="255">
        <v>0</v>
      </c>
      <c r="F281" s="255">
        <f t="shared" si="25"/>
        <v>1832.9999999999998</v>
      </c>
      <c r="G281" s="259">
        <v>42354</v>
      </c>
      <c r="H281" s="254">
        <v>1140</v>
      </c>
      <c r="I281" s="255">
        <v>14.06</v>
      </c>
      <c r="J281" s="255">
        <v>1.86</v>
      </c>
      <c r="K281" s="255">
        <f t="shared" si="24"/>
        <v>16026.54</v>
      </c>
      <c r="L281" s="254"/>
      <c r="M281" s="254"/>
    </row>
    <row r="282" spans="1:13" x14ac:dyDescent="0.25">
      <c r="A282" s="254"/>
      <c r="B282" s="562">
        <v>42230</v>
      </c>
      <c r="C282" s="254">
        <v>100</v>
      </c>
      <c r="D282" s="255">
        <v>18</v>
      </c>
      <c r="E282" s="255">
        <v>0</v>
      </c>
      <c r="F282" s="255">
        <f t="shared" si="25"/>
        <v>1800</v>
      </c>
      <c r="G282" s="259">
        <v>42355</v>
      </c>
      <c r="H282" s="254">
        <v>1840</v>
      </c>
      <c r="I282" s="255">
        <v>14.55</v>
      </c>
      <c r="J282" s="255">
        <v>0.49</v>
      </c>
      <c r="K282" s="255">
        <f t="shared" si="24"/>
        <v>26771.51</v>
      </c>
      <c r="L282" s="254"/>
      <c r="M282" s="254"/>
    </row>
    <row r="283" spans="1:13" x14ac:dyDescent="0.25">
      <c r="A283" s="254"/>
      <c r="B283" s="562">
        <v>42230</v>
      </c>
      <c r="C283" s="254">
        <v>200</v>
      </c>
      <c r="D283" s="255">
        <v>17.78</v>
      </c>
      <c r="E283" s="255">
        <v>0</v>
      </c>
      <c r="F283" s="255">
        <f t="shared" si="25"/>
        <v>3556</v>
      </c>
      <c r="G283" s="259">
        <v>42361</v>
      </c>
      <c r="H283" s="254">
        <v>1000</v>
      </c>
      <c r="I283" s="255">
        <v>14.39</v>
      </c>
      <c r="J283" s="255">
        <v>0.27</v>
      </c>
      <c r="K283" s="255">
        <f t="shared" si="24"/>
        <v>14389.73</v>
      </c>
      <c r="L283" s="254"/>
      <c r="M283" s="254"/>
    </row>
    <row r="284" spans="1:13" x14ac:dyDescent="0.25">
      <c r="A284" s="254"/>
      <c r="B284" s="562">
        <v>42234</v>
      </c>
      <c r="C284" s="254">
        <v>100</v>
      </c>
      <c r="D284" s="255">
        <v>17.75</v>
      </c>
      <c r="E284" s="255">
        <v>0</v>
      </c>
      <c r="F284" s="255">
        <f t="shared" si="25"/>
        <v>1775</v>
      </c>
      <c r="G284" s="259">
        <v>42361</v>
      </c>
      <c r="H284" s="254">
        <v>500</v>
      </c>
      <c r="I284" s="255">
        <v>14.4</v>
      </c>
      <c r="J284" s="255">
        <v>0.14000000000000001</v>
      </c>
      <c r="K284" s="255">
        <f t="shared" si="24"/>
        <v>7199.86</v>
      </c>
      <c r="L284" s="254"/>
      <c r="M284" s="254"/>
    </row>
    <row r="285" spans="1:13" x14ac:dyDescent="0.25">
      <c r="A285" s="254"/>
      <c r="B285" s="562">
        <v>42235</v>
      </c>
      <c r="C285" s="254">
        <v>100</v>
      </c>
      <c r="D285" s="255">
        <v>17.350000000000001</v>
      </c>
      <c r="E285" s="255">
        <v>0</v>
      </c>
      <c r="F285" s="255">
        <f t="shared" si="25"/>
        <v>1735.0000000000002</v>
      </c>
      <c r="G285" s="259">
        <v>42362</v>
      </c>
      <c r="H285" s="254">
        <v>440</v>
      </c>
      <c r="I285" s="255">
        <v>14.66</v>
      </c>
      <c r="J285" s="255">
        <v>0.12</v>
      </c>
      <c r="K285" s="255">
        <f t="shared" si="24"/>
        <v>6450.28</v>
      </c>
      <c r="L285" s="254"/>
      <c r="M285" s="254"/>
    </row>
    <row r="286" spans="1:13" x14ac:dyDescent="0.25">
      <c r="A286" s="254"/>
      <c r="B286" s="562">
        <v>42235</v>
      </c>
      <c r="C286" s="254">
        <v>100</v>
      </c>
      <c r="D286" s="255">
        <v>17.55</v>
      </c>
      <c r="E286" s="255">
        <v>0</v>
      </c>
      <c r="F286" s="255">
        <f t="shared" si="25"/>
        <v>1755</v>
      </c>
      <c r="G286" s="259">
        <v>42362</v>
      </c>
      <c r="H286" s="254">
        <v>1000</v>
      </c>
      <c r="I286" s="255">
        <v>14.76</v>
      </c>
      <c r="J286" s="255">
        <v>0.27</v>
      </c>
      <c r="K286" s="255">
        <f t="shared" si="24"/>
        <v>14759.73</v>
      </c>
      <c r="L286" s="254"/>
      <c r="M286" s="254"/>
    </row>
    <row r="287" spans="1:13" x14ac:dyDescent="0.25">
      <c r="A287" s="254"/>
      <c r="B287" s="562">
        <v>42235</v>
      </c>
      <c r="C287" s="254">
        <v>100</v>
      </c>
      <c r="D287" s="255">
        <v>17.170000000000002</v>
      </c>
      <c r="E287" s="255">
        <v>0</v>
      </c>
      <c r="F287" s="255">
        <f t="shared" si="25"/>
        <v>1717.0000000000002</v>
      </c>
      <c r="G287" s="259">
        <v>42398</v>
      </c>
      <c r="H287" s="254">
        <v>260</v>
      </c>
      <c r="I287" s="255">
        <v>10.78</v>
      </c>
      <c r="J287" s="255">
        <v>0.05</v>
      </c>
      <c r="K287" s="255">
        <f t="shared" si="24"/>
        <v>2802.7499999999995</v>
      </c>
      <c r="L287" s="254"/>
      <c r="M287" s="254"/>
    </row>
    <row r="288" spans="1:13" x14ac:dyDescent="0.25">
      <c r="A288" s="254"/>
      <c r="B288" s="562">
        <v>42235</v>
      </c>
      <c r="C288" s="254">
        <v>100</v>
      </c>
      <c r="D288" s="255">
        <v>17</v>
      </c>
      <c r="E288" s="255">
        <v>0</v>
      </c>
      <c r="F288" s="255">
        <f t="shared" si="25"/>
        <v>1700</v>
      </c>
      <c r="G288" s="259">
        <v>42418</v>
      </c>
      <c r="H288" s="254">
        <v>500</v>
      </c>
      <c r="I288" s="255">
        <v>10.67</v>
      </c>
      <c r="J288" s="255">
        <v>0.12</v>
      </c>
      <c r="K288" s="255">
        <f t="shared" si="24"/>
        <v>5334.88</v>
      </c>
      <c r="L288" s="254"/>
      <c r="M288" s="254"/>
    </row>
    <row r="289" spans="1:13" x14ac:dyDescent="0.25">
      <c r="A289" s="254"/>
      <c r="B289" s="562">
        <v>42236</v>
      </c>
      <c r="C289" s="254">
        <v>100</v>
      </c>
      <c r="D289" s="255">
        <v>16.559999999999999</v>
      </c>
      <c r="E289" s="255">
        <v>0</v>
      </c>
      <c r="F289" s="255">
        <f t="shared" si="25"/>
        <v>1655.9999999999998</v>
      </c>
      <c r="G289" s="259">
        <v>42418</v>
      </c>
      <c r="H289" s="254">
        <v>760</v>
      </c>
      <c r="I289" s="255">
        <v>10.85</v>
      </c>
      <c r="J289" s="255">
        <v>0.18</v>
      </c>
      <c r="K289" s="255">
        <f t="shared" si="24"/>
        <v>8245.82</v>
      </c>
      <c r="L289" s="254"/>
      <c r="M289" s="254"/>
    </row>
    <row r="290" spans="1:13" x14ac:dyDescent="0.25">
      <c r="A290" s="254"/>
      <c r="B290" s="562">
        <v>42236</v>
      </c>
      <c r="C290" s="254">
        <v>200</v>
      </c>
      <c r="D290" s="255">
        <v>16.21</v>
      </c>
      <c r="E290" s="255">
        <v>0</v>
      </c>
      <c r="F290" s="255">
        <f t="shared" si="25"/>
        <v>3242</v>
      </c>
      <c r="G290" s="259">
        <v>42418</v>
      </c>
      <c r="H290" s="254">
        <v>200</v>
      </c>
      <c r="I290" s="255">
        <v>11.46</v>
      </c>
      <c r="J290" s="255">
        <v>0.21</v>
      </c>
      <c r="K290" s="255">
        <f t="shared" si="24"/>
        <v>2291.79</v>
      </c>
      <c r="L290" s="254"/>
      <c r="M290" s="254"/>
    </row>
    <row r="291" spans="1:13" x14ac:dyDescent="0.25">
      <c r="A291" s="254"/>
      <c r="B291" s="562">
        <v>42236</v>
      </c>
      <c r="C291" s="254">
        <v>100</v>
      </c>
      <c r="D291" s="255">
        <v>16.399999999999999</v>
      </c>
      <c r="E291" s="255">
        <v>0</v>
      </c>
      <c r="F291" s="255">
        <f t="shared" si="25"/>
        <v>1639.9999999999998</v>
      </c>
      <c r="G291" s="259">
        <v>42418</v>
      </c>
      <c r="H291" s="260">
        <v>200</v>
      </c>
      <c r="I291" s="255">
        <v>11.7</v>
      </c>
      <c r="J291" s="255">
        <v>0.05</v>
      </c>
      <c r="K291" s="255">
        <f t="shared" si="24"/>
        <v>2339.9499999999998</v>
      </c>
      <c r="L291" s="254"/>
      <c r="M291" s="254"/>
    </row>
    <row r="292" spans="1:13" x14ac:dyDescent="0.25">
      <c r="A292" s="254"/>
      <c r="B292" s="562">
        <v>42237</v>
      </c>
      <c r="C292" s="254">
        <v>200</v>
      </c>
      <c r="D292" s="255">
        <v>16.32</v>
      </c>
      <c r="E292" s="255">
        <v>0</v>
      </c>
      <c r="F292" s="255">
        <f t="shared" si="25"/>
        <v>3264</v>
      </c>
      <c r="G292" s="259">
        <v>42431</v>
      </c>
      <c r="H292" s="260">
        <v>500</v>
      </c>
      <c r="I292" s="255">
        <v>11.57</v>
      </c>
      <c r="J292" s="255">
        <v>0.13</v>
      </c>
      <c r="K292" s="255">
        <f t="shared" si="24"/>
        <v>5784.87</v>
      </c>
      <c r="L292" s="254"/>
      <c r="M292" s="254"/>
    </row>
    <row r="293" spans="1:13" x14ac:dyDescent="0.25">
      <c r="A293" s="254"/>
      <c r="B293" s="562">
        <v>42237</v>
      </c>
      <c r="C293" s="254">
        <v>100</v>
      </c>
      <c r="D293" s="255">
        <v>16.420000000000002</v>
      </c>
      <c r="E293" s="255">
        <v>0</v>
      </c>
      <c r="F293" s="255">
        <f t="shared" si="25"/>
        <v>1642.0000000000002</v>
      </c>
      <c r="G293" s="259">
        <v>42436</v>
      </c>
      <c r="H293" s="260">
        <v>520</v>
      </c>
      <c r="I293" s="255">
        <v>11.59</v>
      </c>
      <c r="J293" s="255">
        <v>0.13</v>
      </c>
      <c r="K293" s="255">
        <f t="shared" si="24"/>
        <v>6026.67</v>
      </c>
      <c r="L293" s="254"/>
      <c r="M293" s="254"/>
    </row>
    <row r="294" spans="1:13" x14ac:dyDescent="0.25">
      <c r="A294" s="254"/>
      <c r="B294" s="562">
        <v>42240</v>
      </c>
      <c r="C294" s="254">
        <v>200</v>
      </c>
      <c r="D294" s="255">
        <v>16.27</v>
      </c>
      <c r="E294" s="255">
        <v>0</v>
      </c>
      <c r="F294" s="255">
        <f t="shared" si="25"/>
        <v>3254</v>
      </c>
      <c r="G294" s="259">
        <v>42446</v>
      </c>
      <c r="H294" s="260">
        <v>500</v>
      </c>
      <c r="I294" s="255">
        <v>10.95</v>
      </c>
      <c r="J294" s="255">
        <v>0.12</v>
      </c>
      <c r="K294" s="255">
        <f t="shared" si="24"/>
        <v>5474.88</v>
      </c>
      <c r="L294" s="254"/>
      <c r="M294" s="254"/>
    </row>
    <row r="295" spans="1:13" x14ac:dyDescent="0.25">
      <c r="A295" s="254"/>
      <c r="B295" s="562">
        <v>42240</v>
      </c>
      <c r="C295" s="254">
        <v>200</v>
      </c>
      <c r="D295" s="255">
        <v>16.2</v>
      </c>
      <c r="E295" s="255">
        <v>0</v>
      </c>
      <c r="F295" s="255">
        <f t="shared" si="25"/>
        <v>3240</v>
      </c>
      <c r="G295" s="259">
        <v>42447</v>
      </c>
      <c r="H295" s="260">
        <v>2000</v>
      </c>
      <c r="I295" s="255">
        <v>11.12</v>
      </c>
      <c r="J295" s="255">
        <v>0.48</v>
      </c>
      <c r="K295" s="255">
        <f t="shared" si="24"/>
        <v>22239.52</v>
      </c>
      <c r="L295" s="254"/>
      <c r="M295" s="254"/>
    </row>
    <row r="296" spans="1:13" x14ac:dyDescent="0.25">
      <c r="A296" s="254"/>
      <c r="B296" s="562">
        <v>42240</v>
      </c>
      <c r="C296" s="254">
        <v>100</v>
      </c>
      <c r="D296" s="255">
        <v>16.100000000000001</v>
      </c>
      <c r="E296" s="255">
        <v>0</v>
      </c>
      <c r="F296" s="255">
        <f t="shared" si="25"/>
        <v>1610.0000000000002</v>
      </c>
      <c r="G296" s="682">
        <v>42447</v>
      </c>
      <c r="H296" s="260">
        <v>355</v>
      </c>
      <c r="I296" s="255">
        <v>11.13</v>
      </c>
      <c r="J296" s="255">
        <v>0.12</v>
      </c>
      <c r="K296" s="255">
        <f t="shared" si="24"/>
        <v>3951.03</v>
      </c>
      <c r="L296" s="254"/>
      <c r="M296" s="254"/>
    </row>
    <row r="297" spans="1:13" x14ac:dyDescent="0.25">
      <c r="A297" s="254"/>
      <c r="B297" s="562">
        <v>42269</v>
      </c>
      <c r="C297" s="254">
        <v>800</v>
      </c>
      <c r="D297" s="255">
        <v>16.399999999999999</v>
      </c>
      <c r="E297" s="255">
        <v>0</v>
      </c>
      <c r="F297" s="255">
        <f t="shared" si="25"/>
        <v>13119.999999999998</v>
      </c>
      <c r="G297" s="682"/>
      <c r="H297" s="260">
        <v>40</v>
      </c>
      <c r="I297" s="255">
        <v>11.13</v>
      </c>
      <c r="J297" s="255">
        <v>0</v>
      </c>
      <c r="K297" s="255">
        <f t="shared" si="24"/>
        <v>445.20000000000005</v>
      </c>
      <c r="L297" s="254"/>
      <c r="M297" s="254"/>
    </row>
    <row r="298" spans="1:13" x14ac:dyDescent="0.25">
      <c r="A298" s="254"/>
      <c r="B298" s="562">
        <v>42270</v>
      </c>
      <c r="C298" s="254">
        <v>500</v>
      </c>
      <c r="D298" s="255">
        <v>15.8</v>
      </c>
      <c r="E298" s="255">
        <v>0</v>
      </c>
      <c r="F298" s="255">
        <f t="shared" si="25"/>
        <v>7900</v>
      </c>
      <c r="G298" s="682"/>
      <c r="H298" s="260">
        <v>105</v>
      </c>
      <c r="I298" s="255">
        <v>11.13</v>
      </c>
      <c r="J298" s="255">
        <v>0</v>
      </c>
      <c r="K298" s="255">
        <f t="shared" si="24"/>
        <v>1168.6500000000001</v>
      </c>
      <c r="L298" s="254"/>
      <c r="M298" s="254"/>
    </row>
    <row r="299" spans="1:13" x14ac:dyDescent="0.25">
      <c r="A299" s="254"/>
      <c r="B299" s="562">
        <v>42270</v>
      </c>
      <c r="C299" s="254">
        <v>1000</v>
      </c>
      <c r="D299" s="255">
        <v>15.6</v>
      </c>
      <c r="E299" s="255">
        <v>0</v>
      </c>
      <c r="F299" s="255">
        <f t="shared" si="25"/>
        <v>15600</v>
      </c>
      <c r="G299" s="259">
        <v>42450</v>
      </c>
      <c r="H299" s="260">
        <v>1300</v>
      </c>
      <c r="I299" s="255">
        <v>11.59</v>
      </c>
      <c r="J299" s="255">
        <v>0.33</v>
      </c>
      <c r="K299" s="255">
        <f t="shared" si="24"/>
        <v>15066.67</v>
      </c>
      <c r="L299" s="254"/>
      <c r="M299" s="254"/>
    </row>
    <row r="300" spans="1:13" x14ac:dyDescent="0.25">
      <c r="A300" s="254"/>
      <c r="B300" s="562">
        <v>42270</v>
      </c>
      <c r="C300" s="254">
        <v>180</v>
      </c>
      <c r="D300" s="255">
        <v>15.4</v>
      </c>
      <c r="E300" s="255">
        <v>0</v>
      </c>
      <c r="F300" s="255">
        <f t="shared" si="25"/>
        <v>2772</v>
      </c>
      <c r="G300" s="259">
        <v>42461</v>
      </c>
      <c r="H300" s="260">
        <v>100</v>
      </c>
      <c r="I300" s="255">
        <v>10.92</v>
      </c>
      <c r="J300" s="255">
        <v>0.02</v>
      </c>
      <c r="K300" s="255">
        <f t="shared" si="24"/>
        <v>1091.98</v>
      </c>
      <c r="L300" s="254"/>
      <c r="M300" s="254"/>
    </row>
    <row r="301" spans="1:13" x14ac:dyDescent="0.25">
      <c r="A301" s="254"/>
      <c r="B301" s="562">
        <v>42275</v>
      </c>
      <c r="C301" s="254">
        <v>200</v>
      </c>
      <c r="D301" s="255">
        <v>15</v>
      </c>
      <c r="E301" s="255">
        <v>0</v>
      </c>
      <c r="F301" s="255">
        <f t="shared" si="25"/>
        <v>3000</v>
      </c>
      <c r="G301" s="259">
        <v>42468</v>
      </c>
      <c r="H301" s="260">
        <v>500</v>
      </c>
      <c r="I301" s="255">
        <v>10.83</v>
      </c>
      <c r="J301" s="255">
        <v>0.12</v>
      </c>
      <c r="K301" s="255">
        <f t="shared" si="24"/>
        <v>5414.88</v>
      </c>
      <c r="L301" s="254"/>
      <c r="M301" s="254"/>
    </row>
    <row r="302" spans="1:13" x14ac:dyDescent="0.25">
      <c r="A302" s="254"/>
      <c r="B302" s="562">
        <v>42277</v>
      </c>
      <c r="C302" s="254">
        <v>200</v>
      </c>
      <c r="D302" s="255">
        <v>14.75</v>
      </c>
      <c r="E302" s="255">
        <v>0</v>
      </c>
      <c r="F302" s="255">
        <f t="shared" si="25"/>
        <v>2950</v>
      </c>
      <c r="G302" s="259">
        <v>42473</v>
      </c>
      <c r="H302" s="260">
        <v>600</v>
      </c>
      <c r="I302" s="255">
        <v>10.76</v>
      </c>
      <c r="J302" s="255">
        <v>0.14000000000000001</v>
      </c>
      <c r="K302" s="255">
        <f t="shared" si="24"/>
        <v>6455.86</v>
      </c>
      <c r="L302" s="254"/>
      <c r="M302" s="255"/>
    </row>
    <row r="303" spans="1:13" x14ac:dyDescent="0.25">
      <c r="A303" s="254"/>
      <c r="B303" s="562">
        <v>42291</v>
      </c>
      <c r="C303" s="254">
        <v>400</v>
      </c>
      <c r="D303" s="255">
        <v>18.7</v>
      </c>
      <c r="E303" s="255">
        <v>0</v>
      </c>
      <c r="F303" s="255">
        <f t="shared" si="25"/>
        <v>7480</v>
      </c>
      <c r="G303" s="259">
        <v>42486</v>
      </c>
      <c r="H303" s="260">
        <v>500</v>
      </c>
      <c r="I303" s="255">
        <v>11.19</v>
      </c>
      <c r="J303" s="255">
        <v>0.12</v>
      </c>
      <c r="K303" s="255">
        <f t="shared" si="24"/>
        <v>5594.88</v>
      </c>
      <c r="L303" s="254"/>
      <c r="M303" s="254"/>
    </row>
    <row r="304" spans="1:13" x14ac:dyDescent="0.25">
      <c r="A304" s="254"/>
      <c r="B304" s="562">
        <v>42297</v>
      </c>
      <c r="C304" s="254">
        <v>2000</v>
      </c>
      <c r="D304" s="255">
        <v>18.649999999999999</v>
      </c>
      <c r="E304" s="255">
        <v>0</v>
      </c>
      <c r="F304" s="255">
        <f t="shared" si="25"/>
        <v>37300</v>
      </c>
      <c r="G304" s="259">
        <v>42486</v>
      </c>
      <c r="H304" s="260">
        <v>500</v>
      </c>
      <c r="I304" s="255">
        <v>11.56</v>
      </c>
      <c r="J304" s="255">
        <v>0.13</v>
      </c>
      <c r="K304" s="255">
        <f t="shared" si="24"/>
        <v>5779.87</v>
      </c>
      <c r="L304" s="254"/>
      <c r="M304" s="254"/>
    </row>
    <row r="305" spans="1:13" x14ac:dyDescent="0.25">
      <c r="A305" s="254"/>
      <c r="B305" s="562">
        <v>42300</v>
      </c>
      <c r="C305" s="254">
        <v>1000</v>
      </c>
      <c r="D305" s="255">
        <v>17.7</v>
      </c>
      <c r="E305" s="255">
        <v>0</v>
      </c>
      <c r="F305" s="255">
        <f t="shared" si="25"/>
        <v>17700</v>
      </c>
      <c r="G305" s="259">
        <v>42488</v>
      </c>
      <c r="H305" s="260">
        <v>600</v>
      </c>
      <c r="I305" s="255">
        <v>12.19</v>
      </c>
      <c r="J305" s="255">
        <v>0.16</v>
      </c>
      <c r="K305" s="255">
        <f t="shared" si="24"/>
        <v>7313.84</v>
      </c>
      <c r="L305" s="254"/>
      <c r="M305" s="254"/>
    </row>
    <row r="306" spans="1:13" x14ac:dyDescent="0.25">
      <c r="A306" s="254"/>
      <c r="B306" s="562">
        <v>42300</v>
      </c>
      <c r="C306" s="254">
        <v>700</v>
      </c>
      <c r="D306" s="255">
        <v>17.22</v>
      </c>
      <c r="E306" s="255">
        <v>0</v>
      </c>
      <c r="F306" s="255">
        <f t="shared" si="25"/>
        <v>12054</v>
      </c>
      <c r="G306" s="259">
        <v>42488</v>
      </c>
      <c r="H306" s="260">
        <v>600</v>
      </c>
      <c r="I306" s="255">
        <v>12.4</v>
      </c>
      <c r="J306" s="255">
        <v>2.2599999999999998</v>
      </c>
      <c r="K306" s="255">
        <f t="shared" si="24"/>
        <v>7437.74</v>
      </c>
      <c r="L306" s="254"/>
      <c r="M306" s="254"/>
    </row>
    <row r="307" spans="1:13" x14ac:dyDescent="0.25">
      <c r="A307" s="254"/>
      <c r="B307" s="562">
        <v>42300</v>
      </c>
      <c r="C307" s="254">
        <v>1000</v>
      </c>
      <c r="D307" s="255">
        <v>16.999500000000001</v>
      </c>
      <c r="E307" s="255">
        <v>0</v>
      </c>
      <c r="F307" s="255">
        <f t="shared" si="25"/>
        <v>16999.5</v>
      </c>
      <c r="G307" s="259">
        <v>42495</v>
      </c>
      <c r="H307" s="260">
        <v>1000</v>
      </c>
      <c r="I307" s="255">
        <v>10.31</v>
      </c>
      <c r="J307" s="255">
        <v>0.22</v>
      </c>
      <c r="K307" s="255">
        <f t="shared" si="24"/>
        <v>10309.780000000001</v>
      </c>
      <c r="L307" s="254"/>
      <c r="M307" s="254"/>
    </row>
    <row r="308" spans="1:13" x14ac:dyDescent="0.25">
      <c r="A308" s="254"/>
      <c r="B308" s="562">
        <v>42310</v>
      </c>
      <c r="C308" s="254">
        <v>900</v>
      </c>
      <c r="D308" s="255">
        <v>16.89667</v>
      </c>
      <c r="E308" s="255">
        <v>6.95</v>
      </c>
      <c r="F308" s="255">
        <f t="shared" si="25"/>
        <v>15213.953000000001</v>
      </c>
      <c r="G308" s="259">
        <v>42503</v>
      </c>
      <c r="H308" s="260">
        <v>2000</v>
      </c>
      <c r="I308" s="255">
        <v>9.73</v>
      </c>
      <c r="J308" s="255">
        <v>0.42</v>
      </c>
      <c r="K308" s="255">
        <f t="shared" si="24"/>
        <v>19459.580000000002</v>
      </c>
      <c r="L308" s="254"/>
      <c r="M308" s="254"/>
    </row>
    <row r="309" spans="1:13" x14ac:dyDescent="0.25">
      <c r="A309" s="254"/>
      <c r="B309" s="562">
        <v>42311</v>
      </c>
      <c r="C309" s="254">
        <v>200</v>
      </c>
      <c r="D309" s="255">
        <v>16.27</v>
      </c>
      <c r="E309" s="255">
        <v>6.95</v>
      </c>
      <c r="F309" s="255">
        <f t="shared" si="25"/>
        <v>3260.95</v>
      </c>
      <c r="G309" s="259">
        <v>42503</v>
      </c>
      <c r="H309" s="260">
        <v>2000</v>
      </c>
      <c r="I309" s="255">
        <v>9.76</v>
      </c>
      <c r="J309" s="255">
        <v>0.43</v>
      </c>
      <c r="K309" s="255">
        <f t="shared" si="24"/>
        <v>19519.57</v>
      </c>
      <c r="L309" s="254"/>
      <c r="M309" s="254"/>
    </row>
    <row r="310" spans="1:13" x14ac:dyDescent="0.25">
      <c r="A310" s="254"/>
      <c r="B310" s="684">
        <v>42317</v>
      </c>
      <c r="C310" s="254">
        <v>190</v>
      </c>
      <c r="D310" s="255">
        <v>17.100000000000001</v>
      </c>
      <c r="E310" s="255">
        <v>0</v>
      </c>
      <c r="F310" s="255">
        <f t="shared" si="25"/>
        <v>3249.0000000000005</v>
      </c>
      <c r="G310" s="682">
        <v>42510</v>
      </c>
      <c r="H310" s="260">
        <v>240</v>
      </c>
      <c r="I310" s="255">
        <v>10.75</v>
      </c>
      <c r="J310" s="255">
        <v>0.12</v>
      </c>
      <c r="K310" s="255">
        <f t="shared" si="24"/>
        <v>2579.88</v>
      </c>
      <c r="L310" s="254"/>
      <c r="M310" s="254"/>
    </row>
    <row r="311" spans="1:13" x14ac:dyDescent="0.25">
      <c r="A311" s="254"/>
      <c r="B311" s="684"/>
      <c r="C311" s="254">
        <v>2</v>
      </c>
      <c r="D311" s="255">
        <v>17.100000000000001</v>
      </c>
      <c r="E311" s="255">
        <v>0</v>
      </c>
      <c r="F311" s="255">
        <f t="shared" si="25"/>
        <v>34.200000000000003</v>
      </c>
      <c r="G311" s="682"/>
      <c r="H311" s="260">
        <v>260</v>
      </c>
      <c r="I311" s="255">
        <v>10.75</v>
      </c>
      <c r="J311" s="255">
        <v>0</v>
      </c>
      <c r="K311" s="255">
        <f t="shared" si="24"/>
        <v>2795</v>
      </c>
      <c r="L311" s="254"/>
      <c r="M311" s="254"/>
    </row>
    <row r="312" spans="1:13" x14ac:dyDescent="0.25">
      <c r="A312" s="254"/>
      <c r="B312" s="684">
        <v>42318</v>
      </c>
      <c r="C312" s="254">
        <v>8</v>
      </c>
      <c r="D312" s="255">
        <v>16.989999999999998</v>
      </c>
      <c r="E312" s="255">
        <v>0</v>
      </c>
      <c r="F312" s="255">
        <f t="shared" si="25"/>
        <v>135.91999999999999</v>
      </c>
      <c r="G312" s="259">
        <v>42514</v>
      </c>
      <c r="H312" s="260">
        <v>500</v>
      </c>
      <c r="I312" s="255">
        <v>11.37</v>
      </c>
      <c r="J312" s="255">
        <v>0.12</v>
      </c>
      <c r="K312" s="255">
        <f t="shared" si="24"/>
        <v>5684.88</v>
      </c>
      <c r="L312" s="254"/>
      <c r="M312" s="254"/>
    </row>
    <row r="313" spans="1:13" x14ac:dyDescent="0.25">
      <c r="A313" s="254"/>
      <c r="B313" s="684"/>
      <c r="C313" s="254">
        <v>500</v>
      </c>
      <c r="D313" s="255">
        <v>16.989999999999998</v>
      </c>
      <c r="E313" s="255">
        <v>0</v>
      </c>
      <c r="F313" s="255">
        <f>C313*D313+E313</f>
        <v>8495</v>
      </c>
      <c r="G313" s="259">
        <v>42514</v>
      </c>
      <c r="H313" s="260">
        <v>500</v>
      </c>
      <c r="I313" s="255">
        <v>11.54</v>
      </c>
      <c r="J313" s="255">
        <v>0.13</v>
      </c>
      <c r="K313" s="255">
        <f t="shared" si="24"/>
        <v>5769.87</v>
      </c>
      <c r="L313" s="254"/>
      <c r="M313" s="254"/>
    </row>
    <row r="314" spans="1:13" x14ac:dyDescent="0.25">
      <c r="A314" s="254"/>
      <c r="B314" s="684"/>
      <c r="C314" s="254">
        <v>300</v>
      </c>
      <c r="D314" s="255">
        <v>16.989999999999998</v>
      </c>
      <c r="E314" s="255">
        <v>0</v>
      </c>
      <c r="F314" s="255">
        <f>C314*D314+E314</f>
        <v>5096.9999999999991</v>
      </c>
      <c r="G314" s="259">
        <v>42514</v>
      </c>
      <c r="H314" s="260">
        <v>500</v>
      </c>
      <c r="I314" s="255">
        <v>11.76</v>
      </c>
      <c r="J314" s="255">
        <v>0.13</v>
      </c>
      <c r="K314" s="255">
        <f t="shared" si="24"/>
        <v>5879.87</v>
      </c>
      <c r="L314" s="254"/>
      <c r="M314" s="254"/>
    </row>
    <row r="315" spans="1:13" x14ac:dyDescent="0.25">
      <c r="A315" s="254"/>
      <c r="B315" s="684"/>
      <c r="C315" s="254">
        <v>1000</v>
      </c>
      <c r="D315" s="255">
        <v>16.989999999999998</v>
      </c>
      <c r="E315" s="255">
        <v>0</v>
      </c>
      <c r="F315" s="255">
        <f>C315*D315+E315</f>
        <v>16990</v>
      </c>
      <c r="G315" s="259">
        <v>42515</v>
      </c>
      <c r="H315" s="260">
        <v>500</v>
      </c>
      <c r="I315" s="255">
        <v>11.96</v>
      </c>
      <c r="J315" s="255">
        <v>0.13</v>
      </c>
      <c r="K315" s="255">
        <f t="shared" si="24"/>
        <v>5979.87</v>
      </c>
      <c r="L315" s="254"/>
      <c r="M315" s="254"/>
    </row>
    <row r="316" spans="1:13" x14ac:dyDescent="0.25">
      <c r="A316" s="254"/>
      <c r="B316" s="562">
        <v>42318</v>
      </c>
      <c r="C316" s="254">
        <v>500</v>
      </c>
      <c r="D316" s="255">
        <v>16.59</v>
      </c>
      <c r="E316" s="255">
        <v>0</v>
      </c>
      <c r="F316" s="255">
        <f t="shared" ref="F316:F379" si="26">C316*D316+E316</f>
        <v>8295</v>
      </c>
      <c r="G316" s="259">
        <v>42517</v>
      </c>
      <c r="H316" s="260">
        <v>1000</v>
      </c>
      <c r="I316" s="255">
        <v>12.31</v>
      </c>
      <c r="J316" s="255">
        <v>0.27</v>
      </c>
      <c r="K316" s="255">
        <f t="shared" si="24"/>
        <v>12309.73</v>
      </c>
      <c r="L316" s="254"/>
      <c r="M316" s="254"/>
    </row>
    <row r="317" spans="1:13" x14ac:dyDescent="0.25">
      <c r="A317" s="254"/>
      <c r="B317" s="562">
        <v>42318</v>
      </c>
      <c r="C317" s="254">
        <v>500</v>
      </c>
      <c r="D317" s="255">
        <v>16.489999999999998</v>
      </c>
      <c r="E317" s="255">
        <v>0</v>
      </c>
      <c r="F317" s="255">
        <f t="shared" si="26"/>
        <v>8245</v>
      </c>
      <c r="G317" s="259">
        <v>42517</v>
      </c>
      <c r="H317" s="260">
        <v>1000</v>
      </c>
      <c r="I317" s="255">
        <v>12.33</v>
      </c>
      <c r="J317" s="255">
        <v>0.27</v>
      </c>
      <c r="K317" s="255">
        <f t="shared" si="24"/>
        <v>12329.73</v>
      </c>
      <c r="L317" s="254"/>
      <c r="M317" s="254"/>
    </row>
    <row r="318" spans="1:13" x14ac:dyDescent="0.25">
      <c r="A318" s="254"/>
      <c r="B318" s="562">
        <v>42321</v>
      </c>
      <c r="C318" s="254">
        <v>350</v>
      </c>
      <c r="D318" s="255">
        <v>15.82</v>
      </c>
      <c r="E318" s="255">
        <v>0</v>
      </c>
      <c r="F318" s="255">
        <f t="shared" si="26"/>
        <v>5537</v>
      </c>
      <c r="G318" s="259">
        <v>42521</v>
      </c>
      <c r="H318" s="260">
        <v>500</v>
      </c>
      <c r="I318" s="255">
        <v>12.76</v>
      </c>
      <c r="J318" s="255">
        <v>0.14000000000000001</v>
      </c>
      <c r="K318" s="255">
        <f t="shared" si="24"/>
        <v>6379.86</v>
      </c>
      <c r="L318" s="254"/>
      <c r="M318" s="254"/>
    </row>
    <row r="319" spans="1:13" x14ac:dyDescent="0.25">
      <c r="A319" s="254"/>
      <c r="B319" s="562">
        <v>42327</v>
      </c>
      <c r="C319" s="254">
        <v>500</v>
      </c>
      <c r="D319" s="255">
        <v>14.82</v>
      </c>
      <c r="E319" s="255">
        <v>0</v>
      </c>
      <c r="F319" s="255">
        <f t="shared" si="26"/>
        <v>7410</v>
      </c>
      <c r="G319" s="259">
        <v>42521</v>
      </c>
      <c r="H319" s="260">
        <v>500</v>
      </c>
      <c r="I319" s="255">
        <v>12.76</v>
      </c>
      <c r="J319" s="255">
        <v>0.14000000000000001</v>
      </c>
      <c r="K319" s="255">
        <f t="shared" si="24"/>
        <v>6379.86</v>
      </c>
      <c r="L319" s="254"/>
      <c r="M319" s="254"/>
    </row>
    <row r="320" spans="1:13" x14ac:dyDescent="0.25">
      <c r="A320" s="254"/>
      <c r="B320" s="562">
        <v>42327</v>
      </c>
      <c r="C320" s="254">
        <v>440</v>
      </c>
      <c r="D320" s="255">
        <v>14.68</v>
      </c>
      <c r="E320" s="255">
        <v>0</v>
      </c>
      <c r="F320" s="255">
        <f t="shared" si="26"/>
        <v>6459.2</v>
      </c>
      <c r="G320" s="254"/>
      <c r="H320" s="254"/>
      <c r="I320" s="255"/>
      <c r="J320" s="255"/>
      <c r="K320" s="255"/>
      <c r="L320" s="254"/>
      <c r="M320" s="254"/>
    </row>
    <row r="321" spans="1:13" x14ac:dyDescent="0.25">
      <c r="A321" s="254"/>
      <c r="B321" s="562">
        <v>42333</v>
      </c>
      <c r="C321" s="254">
        <v>940</v>
      </c>
      <c r="D321" s="254">
        <v>15.35</v>
      </c>
      <c r="E321" s="255">
        <v>0</v>
      </c>
      <c r="F321" s="255">
        <f t="shared" si="26"/>
        <v>14429</v>
      </c>
      <c r="G321" s="254"/>
      <c r="H321" s="254"/>
      <c r="I321" s="255"/>
      <c r="J321" s="255"/>
      <c r="K321" s="255"/>
      <c r="L321" s="254"/>
      <c r="M321" s="254"/>
    </row>
    <row r="322" spans="1:13" ht="15" customHeight="1" x14ac:dyDescent="0.25">
      <c r="A322" s="254"/>
      <c r="B322" s="562">
        <v>42340</v>
      </c>
      <c r="C322" s="254">
        <v>350</v>
      </c>
      <c r="D322" s="254">
        <v>15.85</v>
      </c>
      <c r="E322" s="255">
        <v>0</v>
      </c>
      <c r="F322" s="255">
        <f t="shared" si="26"/>
        <v>5547.5</v>
      </c>
      <c r="G322" s="254"/>
      <c r="H322" s="254"/>
      <c r="I322" s="255"/>
      <c r="J322" s="255"/>
      <c r="K322" s="255"/>
      <c r="L322" s="254"/>
      <c r="M322" s="254"/>
    </row>
    <row r="323" spans="1:13" x14ac:dyDescent="0.25">
      <c r="A323" s="254"/>
      <c r="B323" s="562">
        <v>42346</v>
      </c>
      <c r="C323" s="254">
        <v>200</v>
      </c>
      <c r="D323" s="254">
        <v>15.55</v>
      </c>
      <c r="E323" s="255">
        <v>0</v>
      </c>
      <c r="F323" s="255">
        <f t="shared" si="26"/>
        <v>3110</v>
      </c>
      <c r="G323" s="254"/>
      <c r="H323" s="254"/>
      <c r="I323" s="255"/>
      <c r="J323" s="255"/>
      <c r="K323" s="255"/>
      <c r="L323" s="254"/>
      <c r="M323" s="254"/>
    </row>
    <row r="324" spans="1:13" x14ac:dyDescent="0.25">
      <c r="A324" s="254"/>
      <c r="B324" s="562">
        <v>42352</v>
      </c>
      <c r="C324" s="254">
        <v>200</v>
      </c>
      <c r="D324" s="255">
        <v>14.4</v>
      </c>
      <c r="E324" s="255">
        <v>0</v>
      </c>
      <c r="F324" s="255">
        <f t="shared" si="26"/>
        <v>2880</v>
      </c>
      <c r="G324" s="254"/>
      <c r="H324" s="254"/>
      <c r="I324" s="255"/>
      <c r="J324" s="255"/>
      <c r="K324" s="255"/>
      <c r="L324" s="254"/>
      <c r="M324" s="254"/>
    </row>
    <row r="325" spans="1:13" x14ac:dyDescent="0.25">
      <c r="A325" s="254"/>
      <c r="B325" s="562">
        <v>42354</v>
      </c>
      <c r="C325" s="254">
        <v>940</v>
      </c>
      <c r="D325" s="255">
        <v>14.1</v>
      </c>
      <c r="E325" s="255">
        <v>0</v>
      </c>
      <c r="F325" s="255">
        <f t="shared" si="26"/>
        <v>13254</v>
      </c>
      <c r="G325" s="254"/>
      <c r="H325" s="254"/>
      <c r="I325" s="255"/>
      <c r="J325" s="255"/>
      <c r="K325" s="255"/>
      <c r="L325" s="254"/>
      <c r="M325" s="254"/>
    </row>
    <row r="326" spans="1:13" x14ac:dyDescent="0.25">
      <c r="A326" s="254"/>
      <c r="B326" s="562">
        <v>42354</v>
      </c>
      <c r="C326" s="254">
        <v>940</v>
      </c>
      <c r="D326" s="254">
        <v>14.03</v>
      </c>
      <c r="E326" s="255">
        <v>0</v>
      </c>
      <c r="F326" s="255">
        <f t="shared" si="26"/>
        <v>13188.199999999999</v>
      </c>
      <c r="G326" s="254"/>
      <c r="H326" s="254"/>
      <c r="I326" s="255"/>
      <c r="J326" s="255"/>
      <c r="K326" s="255"/>
      <c r="L326" s="254"/>
      <c r="M326" s="254"/>
    </row>
    <row r="327" spans="1:13" x14ac:dyDescent="0.25">
      <c r="A327" s="254"/>
      <c r="B327" s="562">
        <v>42354</v>
      </c>
      <c r="C327" s="254">
        <v>200</v>
      </c>
      <c r="D327" s="254">
        <v>14.01</v>
      </c>
      <c r="E327" s="255">
        <v>0</v>
      </c>
      <c r="F327" s="255">
        <f t="shared" si="26"/>
        <v>2802</v>
      </c>
      <c r="G327" s="254"/>
      <c r="H327" s="254"/>
      <c r="I327" s="255"/>
      <c r="J327" s="255"/>
      <c r="K327" s="255"/>
      <c r="L327" s="254"/>
      <c r="M327" s="254"/>
    </row>
    <row r="328" spans="1:13" x14ac:dyDescent="0.25">
      <c r="A328" s="254"/>
      <c r="B328" s="562">
        <v>42355</v>
      </c>
      <c r="C328" s="254">
        <v>1840</v>
      </c>
      <c r="D328" s="255">
        <v>14.5</v>
      </c>
      <c r="E328" s="255">
        <v>3.4</v>
      </c>
      <c r="F328" s="255">
        <f t="shared" si="26"/>
        <v>26683.4</v>
      </c>
      <c r="G328" s="259"/>
      <c r="H328" s="260"/>
      <c r="I328" s="255"/>
      <c r="J328" s="255"/>
      <c r="K328" s="255"/>
      <c r="L328" s="254"/>
      <c r="M328" s="254"/>
    </row>
    <row r="329" spans="1:13" x14ac:dyDescent="0.25">
      <c r="A329" s="254"/>
      <c r="B329" s="684">
        <v>42361</v>
      </c>
      <c r="C329" s="254">
        <v>1000</v>
      </c>
      <c r="D329" s="255">
        <v>14.33</v>
      </c>
      <c r="E329" s="255">
        <v>0</v>
      </c>
      <c r="F329" s="255">
        <f t="shared" si="26"/>
        <v>14330</v>
      </c>
      <c r="G329" s="259"/>
      <c r="H329" s="260"/>
      <c r="I329" s="255"/>
      <c r="J329" s="255"/>
      <c r="K329" s="255"/>
      <c r="L329" s="254"/>
      <c r="M329" s="254"/>
    </row>
    <row r="330" spans="1:13" x14ac:dyDescent="0.25">
      <c r="A330" s="254"/>
      <c r="B330" s="684"/>
      <c r="C330" s="254">
        <v>500</v>
      </c>
      <c r="D330" s="255">
        <v>14.33</v>
      </c>
      <c r="E330" s="255">
        <v>0</v>
      </c>
      <c r="F330" s="255">
        <f t="shared" si="26"/>
        <v>7165</v>
      </c>
      <c r="G330" s="259"/>
      <c r="H330" s="260"/>
      <c r="I330" s="255"/>
      <c r="J330" s="255"/>
      <c r="K330" s="255"/>
      <c r="L330" s="254"/>
      <c r="M330" s="254"/>
    </row>
    <row r="331" spans="1:13" x14ac:dyDescent="0.25">
      <c r="A331" s="254"/>
      <c r="B331" s="684"/>
      <c r="C331" s="254">
        <v>440</v>
      </c>
      <c r="D331" s="255">
        <v>14.33</v>
      </c>
      <c r="E331" s="255">
        <v>0</v>
      </c>
      <c r="F331" s="255">
        <f t="shared" si="26"/>
        <v>6305.2</v>
      </c>
      <c r="G331" s="254"/>
      <c r="H331" s="260"/>
      <c r="I331" s="255"/>
      <c r="J331" s="255"/>
      <c r="K331" s="255"/>
      <c r="L331" s="254"/>
      <c r="M331" s="254"/>
    </row>
    <row r="332" spans="1:13" x14ac:dyDescent="0.25">
      <c r="A332" s="254"/>
      <c r="B332" s="562">
        <v>42366</v>
      </c>
      <c r="C332" s="254">
        <v>1000</v>
      </c>
      <c r="D332" s="255">
        <v>14.74</v>
      </c>
      <c r="E332" s="255">
        <v>0</v>
      </c>
      <c r="F332" s="255">
        <f t="shared" si="26"/>
        <v>14740</v>
      </c>
      <c r="G332" s="254"/>
      <c r="H332" s="254"/>
      <c r="I332" s="255"/>
      <c r="J332" s="255"/>
      <c r="K332" s="255"/>
      <c r="L332" s="254"/>
      <c r="M332" s="254"/>
    </row>
    <row r="333" spans="1:13" x14ac:dyDescent="0.25">
      <c r="A333" s="254"/>
      <c r="B333" s="562">
        <v>42377</v>
      </c>
      <c r="C333" s="254">
        <v>200</v>
      </c>
      <c r="D333" s="255">
        <v>13.35</v>
      </c>
      <c r="E333" s="255">
        <v>0</v>
      </c>
      <c r="F333" s="255">
        <f t="shared" si="26"/>
        <v>2670</v>
      </c>
      <c r="G333" s="254"/>
      <c r="H333" s="254"/>
      <c r="I333" s="255"/>
      <c r="J333" s="255"/>
      <c r="K333" s="255"/>
      <c r="L333" s="254"/>
      <c r="M333" s="254"/>
    </row>
    <row r="334" spans="1:13" x14ac:dyDescent="0.25">
      <c r="A334" s="254"/>
      <c r="B334" s="562">
        <v>42401</v>
      </c>
      <c r="C334" s="254">
        <v>260</v>
      </c>
      <c r="D334" s="255">
        <v>10.69</v>
      </c>
      <c r="E334" s="255">
        <v>0</v>
      </c>
      <c r="F334" s="255">
        <f t="shared" si="26"/>
        <v>2779.4</v>
      </c>
      <c r="G334" s="254"/>
      <c r="H334" s="254"/>
      <c r="I334" s="255"/>
      <c r="J334" s="255"/>
      <c r="K334" s="255"/>
      <c r="L334" s="254"/>
      <c r="M334" s="254"/>
    </row>
    <row r="335" spans="1:13" x14ac:dyDescent="0.25">
      <c r="A335" s="254"/>
      <c r="B335" s="562">
        <v>42423</v>
      </c>
      <c r="C335" s="254">
        <v>1660</v>
      </c>
      <c r="D335" s="255">
        <v>10.77</v>
      </c>
      <c r="E335" s="255">
        <v>0</v>
      </c>
      <c r="F335" s="255">
        <f t="shared" si="26"/>
        <v>17878.2</v>
      </c>
      <c r="G335" s="254"/>
      <c r="H335" s="254"/>
      <c r="I335" s="255"/>
      <c r="J335" s="255"/>
      <c r="K335" s="255"/>
      <c r="L335" s="254"/>
      <c r="M335" s="255"/>
    </row>
    <row r="336" spans="1:13" x14ac:dyDescent="0.25">
      <c r="A336" s="254"/>
      <c r="B336" s="562">
        <v>42436</v>
      </c>
      <c r="C336" s="254">
        <v>520</v>
      </c>
      <c r="D336" s="255">
        <v>11.1</v>
      </c>
      <c r="E336" s="255">
        <v>0.16</v>
      </c>
      <c r="F336" s="255">
        <f t="shared" si="26"/>
        <v>5772.16</v>
      </c>
      <c r="G336" s="254"/>
      <c r="H336" s="254"/>
      <c r="I336" s="255"/>
      <c r="J336" s="255"/>
      <c r="K336" s="255"/>
      <c r="L336" s="254"/>
      <c r="M336" s="255"/>
    </row>
    <row r="337" spans="1:13" x14ac:dyDescent="0.25">
      <c r="A337" s="254"/>
      <c r="B337" s="684">
        <v>42436</v>
      </c>
      <c r="C337" s="254">
        <v>500</v>
      </c>
      <c r="D337" s="254">
        <v>11.35</v>
      </c>
      <c r="E337" s="255">
        <v>0</v>
      </c>
      <c r="F337" s="255">
        <f t="shared" si="26"/>
        <v>5675</v>
      </c>
      <c r="G337" s="254"/>
      <c r="H337" s="254"/>
      <c r="I337" s="255"/>
      <c r="J337" s="255"/>
      <c r="K337" s="255"/>
      <c r="L337" s="254"/>
      <c r="M337" s="254"/>
    </row>
    <row r="338" spans="1:13" x14ac:dyDescent="0.25">
      <c r="A338" s="254"/>
      <c r="B338" s="684"/>
      <c r="C338" s="254">
        <v>30</v>
      </c>
      <c r="D338" s="254">
        <v>11.35</v>
      </c>
      <c r="E338" s="255">
        <v>0</v>
      </c>
      <c r="F338" s="255">
        <f t="shared" si="26"/>
        <v>340.5</v>
      </c>
      <c r="G338" s="254"/>
      <c r="H338" s="254"/>
      <c r="I338" s="255"/>
      <c r="J338" s="255"/>
      <c r="K338" s="255"/>
      <c r="L338" s="254"/>
      <c r="M338" s="254"/>
    </row>
    <row r="339" spans="1:13" x14ac:dyDescent="0.25">
      <c r="A339" s="254"/>
      <c r="B339" s="684">
        <v>42447</v>
      </c>
      <c r="C339" s="254">
        <v>5</v>
      </c>
      <c r="D339" s="254">
        <v>10.75</v>
      </c>
      <c r="E339" s="255">
        <v>0</v>
      </c>
      <c r="F339" s="255">
        <f t="shared" si="26"/>
        <v>53.75</v>
      </c>
      <c r="G339" s="254"/>
      <c r="H339" s="254"/>
      <c r="I339" s="255"/>
      <c r="J339" s="255"/>
      <c r="K339" s="255"/>
      <c r="L339" s="254"/>
      <c r="M339" s="254"/>
    </row>
    <row r="340" spans="1:13" x14ac:dyDescent="0.25">
      <c r="A340" s="254"/>
      <c r="B340" s="684"/>
      <c r="C340" s="254">
        <v>500</v>
      </c>
      <c r="D340" s="254">
        <v>10.75</v>
      </c>
      <c r="E340" s="255">
        <v>0</v>
      </c>
      <c r="F340" s="255">
        <f t="shared" si="26"/>
        <v>5375</v>
      </c>
      <c r="G340" s="254"/>
      <c r="H340" s="254"/>
      <c r="I340" s="255"/>
      <c r="J340" s="255"/>
      <c r="K340" s="255"/>
      <c r="L340" s="254"/>
      <c r="M340" s="254"/>
    </row>
    <row r="341" spans="1:13" x14ac:dyDescent="0.25">
      <c r="A341" s="254"/>
      <c r="B341" s="684">
        <v>42447</v>
      </c>
      <c r="C341" s="254">
        <v>2000</v>
      </c>
      <c r="D341" s="254">
        <v>11.07</v>
      </c>
      <c r="E341" s="255">
        <v>0</v>
      </c>
      <c r="F341" s="255">
        <f t="shared" si="26"/>
        <v>22140</v>
      </c>
      <c r="G341" s="254"/>
      <c r="H341" s="254"/>
      <c r="I341" s="255"/>
      <c r="J341" s="255"/>
      <c r="K341" s="255"/>
      <c r="L341" s="254"/>
      <c r="M341" s="254"/>
    </row>
    <row r="342" spans="1:13" x14ac:dyDescent="0.25">
      <c r="A342" s="254"/>
      <c r="B342" s="684"/>
      <c r="C342" s="254">
        <v>5</v>
      </c>
      <c r="D342" s="254">
        <v>11.07</v>
      </c>
      <c r="E342" s="255">
        <v>0</v>
      </c>
      <c r="F342" s="255">
        <f t="shared" si="26"/>
        <v>55.35</v>
      </c>
      <c r="G342" s="254"/>
      <c r="H342" s="254"/>
      <c r="I342" s="255"/>
      <c r="J342" s="255"/>
      <c r="K342" s="255"/>
      <c r="L342" s="254"/>
      <c r="M342" s="254"/>
    </row>
    <row r="343" spans="1:13" x14ac:dyDescent="0.25">
      <c r="A343" s="254"/>
      <c r="B343" s="562">
        <v>42447</v>
      </c>
      <c r="C343" s="254">
        <v>355</v>
      </c>
      <c r="D343" s="254">
        <v>11.11</v>
      </c>
      <c r="E343" s="255">
        <v>0</v>
      </c>
      <c r="F343" s="255">
        <f t="shared" si="26"/>
        <v>3944.0499999999997</v>
      </c>
      <c r="G343" s="254"/>
      <c r="H343" s="254"/>
      <c r="I343" s="255"/>
      <c r="J343" s="255"/>
      <c r="K343" s="255"/>
      <c r="L343" s="254"/>
      <c r="M343" s="254"/>
    </row>
    <row r="344" spans="1:13" x14ac:dyDescent="0.25">
      <c r="A344" s="254"/>
      <c r="B344" s="562">
        <v>42450</v>
      </c>
      <c r="C344" s="254">
        <v>100</v>
      </c>
      <c r="D344" s="254">
        <v>11.51</v>
      </c>
      <c r="E344" s="255">
        <v>0</v>
      </c>
      <c r="F344" s="255">
        <f t="shared" si="26"/>
        <v>1151</v>
      </c>
      <c r="G344" s="254"/>
      <c r="H344" s="254"/>
      <c r="I344" s="255"/>
      <c r="J344" s="255"/>
      <c r="K344" s="255"/>
      <c r="L344" s="254"/>
      <c r="M344" s="254"/>
    </row>
    <row r="345" spans="1:13" x14ac:dyDescent="0.25">
      <c r="A345" s="254"/>
      <c r="B345" s="562">
        <v>42451</v>
      </c>
      <c r="C345" s="254">
        <v>1305</v>
      </c>
      <c r="D345" s="255">
        <v>11.4</v>
      </c>
      <c r="E345" s="255">
        <v>-1</v>
      </c>
      <c r="F345" s="255">
        <f t="shared" si="26"/>
        <v>14876</v>
      </c>
      <c r="G345" s="254"/>
      <c r="H345" s="254"/>
      <c r="I345" s="255"/>
      <c r="J345" s="255"/>
      <c r="K345" s="255"/>
      <c r="L345" s="254"/>
      <c r="M345" s="254"/>
    </row>
    <row r="346" spans="1:13" x14ac:dyDescent="0.25">
      <c r="A346" s="254"/>
      <c r="B346" s="562">
        <v>42452</v>
      </c>
      <c r="C346" s="254">
        <v>100</v>
      </c>
      <c r="D346" s="255">
        <v>10.82</v>
      </c>
      <c r="E346" s="255">
        <v>0</v>
      </c>
      <c r="F346" s="255">
        <f t="shared" si="26"/>
        <v>1082</v>
      </c>
      <c r="G346" s="254"/>
      <c r="H346" s="254"/>
      <c r="I346" s="255"/>
      <c r="J346" s="255"/>
      <c r="K346" s="255"/>
      <c r="L346" s="254"/>
      <c r="M346" s="254"/>
    </row>
    <row r="347" spans="1:13" x14ac:dyDescent="0.25">
      <c r="A347" s="254"/>
      <c r="B347" s="562">
        <v>42466</v>
      </c>
      <c r="C347" s="254">
        <v>500</v>
      </c>
      <c r="D347" s="255">
        <v>10.41</v>
      </c>
      <c r="E347" s="255">
        <v>0</v>
      </c>
      <c r="F347" s="255">
        <f t="shared" si="26"/>
        <v>5205</v>
      </c>
      <c r="G347" s="254"/>
      <c r="H347" s="254"/>
      <c r="I347" s="255"/>
      <c r="J347" s="255"/>
      <c r="K347" s="255"/>
      <c r="L347" s="254"/>
      <c r="M347" s="254"/>
    </row>
    <row r="348" spans="1:13" x14ac:dyDescent="0.25">
      <c r="A348" s="254"/>
      <c r="B348" s="562">
        <v>42472</v>
      </c>
      <c r="C348" s="254">
        <v>600</v>
      </c>
      <c r="D348" s="255">
        <v>10.31</v>
      </c>
      <c r="E348" s="255">
        <v>0</v>
      </c>
      <c r="F348" s="255">
        <f t="shared" si="26"/>
        <v>6186</v>
      </c>
      <c r="G348" s="254"/>
      <c r="H348" s="254"/>
      <c r="I348" s="255"/>
      <c r="J348" s="255"/>
      <c r="K348" s="255"/>
      <c r="L348" s="254"/>
      <c r="M348" s="254"/>
    </row>
    <row r="349" spans="1:13" x14ac:dyDescent="0.25">
      <c r="A349" s="254"/>
      <c r="B349" s="562">
        <v>42487</v>
      </c>
      <c r="C349" s="254">
        <v>1000</v>
      </c>
      <c r="D349" s="255">
        <v>11.29</v>
      </c>
      <c r="E349" s="255">
        <v>0</v>
      </c>
      <c r="F349" s="255">
        <f t="shared" si="26"/>
        <v>11290</v>
      </c>
      <c r="G349" s="254"/>
      <c r="H349" s="254"/>
      <c r="I349" s="255"/>
      <c r="J349" s="255"/>
      <c r="K349" s="255"/>
      <c r="L349" s="254"/>
      <c r="M349" s="254"/>
    </row>
    <row r="350" spans="1:13" x14ac:dyDescent="0.25">
      <c r="A350" s="254"/>
      <c r="B350" s="562">
        <v>42488</v>
      </c>
      <c r="C350" s="254">
        <v>1200</v>
      </c>
      <c r="D350" s="255">
        <v>12.2</v>
      </c>
      <c r="E350" s="255">
        <v>0</v>
      </c>
      <c r="F350" s="255">
        <f t="shared" si="26"/>
        <v>14640</v>
      </c>
      <c r="G350" s="254"/>
      <c r="H350" s="254"/>
      <c r="I350" s="255"/>
      <c r="J350" s="255"/>
      <c r="K350" s="255"/>
      <c r="L350" s="254"/>
      <c r="M350" s="254"/>
    </row>
    <row r="351" spans="1:13" ht="30" x14ac:dyDescent="0.25">
      <c r="A351" s="685" t="s">
        <v>201</v>
      </c>
      <c r="B351" s="562">
        <v>42489</v>
      </c>
      <c r="C351" s="254">
        <v>240</v>
      </c>
      <c r="D351" s="255">
        <v>10.81</v>
      </c>
      <c r="E351" s="255">
        <v>0</v>
      </c>
      <c r="F351" s="255">
        <f t="shared" si="26"/>
        <v>2594.4</v>
      </c>
      <c r="G351" s="254"/>
      <c r="H351" s="254"/>
      <c r="I351" s="255"/>
      <c r="J351" s="255"/>
      <c r="K351" s="255"/>
      <c r="L351" s="254"/>
      <c r="M351" s="254"/>
    </row>
    <row r="352" spans="1:13" x14ac:dyDescent="0.25">
      <c r="A352" s="685"/>
      <c r="B352" s="562">
        <v>42494</v>
      </c>
      <c r="C352" s="254">
        <v>500</v>
      </c>
      <c r="D352" s="255">
        <v>10.130000000000001</v>
      </c>
      <c r="E352" s="255">
        <v>-1</v>
      </c>
      <c r="F352" s="255">
        <f t="shared" si="26"/>
        <v>5064</v>
      </c>
      <c r="G352" s="254"/>
      <c r="H352" s="254"/>
      <c r="I352" s="255"/>
      <c r="J352" s="255"/>
      <c r="K352" s="255"/>
      <c r="L352" s="254"/>
      <c r="M352" s="254"/>
    </row>
    <row r="353" spans="1:13" x14ac:dyDescent="0.25">
      <c r="A353" s="685"/>
      <c r="B353" s="562">
        <v>42494</v>
      </c>
      <c r="C353" s="254">
        <v>500</v>
      </c>
      <c r="D353" s="255">
        <v>9.92</v>
      </c>
      <c r="E353" s="255">
        <v>0</v>
      </c>
      <c r="F353" s="255">
        <f t="shared" si="26"/>
        <v>4960</v>
      </c>
      <c r="G353" s="254"/>
      <c r="H353" s="254"/>
      <c r="I353" s="255"/>
      <c r="J353" s="255"/>
      <c r="K353" s="255"/>
      <c r="L353" s="254"/>
      <c r="M353" s="254"/>
    </row>
    <row r="354" spans="1:13" x14ac:dyDescent="0.25">
      <c r="A354" s="254"/>
      <c r="B354" s="562">
        <v>42502</v>
      </c>
      <c r="C354" s="254">
        <v>1000</v>
      </c>
      <c r="D354" s="255">
        <v>9.86</v>
      </c>
      <c r="E354" s="255">
        <v>0</v>
      </c>
      <c r="F354" s="255">
        <f t="shared" si="26"/>
        <v>9860</v>
      </c>
      <c r="G354" s="254"/>
      <c r="H354" s="254"/>
      <c r="I354" s="255"/>
      <c r="J354" s="255"/>
      <c r="K354" s="255"/>
      <c r="L354" s="254"/>
      <c r="M354" s="254"/>
    </row>
    <row r="355" spans="1:13" x14ac:dyDescent="0.25">
      <c r="A355" s="254"/>
      <c r="B355" s="562">
        <v>42502</v>
      </c>
      <c r="C355" s="254">
        <v>1000</v>
      </c>
      <c r="D355" s="255">
        <v>9.68</v>
      </c>
      <c r="E355" s="255">
        <v>0</v>
      </c>
      <c r="F355" s="255">
        <f t="shared" si="26"/>
        <v>9680</v>
      </c>
      <c r="G355" s="254"/>
      <c r="H355" s="254"/>
      <c r="I355" s="255"/>
      <c r="J355" s="255"/>
      <c r="K355" s="255"/>
      <c r="L355" s="254"/>
      <c r="M355" s="254"/>
    </row>
    <row r="356" spans="1:13" ht="15" customHeight="1" x14ac:dyDescent="0.25">
      <c r="A356" s="254"/>
      <c r="B356" s="562">
        <v>42502</v>
      </c>
      <c r="C356" s="254">
        <v>1000</v>
      </c>
      <c r="D356" s="255">
        <v>9.5</v>
      </c>
      <c r="E356" s="255">
        <v>0</v>
      </c>
      <c r="F356" s="255">
        <f t="shared" si="26"/>
        <v>9500</v>
      </c>
      <c r="G356" s="254"/>
      <c r="H356" s="254"/>
      <c r="I356" s="255"/>
      <c r="J356" s="255"/>
      <c r="K356" s="255"/>
      <c r="L356" s="254"/>
      <c r="M356" s="254"/>
    </row>
    <row r="357" spans="1:13" x14ac:dyDescent="0.25">
      <c r="A357" s="254"/>
      <c r="B357" s="562">
        <v>42503</v>
      </c>
      <c r="C357" s="254">
        <v>1000</v>
      </c>
      <c r="D357" s="255">
        <v>9.6999999999999993</v>
      </c>
      <c r="E357" s="255">
        <v>9.9</v>
      </c>
      <c r="F357" s="255">
        <f t="shared" si="26"/>
        <v>9709.9</v>
      </c>
      <c r="G357" s="254"/>
      <c r="H357" s="254"/>
      <c r="I357" s="255"/>
      <c r="J357" s="255"/>
      <c r="K357" s="255"/>
      <c r="L357" s="254"/>
      <c r="M357" s="254"/>
    </row>
    <row r="358" spans="1:13" x14ac:dyDescent="0.25">
      <c r="A358" s="254"/>
      <c r="B358" s="562">
        <v>42514</v>
      </c>
      <c r="C358" s="254">
        <v>500</v>
      </c>
      <c r="D358" s="255">
        <v>11.22</v>
      </c>
      <c r="E358" s="255">
        <v>-2.5</v>
      </c>
      <c r="F358" s="255">
        <f t="shared" si="26"/>
        <v>5607.5</v>
      </c>
      <c r="G358" s="254"/>
      <c r="H358" s="254"/>
      <c r="I358" s="255"/>
      <c r="J358" s="255"/>
      <c r="K358" s="255"/>
      <c r="L358" s="254"/>
      <c r="M358" s="254"/>
    </row>
    <row r="359" spans="1:13" x14ac:dyDescent="0.25">
      <c r="A359" s="254"/>
      <c r="B359" s="562">
        <v>42515</v>
      </c>
      <c r="C359" s="254">
        <v>500</v>
      </c>
      <c r="D359" s="255">
        <v>11.62</v>
      </c>
      <c r="E359" s="255">
        <v>0</v>
      </c>
      <c r="F359" s="255">
        <f t="shared" si="26"/>
        <v>5810</v>
      </c>
      <c r="G359" s="254"/>
      <c r="H359" s="254"/>
      <c r="I359" s="255"/>
      <c r="J359" s="255"/>
      <c r="K359" s="255"/>
      <c r="L359" s="254"/>
      <c r="M359" s="254"/>
    </row>
    <row r="360" spans="1:13" x14ac:dyDescent="0.25">
      <c r="A360" s="254"/>
      <c r="B360" s="562">
        <v>42517</v>
      </c>
      <c r="C360" s="254">
        <v>1000</v>
      </c>
      <c r="D360" s="255">
        <v>12.25</v>
      </c>
      <c r="E360" s="255">
        <v>0</v>
      </c>
      <c r="F360" s="255">
        <f t="shared" si="26"/>
        <v>12250</v>
      </c>
      <c r="G360" s="254"/>
      <c r="H360" s="254"/>
      <c r="I360" s="255"/>
      <c r="J360" s="255"/>
      <c r="K360" s="255"/>
      <c r="L360" s="254"/>
      <c r="M360" s="254"/>
    </row>
    <row r="361" spans="1:13" x14ac:dyDescent="0.25">
      <c r="A361" s="254"/>
      <c r="B361" s="562">
        <v>42517</v>
      </c>
      <c r="C361" s="254">
        <v>1000</v>
      </c>
      <c r="D361" s="255">
        <v>12.3</v>
      </c>
      <c r="E361" s="255">
        <v>0</v>
      </c>
      <c r="F361" s="255">
        <f t="shared" si="26"/>
        <v>12300</v>
      </c>
      <c r="G361" s="254"/>
      <c r="H361" s="254"/>
      <c r="I361" s="255"/>
      <c r="J361" s="255"/>
      <c r="K361" s="255"/>
      <c r="L361" s="254"/>
      <c r="M361" s="254"/>
    </row>
    <row r="362" spans="1:13" x14ac:dyDescent="0.25">
      <c r="A362" s="254"/>
      <c r="B362" s="562">
        <v>42521</v>
      </c>
      <c r="C362" s="254">
        <v>500</v>
      </c>
      <c r="D362" s="255">
        <v>12.61</v>
      </c>
      <c r="E362" s="255">
        <v>0</v>
      </c>
      <c r="F362" s="255">
        <f t="shared" si="26"/>
        <v>6305</v>
      </c>
      <c r="G362" s="254"/>
      <c r="H362" s="254"/>
      <c r="I362" s="255"/>
      <c r="J362" s="255"/>
      <c r="K362" s="255"/>
      <c r="L362" s="254"/>
      <c r="M362" s="254"/>
    </row>
    <row r="363" spans="1:13" x14ac:dyDescent="0.25">
      <c r="A363" s="254"/>
      <c r="B363" s="562">
        <v>42521</v>
      </c>
      <c r="C363" s="254">
        <v>500</v>
      </c>
      <c r="D363" s="255">
        <v>12.72</v>
      </c>
      <c r="E363" s="255">
        <v>0</v>
      </c>
      <c r="F363" s="255">
        <f t="shared" si="26"/>
        <v>6360</v>
      </c>
      <c r="G363" s="259">
        <v>42522</v>
      </c>
      <c r="H363" s="260">
        <v>500</v>
      </c>
      <c r="I363" s="255">
        <v>12.72</v>
      </c>
      <c r="J363" s="255">
        <v>0.14000000000000001</v>
      </c>
      <c r="K363" s="255">
        <f>H363*I363-J363</f>
        <v>6359.86</v>
      </c>
      <c r="L363" s="254"/>
      <c r="M363" s="254"/>
    </row>
    <row r="364" spans="1:13" x14ac:dyDescent="0.25">
      <c r="A364" s="254"/>
      <c r="B364" s="562">
        <v>42522</v>
      </c>
      <c r="C364" s="254">
        <v>500</v>
      </c>
      <c r="D364" s="255">
        <v>12.6</v>
      </c>
      <c r="E364" s="255">
        <v>0</v>
      </c>
      <c r="F364" s="255">
        <f t="shared" si="26"/>
        <v>6300</v>
      </c>
      <c r="G364" s="259">
        <v>42522</v>
      </c>
      <c r="H364" s="260">
        <v>500</v>
      </c>
      <c r="I364" s="255">
        <v>12.96</v>
      </c>
      <c r="J364" s="255">
        <v>0.14000000000000001</v>
      </c>
      <c r="K364" s="255">
        <f>H364*I364-J364</f>
        <v>6479.86</v>
      </c>
      <c r="L364" s="254"/>
      <c r="M364" s="254"/>
    </row>
    <row r="365" spans="1:13" x14ac:dyDescent="0.25">
      <c r="A365" s="254"/>
      <c r="B365" s="562">
        <v>42524</v>
      </c>
      <c r="C365" s="254">
        <v>625</v>
      </c>
      <c r="D365" s="255">
        <v>12.69</v>
      </c>
      <c r="E365" s="255">
        <v>0</v>
      </c>
      <c r="F365" s="255">
        <f t="shared" si="26"/>
        <v>7931.25</v>
      </c>
      <c r="G365" s="259">
        <v>42522</v>
      </c>
      <c r="H365" s="260">
        <v>125</v>
      </c>
      <c r="I365" s="255">
        <v>13.12</v>
      </c>
      <c r="J365" s="255">
        <v>0.04</v>
      </c>
      <c r="K365" s="255">
        <f>H365*I365-J365</f>
        <v>1639.96</v>
      </c>
      <c r="L365" s="254"/>
      <c r="M365" s="254"/>
    </row>
    <row r="366" spans="1:13" x14ac:dyDescent="0.25">
      <c r="A366" s="254"/>
      <c r="B366" s="562">
        <v>42524</v>
      </c>
      <c r="C366" s="254">
        <v>625</v>
      </c>
      <c r="D366" s="255">
        <v>12.8</v>
      </c>
      <c r="E366" s="255">
        <v>0</v>
      </c>
      <c r="F366" s="255">
        <f t="shared" si="26"/>
        <v>8000</v>
      </c>
      <c r="G366" s="259">
        <v>42524</v>
      </c>
      <c r="H366" s="260">
        <v>625</v>
      </c>
      <c r="I366" s="255">
        <v>12.85</v>
      </c>
      <c r="J366" s="255">
        <v>0.18</v>
      </c>
      <c r="K366" s="255">
        <f>H366*I366-J366</f>
        <v>8031.07</v>
      </c>
      <c r="L366" s="254"/>
      <c r="M366" s="254"/>
    </row>
    <row r="367" spans="1:13" x14ac:dyDescent="0.25">
      <c r="A367" s="254"/>
      <c r="B367" s="562">
        <v>42530</v>
      </c>
      <c r="C367" s="254">
        <v>500</v>
      </c>
      <c r="D367" s="255">
        <v>12.25</v>
      </c>
      <c r="E367" s="255">
        <v>0</v>
      </c>
      <c r="F367" s="255">
        <f t="shared" si="26"/>
        <v>6125</v>
      </c>
      <c r="G367" s="259">
        <v>42530</v>
      </c>
      <c r="H367" s="260">
        <v>500</v>
      </c>
      <c r="I367" s="255">
        <v>12.61</v>
      </c>
      <c r="J367" s="255">
        <v>0.14000000000000001</v>
      </c>
      <c r="K367" s="255">
        <f>H367*I367-J367</f>
        <v>6304.86</v>
      </c>
      <c r="L367" s="254"/>
      <c r="M367" s="254"/>
    </row>
    <row r="368" spans="1:13" x14ac:dyDescent="0.25">
      <c r="A368" s="254"/>
      <c r="B368" s="562">
        <v>42531</v>
      </c>
      <c r="C368" s="254">
        <v>760</v>
      </c>
      <c r="D368" s="255">
        <v>12.19</v>
      </c>
      <c r="E368" s="255">
        <v>0</v>
      </c>
      <c r="F368" s="255">
        <f t="shared" si="26"/>
        <v>9264.4</v>
      </c>
      <c r="G368" s="254"/>
      <c r="H368" s="254"/>
      <c r="I368" s="255"/>
      <c r="J368" s="255"/>
      <c r="K368" s="255"/>
      <c r="L368" s="254"/>
      <c r="M368" s="254"/>
    </row>
    <row r="369" spans="1:13" x14ac:dyDescent="0.25">
      <c r="A369" s="254"/>
      <c r="B369" s="562">
        <v>42537</v>
      </c>
      <c r="C369" s="254">
        <v>500</v>
      </c>
      <c r="D369" s="255">
        <v>11.71</v>
      </c>
      <c r="E369" s="255">
        <v>0</v>
      </c>
      <c r="F369" s="255">
        <f t="shared" si="26"/>
        <v>5855</v>
      </c>
      <c r="G369" s="259">
        <v>42537</v>
      </c>
      <c r="H369" s="260">
        <v>500</v>
      </c>
      <c r="I369" s="255">
        <v>11.95</v>
      </c>
      <c r="J369" s="255">
        <v>0.13</v>
      </c>
      <c r="K369" s="255">
        <f t="shared" ref="K369:K375" si="27">H369*I369-J369</f>
        <v>5974.87</v>
      </c>
      <c r="L369" s="254"/>
      <c r="M369" s="254"/>
    </row>
    <row r="370" spans="1:13" x14ac:dyDescent="0.25">
      <c r="A370" s="254"/>
      <c r="B370" s="562">
        <v>42541</v>
      </c>
      <c r="C370" s="254">
        <v>500</v>
      </c>
      <c r="D370" s="255">
        <v>12.4</v>
      </c>
      <c r="E370" s="255">
        <v>0</v>
      </c>
      <c r="F370" s="255">
        <f t="shared" si="26"/>
        <v>6200</v>
      </c>
      <c r="G370" s="259">
        <v>42541</v>
      </c>
      <c r="H370" s="260">
        <v>760</v>
      </c>
      <c r="I370" s="255">
        <v>12.63</v>
      </c>
      <c r="J370" s="255">
        <v>0.21</v>
      </c>
      <c r="K370" s="255">
        <f t="shared" si="27"/>
        <v>9598.590000000002</v>
      </c>
      <c r="L370" s="254"/>
      <c r="M370" s="254"/>
    </row>
    <row r="371" spans="1:13" x14ac:dyDescent="0.25">
      <c r="A371" s="254"/>
      <c r="B371" s="562">
        <v>42541</v>
      </c>
      <c r="C371" s="254">
        <v>100</v>
      </c>
      <c r="D371" s="255">
        <v>12.32</v>
      </c>
      <c r="E371" s="255">
        <v>0</v>
      </c>
      <c r="F371" s="255">
        <f t="shared" si="26"/>
        <v>1232</v>
      </c>
      <c r="G371" s="449">
        <v>42542</v>
      </c>
      <c r="H371" s="260">
        <v>600</v>
      </c>
      <c r="I371" s="255">
        <v>12.79</v>
      </c>
      <c r="J371" s="255">
        <v>0.17</v>
      </c>
      <c r="K371" s="255">
        <f t="shared" si="27"/>
        <v>7673.829999999999</v>
      </c>
      <c r="L371" s="254"/>
      <c r="M371" s="254"/>
    </row>
    <row r="372" spans="1:13" x14ac:dyDescent="0.25">
      <c r="A372" s="254"/>
      <c r="B372" s="562">
        <v>42545</v>
      </c>
      <c r="C372" s="254">
        <v>500</v>
      </c>
      <c r="D372" s="255">
        <v>13.52</v>
      </c>
      <c r="E372" s="255">
        <v>0</v>
      </c>
      <c r="F372" s="255">
        <f t="shared" si="26"/>
        <v>6760</v>
      </c>
      <c r="G372" s="259">
        <v>42544</v>
      </c>
      <c r="H372" s="260">
        <v>400</v>
      </c>
      <c r="I372" s="255">
        <v>13.42</v>
      </c>
      <c r="J372" s="255">
        <v>0.12</v>
      </c>
      <c r="K372" s="255">
        <f t="shared" si="27"/>
        <v>5367.88</v>
      </c>
      <c r="L372" s="254"/>
      <c r="M372" s="254"/>
    </row>
    <row r="373" spans="1:13" x14ac:dyDescent="0.25">
      <c r="A373" s="254"/>
      <c r="B373" s="562">
        <v>42545</v>
      </c>
      <c r="C373" s="254">
        <v>500</v>
      </c>
      <c r="D373" s="255">
        <v>13.46</v>
      </c>
      <c r="E373" s="255">
        <v>0</v>
      </c>
      <c r="F373" s="255">
        <f t="shared" si="26"/>
        <v>6730</v>
      </c>
      <c r="G373" s="259">
        <v>42544</v>
      </c>
      <c r="H373" s="260">
        <v>600</v>
      </c>
      <c r="I373" s="255">
        <v>13.78</v>
      </c>
      <c r="J373" s="255">
        <v>0.18</v>
      </c>
      <c r="K373" s="255">
        <f t="shared" si="27"/>
        <v>8267.82</v>
      </c>
      <c r="L373" s="254"/>
      <c r="M373" s="254"/>
    </row>
    <row r="374" spans="1:13" x14ac:dyDescent="0.25">
      <c r="A374" s="254"/>
      <c r="B374" s="562">
        <v>42545</v>
      </c>
      <c r="C374" s="254">
        <v>500</v>
      </c>
      <c r="D374" s="255">
        <v>13.32</v>
      </c>
      <c r="E374" s="255">
        <v>0</v>
      </c>
      <c r="F374" s="255">
        <f t="shared" si="26"/>
        <v>6660</v>
      </c>
      <c r="G374" s="259">
        <v>42544</v>
      </c>
      <c r="H374" s="260">
        <v>500</v>
      </c>
      <c r="I374" s="255">
        <v>14.05</v>
      </c>
      <c r="J374" s="255">
        <v>0.15</v>
      </c>
      <c r="K374" s="255">
        <f t="shared" si="27"/>
        <v>7024.85</v>
      </c>
      <c r="L374" s="254"/>
      <c r="M374" s="254"/>
    </row>
    <row r="375" spans="1:13" ht="15" customHeight="1" x14ac:dyDescent="0.25">
      <c r="A375" s="254"/>
      <c r="B375" s="562">
        <v>42548</v>
      </c>
      <c r="C375" s="254">
        <v>760</v>
      </c>
      <c r="D375" s="255">
        <v>12.81</v>
      </c>
      <c r="E375" s="255">
        <v>-3.8</v>
      </c>
      <c r="F375" s="255">
        <f t="shared" si="26"/>
        <v>9731.8000000000011</v>
      </c>
      <c r="G375" s="259">
        <v>42549</v>
      </c>
      <c r="H375" s="260">
        <v>760</v>
      </c>
      <c r="I375" s="255">
        <v>12.97</v>
      </c>
      <c r="J375" s="255">
        <v>0.21</v>
      </c>
      <c r="K375" s="255">
        <f t="shared" si="27"/>
        <v>9856.9900000000016</v>
      </c>
      <c r="L375" s="254"/>
      <c r="M375" s="254"/>
    </row>
    <row r="376" spans="1:13" x14ac:dyDescent="0.25">
      <c r="A376" s="254"/>
      <c r="B376" s="562">
        <v>42548</v>
      </c>
      <c r="C376" s="254">
        <v>500</v>
      </c>
      <c r="D376" s="255">
        <v>12.58</v>
      </c>
      <c r="E376" s="255">
        <v>0</v>
      </c>
      <c r="F376" s="255">
        <f t="shared" si="26"/>
        <v>6290</v>
      </c>
      <c r="G376" s="259">
        <v>42551</v>
      </c>
      <c r="H376" s="260">
        <v>500</v>
      </c>
      <c r="I376" s="255">
        <v>13.75</v>
      </c>
      <c r="J376" s="255">
        <v>7.1</v>
      </c>
      <c r="K376" s="255">
        <f>H376*I376-J376</f>
        <v>6867.9</v>
      </c>
      <c r="L376" s="254"/>
      <c r="M376" s="254"/>
    </row>
    <row r="377" spans="1:13" x14ac:dyDescent="0.25">
      <c r="A377" s="254"/>
      <c r="B377" s="562">
        <v>42551</v>
      </c>
      <c r="C377" s="254">
        <v>500</v>
      </c>
      <c r="D377" s="255">
        <v>12.42</v>
      </c>
      <c r="E377" s="255">
        <v>6.95</v>
      </c>
      <c r="F377" s="255">
        <f t="shared" si="26"/>
        <v>6216.95</v>
      </c>
      <c r="G377" s="254"/>
      <c r="H377" s="254"/>
      <c r="I377" s="255"/>
      <c r="J377" s="255"/>
      <c r="K377" s="255"/>
      <c r="L377" s="254"/>
      <c r="M377" s="254"/>
    </row>
    <row r="378" spans="1:13" x14ac:dyDescent="0.25">
      <c r="A378" s="254"/>
      <c r="B378" s="562">
        <v>42556</v>
      </c>
      <c r="C378" s="260">
        <v>500</v>
      </c>
      <c r="D378" s="255">
        <v>11.88</v>
      </c>
      <c r="E378" s="255">
        <v>-2.5</v>
      </c>
      <c r="F378" s="255">
        <f t="shared" si="26"/>
        <v>5937.5</v>
      </c>
      <c r="G378" s="254"/>
      <c r="H378" s="254"/>
      <c r="I378" s="255"/>
      <c r="J378" s="255"/>
      <c r="K378" s="255"/>
      <c r="L378" s="254"/>
      <c r="M378" s="254"/>
    </row>
    <row r="379" spans="1:13" x14ac:dyDescent="0.25">
      <c r="A379" s="254"/>
      <c r="B379" s="562">
        <v>42558</v>
      </c>
      <c r="C379" s="254">
        <v>500</v>
      </c>
      <c r="D379" s="255">
        <v>12.28</v>
      </c>
      <c r="E379" s="255">
        <v>0</v>
      </c>
      <c r="F379" s="255">
        <f t="shared" si="26"/>
        <v>6140</v>
      </c>
      <c r="G379" s="259">
        <v>42558</v>
      </c>
      <c r="H379" s="260">
        <v>1000</v>
      </c>
      <c r="I379" s="255">
        <v>12.48</v>
      </c>
      <c r="J379" s="255">
        <v>0.27</v>
      </c>
      <c r="K379" s="255">
        <f t="shared" ref="K379:K411" si="28">H379*I379-J379</f>
        <v>12479.73</v>
      </c>
      <c r="L379" s="254"/>
      <c r="M379" s="254"/>
    </row>
    <row r="380" spans="1:13" x14ac:dyDescent="0.25">
      <c r="A380" s="254"/>
      <c r="B380" s="562">
        <v>42578</v>
      </c>
      <c r="C380" s="254">
        <v>200</v>
      </c>
      <c r="D380" s="255">
        <v>14.12</v>
      </c>
      <c r="E380" s="255">
        <v>0</v>
      </c>
      <c r="F380" s="255">
        <f t="shared" ref="F380:F407" si="29">C380*D380+E380</f>
        <v>2824</v>
      </c>
      <c r="G380" s="259">
        <v>42576</v>
      </c>
      <c r="H380" s="260">
        <v>500</v>
      </c>
      <c r="I380" s="255">
        <v>13.82</v>
      </c>
      <c r="J380" s="255">
        <v>0.15</v>
      </c>
      <c r="K380" s="255">
        <f t="shared" si="28"/>
        <v>6909.85</v>
      </c>
      <c r="L380" s="254"/>
      <c r="M380" s="254"/>
    </row>
    <row r="381" spans="1:13" x14ac:dyDescent="0.25">
      <c r="A381" s="259"/>
      <c r="B381" s="562">
        <v>42579</v>
      </c>
      <c r="C381" s="254">
        <v>300</v>
      </c>
      <c r="D381" s="255">
        <v>13.82</v>
      </c>
      <c r="E381" s="255">
        <v>0</v>
      </c>
      <c r="F381" s="255">
        <f t="shared" si="29"/>
        <v>4146</v>
      </c>
      <c r="G381" s="259">
        <v>42577</v>
      </c>
      <c r="H381" s="254">
        <v>500</v>
      </c>
      <c r="I381" s="255">
        <v>14.33</v>
      </c>
      <c r="J381" s="255">
        <v>0.16</v>
      </c>
      <c r="K381" s="255">
        <f t="shared" si="28"/>
        <v>7164.84</v>
      </c>
      <c r="L381" s="254"/>
      <c r="M381" s="254"/>
    </row>
    <row r="382" spans="1:13" x14ac:dyDescent="0.25">
      <c r="A382" s="254"/>
      <c r="B382" s="562">
        <v>42579</v>
      </c>
      <c r="C382" s="254">
        <v>300</v>
      </c>
      <c r="D382" s="255">
        <v>13.82</v>
      </c>
      <c r="E382" s="255">
        <v>0</v>
      </c>
      <c r="F382" s="255">
        <f t="shared" si="29"/>
        <v>4146</v>
      </c>
      <c r="G382" s="259">
        <v>42577</v>
      </c>
      <c r="H382" s="254">
        <v>300</v>
      </c>
      <c r="I382" s="255">
        <v>14.58</v>
      </c>
      <c r="J382" s="255">
        <v>0.1</v>
      </c>
      <c r="K382" s="255">
        <f t="shared" si="28"/>
        <v>4373.8999999999996</v>
      </c>
      <c r="L382" s="254"/>
      <c r="M382" s="254"/>
    </row>
    <row r="383" spans="1:13" x14ac:dyDescent="0.25">
      <c r="A383" s="254"/>
      <c r="B383" s="562">
        <v>42580</v>
      </c>
      <c r="C383" s="254">
        <v>500</v>
      </c>
      <c r="D383" s="255">
        <v>13.62</v>
      </c>
      <c r="E383" s="255">
        <v>0</v>
      </c>
      <c r="F383" s="255">
        <f t="shared" si="29"/>
        <v>6810</v>
      </c>
      <c r="G383" s="259">
        <v>42586</v>
      </c>
      <c r="H383" s="254">
        <v>200</v>
      </c>
      <c r="I383" s="255">
        <v>13.89</v>
      </c>
      <c r="J383" s="255">
        <v>-0.54</v>
      </c>
      <c r="K383" s="255">
        <f t="shared" si="28"/>
        <v>2778.54</v>
      </c>
      <c r="L383" s="254"/>
      <c r="M383" s="254"/>
    </row>
    <row r="384" spans="1:13" x14ac:dyDescent="0.25">
      <c r="A384" s="254"/>
      <c r="B384" s="562">
        <v>42584</v>
      </c>
      <c r="C384" s="254">
        <v>200</v>
      </c>
      <c r="D384" s="255">
        <v>13.08</v>
      </c>
      <c r="E384" s="255">
        <v>0</v>
      </c>
      <c r="F384" s="255">
        <f t="shared" si="29"/>
        <v>2616</v>
      </c>
      <c r="G384" s="259">
        <v>42587</v>
      </c>
      <c r="H384" s="254">
        <v>500</v>
      </c>
      <c r="I384" s="255">
        <v>14.65</v>
      </c>
      <c r="J384" s="255">
        <v>0.16</v>
      </c>
      <c r="K384" s="255">
        <f t="shared" si="28"/>
        <v>7324.84</v>
      </c>
      <c r="L384" s="254"/>
      <c r="M384" s="254"/>
    </row>
    <row r="385" spans="1:13" ht="30" x14ac:dyDescent="0.25">
      <c r="A385" s="254"/>
      <c r="B385" s="562">
        <v>42599</v>
      </c>
      <c r="C385" s="254">
        <v>500</v>
      </c>
      <c r="D385" s="255">
        <v>15.6</v>
      </c>
      <c r="E385" s="255">
        <v>0</v>
      </c>
      <c r="F385" s="255">
        <f t="shared" si="29"/>
        <v>7800</v>
      </c>
      <c r="G385" s="259">
        <v>42593</v>
      </c>
      <c r="H385" s="254">
        <v>500</v>
      </c>
      <c r="I385" s="255">
        <v>14.45</v>
      </c>
      <c r="J385" s="255">
        <v>0.16</v>
      </c>
      <c r="K385" s="255">
        <f t="shared" si="28"/>
        <v>7224.84</v>
      </c>
      <c r="L385" s="254"/>
      <c r="M385" s="686" t="s">
        <v>258</v>
      </c>
    </row>
    <row r="386" spans="1:13" x14ac:dyDescent="0.25">
      <c r="A386" s="254"/>
      <c r="B386" s="562">
        <v>42619</v>
      </c>
      <c r="C386" s="254">
        <v>200</v>
      </c>
      <c r="D386" s="255">
        <v>16.850000000000001</v>
      </c>
      <c r="E386" s="255">
        <v>0</v>
      </c>
      <c r="F386" s="255">
        <f t="shared" si="29"/>
        <v>3370.0000000000005</v>
      </c>
      <c r="G386" s="259">
        <v>42594</v>
      </c>
      <c r="H386" s="254">
        <v>500</v>
      </c>
      <c r="I386" s="255">
        <v>14.88</v>
      </c>
      <c r="J386" s="255">
        <v>0.16</v>
      </c>
      <c r="K386" s="255">
        <f t="shared" si="28"/>
        <v>7439.84</v>
      </c>
      <c r="L386" s="254"/>
      <c r="M386" s="686"/>
    </row>
    <row r="387" spans="1:13" x14ac:dyDescent="0.25">
      <c r="A387" s="254"/>
      <c r="B387" s="562">
        <v>42619</v>
      </c>
      <c r="C387" s="254">
        <v>300</v>
      </c>
      <c r="D387" s="255">
        <v>16.850000000000001</v>
      </c>
      <c r="E387" s="255">
        <v>0</v>
      </c>
      <c r="F387" s="255">
        <f t="shared" si="29"/>
        <v>5055</v>
      </c>
      <c r="G387" s="259">
        <v>42594</v>
      </c>
      <c r="H387" s="254">
        <v>500</v>
      </c>
      <c r="I387" s="255">
        <v>14.98</v>
      </c>
      <c r="J387" s="255">
        <v>0.16</v>
      </c>
      <c r="K387" s="255">
        <f t="shared" si="28"/>
        <v>7489.84</v>
      </c>
      <c r="L387" s="254"/>
      <c r="M387" s="686"/>
    </row>
    <row r="388" spans="1:13" x14ac:dyDescent="0.25">
      <c r="A388" s="254"/>
      <c r="B388" s="562">
        <v>42620</v>
      </c>
      <c r="C388" s="254">
        <v>500</v>
      </c>
      <c r="D388" s="255">
        <v>17.12</v>
      </c>
      <c r="E388" s="255">
        <v>0</v>
      </c>
      <c r="F388" s="255">
        <f t="shared" si="29"/>
        <v>8560</v>
      </c>
      <c r="G388" s="259">
        <v>42597</v>
      </c>
      <c r="H388" s="254">
        <v>500</v>
      </c>
      <c r="I388" s="255">
        <v>15.48</v>
      </c>
      <c r="J388" s="255">
        <v>0.17</v>
      </c>
      <c r="K388" s="255">
        <f t="shared" si="28"/>
        <v>7739.83</v>
      </c>
      <c r="L388" s="254"/>
      <c r="M388" s="686"/>
    </row>
    <row r="389" spans="1:13" x14ac:dyDescent="0.25">
      <c r="A389" s="254"/>
      <c r="B389" s="562">
        <v>42622</v>
      </c>
      <c r="C389" s="254">
        <v>500</v>
      </c>
      <c r="D389" s="255">
        <v>17.05</v>
      </c>
      <c r="E389" s="255">
        <v>-2.5</v>
      </c>
      <c r="F389" s="255">
        <f t="shared" si="29"/>
        <v>8522.5</v>
      </c>
      <c r="G389" s="259">
        <v>42599</v>
      </c>
      <c r="H389" s="254">
        <v>500</v>
      </c>
      <c r="I389" s="255">
        <v>15.75</v>
      </c>
      <c r="J389" s="255">
        <v>0.17</v>
      </c>
      <c r="K389" s="255">
        <f t="shared" si="28"/>
        <v>7874.83</v>
      </c>
      <c r="L389" s="254"/>
      <c r="M389" s="254"/>
    </row>
    <row r="390" spans="1:13" x14ac:dyDescent="0.25">
      <c r="A390" s="254"/>
      <c r="B390" s="562">
        <v>42626</v>
      </c>
      <c r="C390" s="254">
        <v>100</v>
      </c>
      <c r="D390" s="255">
        <v>16.48</v>
      </c>
      <c r="E390" s="255">
        <v>0</v>
      </c>
      <c r="F390" s="255">
        <f t="shared" si="29"/>
        <v>1648</v>
      </c>
      <c r="G390" s="259">
        <v>42619</v>
      </c>
      <c r="H390" s="254">
        <v>500</v>
      </c>
      <c r="I390" s="255">
        <v>17.079999999999998</v>
      </c>
      <c r="J390" s="255">
        <v>0.19</v>
      </c>
      <c r="K390" s="255">
        <f t="shared" si="28"/>
        <v>8539.81</v>
      </c>
      <c r="L390" s="254"/>
      <c r="M390" s="254"/>
    </row>
    <row r="391" spans="1:13" x14ac:dyDescent="0.25">
      <c r="A391" s="254"/>
      <c r="B391" s="562">
        <v>42641</v>
      </c>
      <c r="C391" s="254">
        <v>200</v>
      </c>
      <c r="D391" s="255">
        <v>17.260000000000002</v>
      </c>
      <c r="E391" s="255">
        <v>-0.68</v>
      </c>
      <c r="F391" s="255">
        <f t="shared" si="29"/>
        <v>3451.3200000000006</v>
      </c>
      <c r="G391" s="259">
        <v>42620</v>
      </c>
      <c r="H391" s="254">
        <v>500</v>
      </c>
      <c r="I391" s="255">
        <v>17.28</v>
      </c>
      <c r="J391" s="255">
        <v>0.19</v>
      </c>
      <c r="K391" s="255">
        <f t="shared" si="28"/>
        <v>8639.81</v>
      </c>
      <c r="L391" s="254"/>
      <c r="M391" s="254"/>
    </row>
    <row r="392" spans="1:13" x14ac:dyDescent="0.25">
      <c r="A392" s="254"/>
      <c r="B392" s="562">
        <v>42647</v>
      </c>
      <c r="C392" s="254">
        <v>200</v>
      </c>
      <c r="D392" s="255">
        <v>17.079999999999998</v>
      </c>
      <c r="E392" s="255">
        <v>0</v>
      </c>
      <c r="F392" s="255">
        <f t="shared" si="29"/>
        <v>3415.9999999999995</v>
      </c>
      <c r="G392" s="259">
        <v>42621</v>
      </c>
      <c r="H392" s="254">
        <v>500</v>
      </c>
      <c r="I392" s="255">
        <v>17.43</v>
      </c>
      <c r="J392" s="255">
        <v>0.19</v>
      </c>
      <c r="K392" s="255">
        <f t="shared" si="28"/>
        <v>8714.81</v>
      </c>
      <c r="L392" s="254"/>
      <c r="M392" s="254"/>
    </row>
    <row r="393" spans="1:13" x14ac:dyDescent="0.25">
      <c r="A393" s="254"/>
      <c r="B393" s="562">
        <v>42654</v>
      </c>
      <c r="C393" s="254">
        <v>200</v>
      </c>
      <c r="D393" s="255">
        <v>16.68</v>
      </c>
      <c r="E393" s="255">
        <v>0</v>
      </c>
      <c r="F393" s="255">
        <f t="shared" si="29"/>
        <v>3336</v>
      </c>
      <c r="G393" s="259">
        <v>42634</v>
      </c>
      <c r="H393" s="254">
        <v>500</v>
      </c>
      <c r="I393" s="255">
        <v>17.63</v>
      </c>
      <c r="J393" s="255">
        <v>2.69</v>
      </c>
      <c r="K393" s="255">
        <f t="shared" si="28"/>
        <v>8812.31</v>
      </c>
      <c r="L393" s="254"/>
      <c r="M393" s="254"/>
    </row>
    <row r="394" spans="1:13" x14ac:dyDescent="0.25">
      <c r="A394" s="254"/>
      <c r="B394" s="562">
        <v>42670</v>
      </c>
      <c r="C394" s="254">
        <v>150</v>
      </c>
      <c r="D394" s="255">
        <v>17.510000000000002</v>
      </c>
      <c r="E394" s="255">
        <v>0</v>
      </c>
      <c r="F394" s="255">
        <f t="shared" si="29"/>
        <v>2626.5000000000005</v>
      </c>
      <c r="G394" s="259">
        <v>42662</v>
      </c>
      <c r="H394" s="260">
        <v>200</v>
      </c>
      <c r="I394" s="255">
        <v>17.239999999999998</v>
      </c>
      <c r="J394" s="255">
        <v>0.08</v>
      </c>
      <c r="K394" s="255">
        <f t="shared" si="28"/>
        <v>3447.9199999999996</v>
      </c>
      <c r="L394" s="254"/>
      <c r="M394" s="254"/>
    </row>
    <row r="395" spans="1:13" x14ac:dyDescent="0.25">
      <c r="A395" s="254"/>
      <c r="B395" s="562">
        <v>42670</v>
      </c>
      <c r="C395" s="254">
        <v>200</v>
      </c>
      <c r="D395" s="255">
        <v>17.510000000000002</v>
      </c>
      <c r="E395" s="255">
        <v>0</v>
      </c>
      <c r="F395" s="255">
        <f t="shared" si="29"/>
        <v>3502.0000000000005</v>
      </c>
      <c r="G395" s="259">
        <v>42668</v>
      </c>
      <c r="H395" s="254">
        <v>200</v>
      </c>
      <c r="I395" s="255">
        <v>17.55</v>
      </c>
      <c r="J395" s="255">
        <v>0.08</v>
      </c>
      <c r="K395" s="255">
        <f t="shared" si="28"/>
        <v>3509.92</v>
      </c>
      <c r="L395" s="254"/>
      <c r="M395" s="254"/>
    </row>
    <row r="396" spans="1:13" x14ac:dyDescent="0.25">
      <c r="A396" s="254"/>
      <c r="B396" s="562">
        <v>42670</v>
      </c>
      <c r="C396" s="254">
        <v>450</v>
      </c>
      <c r="D396" s="255">
        <v>17.510000000000002</v>
      </c>
      <c r="E396" s="255">
        <v>0</v>
      </c>
      <c r="F396" s="255">
        <f t="shared" si="29"/>
        <v>7879.5000000000009</v>
      </c>
      <c r="G396" s="259">
        <v>42669</v>
      </c>
      <c r="H396" s="254">
        <v>800</v>
      </c>
      <c r="I396" s="255">
        <v>17.760000000000002</v>
      </c>
      <c r="J396" s="255">
        <v>0.31</v>
      </c>
      <c r="K396" s="255">
        <f t="shared" si="28"/>
        <v>14207.690000000002</v>
      </c>
      <c r="L396" s="254"/>
      <c r="M396" s="254"/>
    </row>
    <row r="397" spans="1:13" x14ac:dyDescent="0.25">
      <c r="A397" s="254"/>
      <c r="B397" s="562">
        <v>42670</v>
      </c>
      <c r="C397" s="254">
        <v>200</v>
      </c>
      <c r="D397" s="255">
        <v>17.420000000000002</v>
      </c>
      <c r="E397" s="255">
        <v>0</v>
      </c>
      <c r="F397" s="255">
        <f t="shared" si="29"/>
        <v>3484.0000000000005</v>
      </c>
      <c r="G397" s="259">
        <v>42671</v>
      </c>
      <c r="H397" s="254">
        <v>400</v>
      </c>
      <c r="I397" s="255">
        <v>17.64</v>
      </c>
      <c r="J397" s="255">
        <v>0.15</v>
      </c>
      <c r="K397" s="255">
        <f t="shared" si="28"/>
        <v>7055.85</v>
      </c>
      <c r="L397" s="254"/>
      <c r="M397" s="254"/>
    </row>
    <row r="398" spans="1:13" x14ac:dyDescent="0.25">
      <c r="A398" s="254"/>
      <c r="B398" s="562">
        <v>42671</v>
      </c>
      <c r="C398" s="254">
        <v>400</v>
      </c>
      <c r="D398" s="255">
        <v>17.3</v>
      </c>
      <c r="E398" s="255">
        <v>0</v>
      </c>
      <c r="F398" s="255">
        <f t="shared" si="29"/>
        <v>6920</v>
      </c>
      <c r="G398" s="259">
        <v>42675</v>
      </c>
      <c r="H398" s="254">
        <v>200</v>
      </c>
      <c r="I398" s="255">
        <v>16.989999999999998</v>
      </c>
      <c r="J398" s="255">
        <v>7.0000000000000007E-2</v>
      </c>
      <c r="K398" s="255">
        <f t="shared" si="28"/>
        <v>3397.9299999999994</v>
      </c>
      <c r="L398" s="254"/>
      <c r="M398" s="254"/>
    </row>
    <row r="399" spans="1:13" x14ac:dyDescent="0.25">
      <c r="A399" s="254"/>
      <c r="B399" s="562">
        <v>42675</v>
      </c>
      <c r="C399" s="254">
        <v>200</v>
      </c>
      <c r="D399" s="255">
        <v>16.89</v>
      </c>
      <c r="E399" s="255">
        <v>0</v>
      </c>
      <c r="F399" s="255">
        <f t="shared" si="29"/>
        <v>3378</v>
      </c>
      <c r="G399" s="259">
        <v>42678</v>
      </c>
      <c r="H399" s="254">
        <v>200</v>
      </c>
      <c r="I399" s="255">
        <v>17</v>
      </c>
      <c r="J399" s="255">
        <v>7.0000000000000007E-2</v>
      </c>
      <c r="K399" s="255">
        <f t="shared" si="28"/>
        <v>3399.93</v>
      </c>
      <c r="L399" s="254"/>
      <c r="M399" s="254"/>
    </row>
    <row r="400" spans="1:13" x14ac:dyDescent="0.25">
      <c r="A400" s="254"/>
      <c r="B400" s="562">
        <v>42678</v>
      </c>
      <c r="C400" s="254">
        <v>200</v>
      </c>
      <c r="D400" s="255">
        <v>16.8</v>
      </c>
      <c r="E400" s="255">
        <v>0</v>
      </c>
      <c r="F400" s="255">
        <f t="shared" si="29"/>
        <v>3360</v>
      </c>
      <c r="G400" s="259">
        <v>42685</v>
      </c>
      <c r="H400" s="254">
        <v>200</v>
      </c>
      <c r="I400" s="255">
        <v>17.579999999999998</v>
      </c>
      <c r="J400" s="255">
        <v>0.08</v>
      </c>
      <c r="K400" s="255">
        <f t="shared" si="28"/>
        <v>3515.9199999999996</v>
      </c>
      <c r="L400" s="254"/>
      <c r="M400" s="254"/>
    </row>
    <row r="401" spans="1:13" x14ac:dyDescent="0.25">
      <c r="A401" s="254"/>
      <c r="B401" s="562">
        <v>42705</v>
      </c>
      <c r="C401" s="254">
        <v>150</v>
      </c>
      <c r="D401" s="255">
        <v>19.079999999999998</v>
      </c>
      <c r="E401" s="255">
        <v>0</v>
      </c>
      <c r="F401" s="255">
        <f t="shared" si="29"/>
        <v>2861.9999999999995</v>
      </c>
      <c r="G401" s="259">
        <v>42702</v>
      </c>
      <c r="H401" s="254">
        <v>150</v>
      </c>
      <c r="I401" s="255">
        <v>20.11</v>
      </c>
      <c r="J401" s="255">
        <v>7.0000000000000007E-2</v>
      </c>
      <c r="K401" s="255">
        <f t="shared" si="28"/>
        <v>3016.43</v>
      </c>
      <c r="L401" s="254"/>
      <c r="M401" s="254"/>
    </row>
    <row r="402" spans="1:13" x14ac:dyDescent="0.25">
      <c r="A402" s="254"/>
      <c r="B402" s="562">
        <v>42705</v>
      </c>
      <c r="C402" s="254">
        <v>200</v>
      </c>
      <c r="D402" s="255">
        <v>18.2</v>
      </c>
      <c r="E402" s="255">
        <v>0</v>
      </c>
      <c r="F402" s="255">
        <f t="shared" si="29"/>
        <v>3640</v>
      </c>
      <c r="G402" s="259">
        <v>42706</v>
      </c>
      <c r="H402" s="254">
        <v>200</v>
      </c>
      <c r="I402" s="255">
        <v>18.79</v>
      </c>
      <c r="J402" s="255">
        <v>0.08</v>
      </c>
      <c r="K402" s="255">
        <f t="shared" si="28"/>
        <v>3757.92</v>
      </c>
      <c r="L402" s="254"/>
      <c r="M402" s="254"/>
    </row>
    <row r="403" spans="1:13" x14ac:dyDescent="0.25">
      <c r="A403" s="254"/>
      <c r="B403" s="562"/>
      <c r="C403" s="254"/>
      <c r="D403" s="255"/>
      <c r="E403" s="255"/>
      <c r="F403" s="255">
        <f t="shared" si="29"/>
        <v>0</v>
      </c>
      <c r="G403" s="259">
        <v>42710</v>
      </c>
      <c r="H403" s="254">
        <v>200</v>
      </c>
      <c r="I403" s="255">
        <v>18.98</v>
      </c>
      <c r="J403" s="255">
        <v>0.08</v>
      </c>
      <c r="K403" s="255">
        <f t="shared" si="28"/>
        <v>3795.92</v>
      </c>
      <c r="L403" s="254"/>
      <c r="M403" s="254"/>
    </row>
    <row r="404" spans="1:13" ht="45" x14ac:dyDescent="0.25">
      <c r="A404" s="254"/>
      <c r="B404" s="562"/>
      <c r="C404" s="254"/>
      <c r="D404" s="255"/>
      <c r="E404" s="255"/>
      <c r="F404" s="255">
        <f t="shared" si="29"/>
        <v>0</v>
      </c>
      <c r="G404" s="683" t="s">
        <v>317</v>
      </c>
      <c r="H404" s="254">
        <v>100</v>
      </c>
      <c r="I404" s="255">
        <v>19.68</v>
      </c>
      <c r="J404" s="255">
        <v>0.04</v>
      </c>
      <c r="K404" s="255">
        <f t="shared" si="28"/>
        <v>1967.96</v>
      </c>
      <c r="L404" s="254"/>
      <c r="M404" s="254"/>
    </row>
    <row r="405" spans="1:13" x14ac:dyDescent="0.25">
      <c r="A405" s="254"/>
      <c r="B405" s="562"/>
      <c r="C405" s="254"/>
      <c r="D405" s="255"/>
      <c r="E405" s="255"/>
      <c r="F405" s="255">
        <f t="shared" si="29"/>
        <v>0</v>
      </c>
      <c r="G405" s="683"/>
      <c r="H405" s="254">
        <v>200</v>
      </c>
      <c r="I405" s="255">
        <v>19.88</v>
      </c>
      <c r="J405" s="255">
        <v>0.09</v>
      </c>
      <c r="K405" s="255">
        <f t="shared" si="28"/>
        <v>3975.91</v>
      </c>
      <c r="L405" s="254"/>
      <c r="M405" s="254"/>
    </row>
    <row r="406" spans="1:13" x14ac:dyDescent="0.25">
      <c r="A406" s="254"/>
      <c r="B406" s="562"/>
      <c r="C406" s="254"/>
      <c r="D406" s="255"/>
      <c r="E406" s="255"/>
      <c r="F406" s="255">
        <f t="shared" si="29"/>
        <v>0</v>
      </c>
      <c r="G406" s="683"/>
      <c r="H406" s="254">
        <v>200</v>
      </c>
      <c r="I406" s="255">
        <v>20.32</v>
      </c>
      <c r="J406" s="255">
        <v>0.09</v>
      </c>
      <c r="K406" s="255">
        <f t="shared" si="28"/>
        <v>4063.91</v>
      </c>
      <c r="L406" s="254"/>
      <c r="M406" s="254"/>
    </row>
    <row r="407" spans="1:13" x14ac:dyDescent="0.25">
      <c r="A407" s="254"/>
      <c r="B407" s="562"/>
      <c r="C407" s="254"/>
      <c r="D407" s="255"/>
      <c r="E407" s="255"/>
      <c r="F407" s="255">
        <f t="shared" si="29"/>
        <v>0</v>
      </c>
      <c r="G407" s="683"/>
      <c r="H407" s="254">
        <v>300</v>
      </c>
      <c r="I407" s="255">
        <v>20.53</v>
      </c>
      <c r="J407" s="255">
        <v>0.13</v>
      </c>
      <c r="K407" s="255">
        <f t="shared" si="28"/>
        <v>6158.87</v>
      </c>
      <c r="L407" s="254"/>
      <c r="M407" s="254"/>
    </row>
    <row r="408" spans="1:13" x14ac:dyDescent="0.25">
      <c r="A408" s="254"/>
      <c r="B408" s="562"/>
      <c r="C408" s="254"/>
      <c r="D408" s="255"/>
      <c r="E408" s="255"/>
      <c r="F408" s="255"/>
      <c r="G408" s="259">
        <v>42716</v>
      </c>
      <c r="H408" s="254">
        <v>200</v>
      </c>
      <c r="I408" s="255">
        <v>19.899999999999999</v>
      </c>
      <c r="J408" s="255">
        <v>0.09</v>
      </c>
      <c r="K408" s="255">
        <f t="shared" si="28"/>
        <v>3979.9099999999994</v>
      </c>
      <c r="L408" s="254"/>
      <c r="M408" s="254"/>
    </row>
    <row r="409" spans="1:13" x14ac:dyDescent="0.25">
      <c r="A409" s="254"/>
      <c r="B409" s="562"/>
      <c r="C409" s="254"/>
      <c r="D409" s="254"/>
      <c r="E409" s="254"/>
      <c r="F409" s="254"/>
      <c r="G409" s="259">
        <v>42716</v>
      </c>
      <c r="H409" s="254">
        <v>150</v>
      </c>
      <c r="I409" s="255">
        <v>19.989999999999998</v>
      </c>
      <c r="J409" s="255">
        <v>7.0000000000000007E-2</v>
      </c>
      <c r="K409" s="255">
        <f t="shared" si="28"/>
        <v>2998.4299999999994</v>
      </c>
      <c r="L409" s="254"/>
      <c r="M409" s="254"/>
    </row>
    <row r="410" spans="1:13" x14ac:dyDescent="0.25">
      <c r="A410" s="254"/>
      <c r="B410" s="562"/>
      <c r="C410" s="254"/>
      <c r="D410" s="254"/>
      <c r="E410" s="254"/>
      <c r="F410" s="254"/>
      <c r="G410" s="259">
        <v>42717</v>
      </c>
      <c r="H410" s="254">
        <v>100</v>
      </c>
      <c r="I410" s="255">
        <v>20.350000000000001</v>
      </c>
      <c r="J410" s="255">
        <v>0.04</v>
      </c>
      <c r="K410" s="255">
        <f t="shared" si="28"/>
        <v>2034.9600000000003</v>
      </c>
      <c r="L410" s="254"/>
      <c r="M410" s="254"/>
    </row>
    <row r="411" spans="1:13" x14ac:dyDescent="0.25">
      <c r="A411" s="254"/>
      <c r="B411" s="562"/>
      <c r="C411" s="254"/>
      <c r="D411" s="254"/>
      <c r="E411" s="254"/>
      <c r="F411" s="254"/>
      <c r="G411" s="259">
        <v>42738</v>
      </c>
      <c r="H411" s="254">
        <v>350</v>
      </c>
      <c r="I411" s="255">
        <v>22.58</v>
      </c>
      <c r="J411" s="255">
        <v>0.55000000000000004</v>
      </c>
      <c r="K411" s="255">
        <f t="shared" si="28"/>
        <v>7902.4499999999989</v>
      </c>
      <c r="L411" s="254"/>
      <c r="M411" s="254"/>
    </row>
    <row r="412" spans="1:13" x14ac:dyDescent="0.25">
      <c r="A412" s="254"/>
      <c r="B412" s="562"/>
      <c r="C412" s="254"/>
      <c r="D412" s="254"/>
      <c r="E412" s="254"/>
      <c r="F412" s="254"/>
      <c r="G412" s="254"/>
      <c r="H412" s="254"/>
      <c r="I412" s="255"/>
      <c r="J412" s="255"/>
      <c r="K412" s="255"/>
      <c r="L412" s="254"/>
      <c r="M412" s="254"/>
    </row>
    <row r="413" spans="1:13" x14ac:dyDescent="0.25">
      <c r="A413" s="254"/>
      <c r="B413" s="562">
        <v>42710</v>
      </c>
      <c r="C413" s="254">
        <v>200</v>
      </c>
      <c r="D413" s="255">
        <v>18.75</v>
      </c>
      <c r="E413" s="255">
        <v>0</v>
      </c>
      <c r="F413" s="255">
        <f t="shared" ref="F413:F418" si="30">C413*D413+E413</f>
        <v>3750</v>
      </c>
      <c r="G413" s="562">
        <v>42759</v>
      </c>
      <c r="H413" s="254">
        <v>200</v>
      </c>
      <c r="I413" s="255">
        <v>22.97</v>
      </c>
      <c r="J413" s="255">
        <v>0.1</v>
      </c>
      <c r="K413" s="255">
        <f>H413*I413-J413</f>
        <v>4593.8999999999996</v>
      </c>
      <c r="L413" s="254"/>
      <c r="M413" s="254"/>
    </row>
    <row r="414" spans="1:13" x14ac:dyDescent="0.25">
      <c r="A414" s="254"/>
      <c r="B414" s="562">
        <v>42716</v>
      </c>
      <c r="C414" s="254">
        <v>200</v>
      </c>
      <c r="D414" s="255">
        <v>20.100000000000001</v>
      </c>
      <c r="E414" s="255">
        <v>-1</v>
      </c>
      <c r="F414" s="255">
        <f t="shared" si="30"/>
        <v>4019.0000000000005</v>
      </c>
      <c r="G414" s="562">
        <v>42760</v>
      </c>
      <c r="H414" s="260">
        <v>600</v>
      </c>
      <c r="I414" s="255">
        <v>23.78</v>
      </c>
      <c r="J414" s="255">
        <v>0.31</v>
      </c>
      <c r="K414" s="255">
        <f>H414*I414-J414</f>
        <v>14267.69</v>
      </c>
      <c r="L414" s="254"/>
      <c r="M414" s="254"/>
    </row>
    <row r="415" spans="1:13" x14ac:dyDescent="0.25">
      <c r="A415" s="254"/>
      <c r="B415" s="562">
        <v>42716</v>
      </c>
      <c r="C415" s="254">
        <v>200</v>
      </c>
      <c r="D415" s="255">
        <v>19.850000000000001</v>
      </c>
      <c r="E415" s="255">
        <v>0</v>
      </c>
      <c r="F415" s="255">
        <f t="shared" si="30"/>
        <v>3970.0000000000005</v>
      </c>
      <c r="G415" s="562">
        <v>42762</v>
      </c>
      <c r="H415" s="260">
        <v>400</v>
      </c>
      <c r="I415" s="255">
        <v>23.98</v>
      </c>
      <c r="J415" s="255">
        <v>0.21</v>
      </c>
      <c r="K415" s="255">
        <f>H415*I415-J415</f>
        <v>9591.7900000000009</v>
      </c>
      <c r="L415" s="254"/>
      <c r="M415" s="254"/>
    </row>
    <row r="416" spans="1:13" x14ac:dyDescent="0.25">
      <c r="A416" s="254"/>
      <c r="B416" s="562">
        <v>42716</v>
      </c>
      <c r="C416" s="254">
        <v>600</v>
      </c>
      <c r="D416" s="255">
        <v>19.600000000000001</v>
      </c>
      <c r="E416" s="255">
        <v>0</v>
      </c>
      <c r="F416" s="255">
        <f t="shared" si="30"/>
        <v>11760</v>
      </c>
      <c r="G416" s="259"/>
      <c r="H416" s="254"/>
      <c r="I416" s="255"/>
      <c r="J416" s="255"/>
      <c r="K416" s="255"/>
      <c r="L416" s="254"/>
      <c r="M416" s="254"/>
    </row>
    <row r="417" spans="1:13" x14ac:dyDescent="0.25">
      <c r="A417" s="254"/>
      <c r="B417" s="488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88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4"/>
      <c r="M417" s="254"/>
    </row>
    <row r="418" spans="1:13" x14ac:dyDescent="0.25">
      <c r="A418" s="254"/>
      <c r="B418" s="488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88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4"/>
      <c r="M418" s="254"/>
    </row>
    <row r="419" spans="1:13" x14ac:dyDescent="0.25">
      <c r="A419" s="254"/>
      <c r="B419" s="562"/>
      <c r="C419" s="254"/>
      <c r="D419" s="254"/>
      <c r="E419" s="254"/>
      <c r="F419" s="254"/>
      <c r="G419" s="254"/>
      <c r="H419" s="254"/>
      <c r="I419" s="255"/>
      <c r="J419" s="255"/>
      <c r="K419" s="255"/>
      <c r="L419" s="254"/>
      <c r="M419" s="254"/>
    </row>
    <row r="420" spans="1:13" x14ac:dyDescent="0.25">
      <c r="A420" s="254"/>
      <c r="B420" s="488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88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4"/>
    </row>
    <row r="421" spans="1:13" x14ac:dyDescent="0.25">
      <c r="A421" s="254"/>
      <c r="B421" s="488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88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4"/>
    </row>
    <row r="422" spans="1:13" x14ac:dyDescent="0.25">
      <c r="A422" s="254"/>
      <c r="B422" s="488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88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4"/>
    </row>
    <row r="423" spans="1:13" x14ac:dyDescent="0.25">
      <c r="A423" s="254"/>
      <c r="B423" s="488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45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4"/>
    </row>
    <row r="424" spans="1:13" x14ac:dyDescent="0.25">
      <c r="A424" s="254"/>
      <c r="B424" s="488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45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4"/>
    </row>
    <row r="425" spans="1:13" x14ac:dyDescent="0.25">
      <c r="A425" s="254"/>
      <c r="B425" s="488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4"/>
    </row>
    <row r="426" spans="1:13" x14ac:dyDescent="0.25">
      <c r="A426" s="254"/>
      <c r="B426" s="562"/>
      <c r="C426" s="254"/>
      <c r="D426" s="254"/>
      <c r="E426" s="254"/>
      <c r="F426" s="254"/>
      <c r="G426" s="254"/>
      <c r="H426" s="254"/>
      <c r="I426" s="255"/>
      <c r="J426" s="255"/>
      <c r="K426" s="255"/>
      <c r="L426" s="254"/>
      <c r="M426" s="254"/>
    </row>
    <row r="427" spans="1:13" x14ac:dyDescent="0.25">
      <c r="A427" s="254"/>
      <c r="B427" s="488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88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4"/>
      <c r="M427" s="254"/>
    </row>
    <row r="428" spans="1:13" x14ac:dyDescent="0.25">
      <c r="A428" s="254"/>
      <c r="B428" s="562"/>
      <c r="C428" s="254"/>
      <c r="D428" s="254"/>
      <c r="E428" s="254"/>
      <c r="F428" s="254"/>
      <c r="G428" s="254"/>
      <c r="H428" s="254"/>
      <c r="I428" s="255"/>
      <c r="J428" s="255"/>
      <c r="K428" s="255"/>
      <c r="L428" s="254"/>
      <c r="M428" s="254"/>
    </row>
    <row r="429" spans="1:13" x14ac:dyDescent="0.25">
      <c r="A429" s="254"/>
      <c r="B429" s="488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88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4"/>
      <c r="B430" s="488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88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4"/>
      <c r="B431" s="488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88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4"/>
      <c r="B432" s="488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45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4"/>
      <c r="B433" s="488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45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4"/>
      <c r="B434" s="488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45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4"/>
      <c r="B435" s="488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45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4"/>
      <c r="B436" s="488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60"/>
      <c r="H436" s="4"/>
      <c r="I436" s="3"/>
      <c r="J436" s="3"/>
      <c r="K436" s="3"/>
      <c r="L436" s="4"/>
      <c r="M436" s="4"/>
    </row>
    <row r="438" spans="1:13" x14ac:dyDescent="0.25">
      <c r="B438" s="488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88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88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88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88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88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88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45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88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45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88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88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89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89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4"/>
      <c r="B449" s="562"/>
      <c r="C449" s="254"/>
      <c r="D449" s="254"/>
      <c r="E449" s="254"/>
      <c r="F449" s="254"/>
      <c r="G449" s="254"/>
      <c r="H449" s="254"/>
      <c r="I449" s="255"/>
      <c r="J449" s="255"/>
      <c r="K449" s="255"/>
      <c r="L449" s="254"/>
      <c r="M449" s="254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50" t="s">
        <v>194</v>
      </c>
      <c r="B451" s="451"/>
      <c r="C451" s="452">
        <f>SumByColor($A$23,C261:C449)</f>
        <v>3800</v>
      </c>
      <c r="D451" s="452"/>
      <c r="E451" s="452"/>
      <c r="F451" s="453">
        <f>SumByColor($A$23,F261:F449)</f>
        <v>94879</v>
      </c>
      <c r="G451" s="452"/>
      <c r="H451" s="452">
        <f>SumByColor($A$23,H261:H449)</f>
        <v>3800</v>
      </c>
      <c r="I451" s="452"/>
      <c r="J451" s="452"/>
      <c r="K451" s="453">
        <f>SumByColor($A$23,K261:K449)</f>
        <v>103844</v>
      </c>
      <c r="L451" s="452"/>
      <c r="M451" s="453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09" priority="137">
      <formula>F30&gt;0</formula>
    </cfRule>
    <cfRule type="expression" dxfId="808" priority="138">
      <formula>F30&lt;0</formula>
    </cfRule>
  </conditionalFormatting>
  <conditionalFormatting sqref="H47:H58">
    <cfRule type="expression" dxfId="807" priority="129">
      <formula>H47&gt;0</formula>
    </cfRule>
    <cfRule type="expression" dxfId="806" priority="130">
      <formula>H47&lt;0</formula>
    </cfRule>
  </conditionalFormatting>
  <conditionalFormatting sqref="H59">
    <cfRule type="expression" dxfId="805" priority="119">
      <formula>H59&gt;0</formula>
    </cfRule>
    <cfRule type="expression" dxfId="804" priority="120">
      <formula>H59&lt;0</formula>
    </cfRule>
  </conditionalFormatting>
  <conditionalFormatting sqref="H60">
    <cfRule type="expression" dxfId="803" priority="115">
      <formula>H60&gt;0</formula>
    </cfRule>
    <cfRule type="expression" dxfId="802" priority="116">
      <formula>H60&lt;0</formula>
    </cfRule>
  </conditionalFormatting>
  <conditionalFormatting sqref="H61:H66">
    <cfRule type="expression" dxfId="801" priority="111">
      <formula>H61&gt;0</formula>
    </cfRule>
    <cfRule type="expression" dxfId="800" priority="112">
      <formula>H61&lt;0</formula>
    </cfRule>
  </conditionalFormatting>
  <conditionalFormatting sqref="Q8">
    <cfRule type="expression" dxfId="799" priority="95">
      <formula>Q8&gt;0</formula>
    </cfRule>
    <cfRule type="expression" dxfId="798" priority="96">
      <formula>Q8&lt;0</formula>
    </cfRule>
  </conditionalFormatting>
  <conditionalFormatting sqref="Q7">
    <cfRule type="expression" dxfId="797" priority="97">
      <formula>Q7&gt;0</formula>
    </cfRule>
    <cfRule type="expression" dxfId="796" priority="98">
      <formula>Q7&lt;0</formula>
    </cfRule>
  </conditionalFormatting>
  <conditionalFormatting sqref="F178 H178">
    <cfRule type="expression" dxfId="795" priority="93">
      <formula>F178&gt;0</formula>
    </cfRule>
    <cfRule type="expression" dxfId="794" priority="94">
      <formula>F178&lt;0</formula>
    </cfRule>
  </conditionalFormatting>
  <conditionalFormatting sqref="Q10">
    <cfRule type="expression" dxfId="793" priority="87">
      <formula>Q10&gt;0</formula>
    </cfRule>
    <cfRule type="expression" dxfId="792" priority="88">
      <formula>Q10&lt;0</formula>
    </cfRule>
  </conditionalFormatting>
  <conditionalFormatting sqref="Q9">
    <cfRule type="expression" dxfId="791" priority="81">
      <formula>Q9&gt;0</formula>
    </cfRule>
    <cfRule type="expression" dxfId="790" priority="82">
      <formula>Q9&lt;0</formula>
    </cfRule>
  </conditionalFormatting>
  <conditionalFormatting sqref="F201:F248">
    <cfRule type="expression" dxfId="789" priority="41">
      <formula>F201&gt;0</formula>
    </cfRule>
    <cfRule type="expression" dxfId="788" priority="42">
      <formula>F201&lt;0</formula>
    </cfRule>
  </conditionalFormatting>
  <conditionalFormatting sqref="H201:H248">
    <cfRule type="expression" dxfId="787" priority="39">
      <formula>H201&gt;0</formula>
    </cfRule>
    <cfRule type="expression" dxfId="786" priority="40">
      <formula>H201&lt;0</formula>
    </cfRule>
  </conditionalFormatting>
  <conditionalFormatting sqref="J208">
    <cfRule type="expression" dxfId="785" priority="37">
      <formula>J208&gt;0</formula>
    </cfRule>
    <cfRule type="expression" dxfId="784" priority="38">
      <formula>J208&lt;0</formula>
    </cfRule>
  </conditionalFormatting>
  <conditionalFormatting sqref="J214:J215">
    <cfRule type="expression" dxfId="783" priority="35">
      <formula>J214&gt;0</formula>
    </cfRule>
    <cfRule type="expression" dxfId="782" priority="36">
      <formula>J214&lt;0</formula>
    </cfRule>
  </conditionalFormatting>
  <conditionalFormatting sqref="J216">
    <cfRule type="expression" dxfId="781" priority="33">
      <formula>J216&gt;0</formula>
    </cfRule>
    <cfRule type="expression" dxfId="780" priority="34">
      <formula>J216&lt;0</formula>
    </cfRule>
  </conditionalFormatting>
  <conditionalFormatting sqref="J217:J219 J221:J224">
    <cfRule type="expression" dxfId="779" priority="31">
      <formula>J217&gt;0</formula>
    </cfRule>
    <cfRule type="expression" dxfId="778" priority="32">
      <formula>J217&lt;0</formula>
    </cfRule>
  </conditionalFormatting>
  <conditionalFormatting sqref="K208">
    <cfRule type="expression" dxfId="777" priority="29">
      <formula>K208&gt;0</formula>
    </cfRule>
    <cfRule type="expression" dxfId="776" priority="30">
      <formula>K208&lt;0</formula>
    </cfRule>
  </conditionalFormatting>
  <conditionalFormatting sqref="K214:K215">
    <cfRule type="expression" dxfId="775" priority="27">
      <formula>K214&gt;0</formula>
    </cfRule>
    <cfRule type="expression" dxfId="774" priority="28">
      <formula>K214&lt;0</formula>
    </cfRule>
  </conditionalFormatting>
  <conditionalFormatting sqref="K216">
    <cfRule type="expression" dxfId="773" priority="25">
      <formula>K216&gt;0</formula>
    </cfRule>
    <cfRule type="expression" dxfId="772" priority="26">
      <formula>K216&lt;0</formula>
    </cfRule>
  </conditionalFormatting>
  <conditionalFormatting sqref="K217:K224">
    <cfRule type="expression" dxfId="771" priority="23">
      <formula>K217&gt;0</formula>
    </cfRule>
    <cfRule type="expression" dxfId="770" priority="24">
      <formula>K217&lt;0</formula>
    </cfRule>
  </conditionalFormatting>
  <conditionalFormatting sqref="L208">
    <cfRule type="expression" dxfId="769" priority="21">
      <formula>L208&gt;0</formula>
    </cfRule>
    <cfRule type="expression" dxfId="768" priority="22">
      <formula>L208&lt;0</formula>
    </cfRule>
  </conditionalFormatting>
  <conditionalFormatting sqref="L214:L215">
    <cfRule type="expression" dxfId="767" priority="19">
      <formula>L214&gt;0</formula>
    </cfRule>
    <cfRule type="expression" dxfId="766" priority="20">
      <formula>L214&lt;0</formula>
    </cfRule>
  </conditionalFormatting>
  <conditionalFormatting sqref="L216">
    <cfRule type="expression" dxfId="765" priority="17">
      <formula>L216&gt;0</formula>
    </cfRule>
    <cfRule type="expression" dxfId="764" priority="18">
      <formula>L216&lt;0</formula>
    </cfRule>
  </conditionalFormatting>
  <conditionalFormatting sqref="L217:L224">
    <cfRule type="expression" dxfId="763" priority="15">
      <formula>L217&gt;0</formula>
    </cfRule>
    <cfRule type="expression" dxfId="762" priority="16">
      <formula>L217&lt;0</formula>
    </cfRule>
  </conditionalFormatting>
  <conditionalFormatting sqref="K225">
    <cfRule type="expression" dxfId="761" priority="13">
      <formula>K225&gt;0</formula>
    </cfRule>
    <cfRule type="expression" dxfId="760" priority="14">
      <formula>K225&lt;0</formula>
    </cfRule>
  </conditionalFormatting>
  <conditionalFormatting sqref="L225:L232">
    <cfRule type="expression" dxfId="759" priority="11">
      <formula>L225&gt;0</formula>
    </cfRule>
    <cfRule type="expression" dxfId="758" priority="12">
      <formula>L225&lt;0</formula>
    </cfRule>
  </conditionalFormatting>
  <conditionalFormatting sqref="K226">
    <cfRule type="expression" dxfId="757" priority="9">
      <formula>K226&gt;0</formula>
    </cfRule>
    <cfRule type="expression" dxfId="756" priority="10">
      <formula>K226&lt;0</formula>
    </cfRule>
  </conditionalFormatting>
  <conditionalFormatting sqref="K227">
    <cfRule type="expression" dxfId="755" priority="7">
      <formula>K227&gt;0</formula>
    </cfRule>
    <cfRule type="expression" dxfId="754" priority="8">
      <formula>K227&lt;0</formula>
    </cfRule>
  </conditionalFormatting>
  <conditionalFormatting sqref="K228:K248">
    <cfRule type="expression" dxfId="753" priority="5">
      <formula>K228&gt;0</formula>
    </cfRule>
    <cfRule type="expression" dxfId="752" priority="6">
      <formula>K228&lt;0</formula>
    </cfRule>
  </conditionalFormatting>
  <conditionalFormatting sqref="L233:L237">
    <cfRule type="expression" dxfId="751" priority="3">
      <formula>L233&gt;0</formula>
    </cfRule>
    <cfRule type="expression" dxfId="750" priority="4">
      <formula>L233&lt;0</formula>
    </cfRule>
  </conditionalFormatting>
  <conditionalFormatting sqref="L238:L243">
    <cfRule type="expression" dxfId="749" priority="1">
      <formula>L238&gt;0</formula>
    </cfRule>
    <cfRule type="expression" dxfId="748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4"/>
      <c r="O3" s="11" t="s">
        <v>58</v>
      </c>
      <c r="Q3" s="2">
        <f>IF(Q2=0, Q4, (F18-K18-M18)/Q2)</f>
        <v>57.2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57.2</v>
      </c>
      <c r="R4" s="504">
        <v>2.0500000000000001E-2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210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209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8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6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8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6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8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6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8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6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8">
        <v>42432</v>
      </c>
      <c r="C27" s="10">
        <v>0</v>
      </c>
      <c r="D27" s="39"/>
      <c r="E27" s="39"/>
      <c r="F27" s="39">
        <v>75.92</v>
      </c>
      <c r="G27" s="39"/>
      <c r="H27" s="226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8">
        <v>42445</v>
      </c>
      <c r="C28" s="10">
        <v>0</v>
      </c>
      <c r="D28" s="39"/>
      <c r="E28" s="39"/>
      <c r="F28" s="39">
        <v>119.92</v>
      </c>
      <c r="G28" s="39"/>
      <c r="H28" s="226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209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7" t="s">
        <v>5</v>
      </c>
      <c r="E31" s="377" t="s">
        <v>90</v>
      </c>
      <c r="F31" s="377" t="s">
        <v>60</v>
      </c>
      <c r="G31" s="377" t="s">
        <v>3</v>
      </c>
      <c r="H31" s="406" t="s">
        <v>6</v>
      </c>
      <c r="I31" s="377" t="s">
        <v>7</v>
      </c>
      <c r="J31" s="377" t="s">
        <v>89</v>
      </c>
      <c r="K31" s="377" t="s">
        <v>61</v>
      </c>
      <c r="L31" s="377" t="s">
        <v>77</v>
      </c>
      <c r="M31" s="377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80" t="s">
        <v>172</v>
      </c>
      <c r="B32" s="370">
        <v>42376</v>
      </c>
      <c r="C32" s="371">
        <v>100</v>
      </c>
      <c r="D32" s="372">
        <v>36.659999999999997</v>
      </c>
      <c r="E32" s="372">
        <v>0</v>
      </c>
      <c r="F32" s="372">
        <f>C32*D32+E32</f>
        <v>3665.9999999999995</v>
      </c>
      <c r="G32" s="407">
        <v>42432</v>
      </c>
      <c r="H32" s="390">
        <v>100</v>
      </c>
      <c r="I32" s="391">
        <v>37.42</v>
      </c>
      <c r="J32" s="391">
        <v>0.08</v>
      </c>
      <c r="K32" s="392">
        <f>I32*H32-J32</f>
        <v>3741.92</v>
      </c>
      <c r="L32" s="370">
        <v>42444</v>
      </c>
      <c r="M32" s="391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81" t="s">
        <v>71</v>
      </c>
      <c r="B33" s="370"/>
      <c r="C33" s="371"/>
      <c r="D33" s="372"/>
      <c r="E33" s="372"/>
      <c r="F33" s="372"/>
      <c r="G33" s="370"/>
      <c r="H33" s="375"/>
      <c r="I33" s="371"/>
      <c r="J33" s="371"/>
      <c r="K33" s="392"/>
      <c r="L33" s="370"/>
      <c r="M33" s="371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71"/>
      <c r="B34" s="370"/>
      <c r="C34" s="371"/>
      <c r="D34" s="372"/>
      <c r="E34" s="372"/>
      <c r="F34" s="372"/>
      <c r="G34" s="370"/>
      <c r="H34" s="375"/>
      <c r="I34" s="371"/>
      <c r="J34" s="372"/>
      <c r="K34" s="391"/>
      <c r="L34" s="371"/>
      <c r="M34" s="371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71"/>
      <c r="B35" s="370"/>
      <c r="C35" s="371"/>
      <c r="D35" s="372"/>
      <c r="E35" s="372"/>
      <c r="F35" s="372"/>
      <c r="G35" s="370"/>
      <c r="H35" s="375"/>
      <c r="I35" s="371"/>
      <c r="J35" s="372"/>
      <c r="K35" s="391"/>
      <c r="L35" s="371"/>
      <c r="M35" s="371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71"/>
      <c r="B36" s="371"/>
      <c r="C36" s="371"/>
      <c r="D36" s="371"/>
      <c r="E36" s="371"/>
      <c r="F36" s="371"/>
      <c r="G36" s="371"/>
      <c r="H36" s="375"/>
      <c r="I36" s="371"/>
      <c r="J36" s="371"/>
      <c r="K36" s="371"/>
      <c r="L36" s="371"/>
      <c r="M36" s="371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71"/>
      <c r="B38" s="371"/>
      <c r="C38" s="371"/>
      <c r="D38" s="371"/>
      <c r="E38" s="371"/>
      <c r="F38" s="371"/>
      <c r="G38" s="371"/>
      <c r="H38" s="375"/>
      <c r="I38" s="371"/>
      <c r="J38" s="371"/>
      <c r="K38" s="371"/>
      <c r="L38" s="371"/>
      <c r="M38" s="371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310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04" t="s">
        <v>78</v>
      </c>
      <c r="P40" s="80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62.920000000000009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62.348000000000006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61.77600000000001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61.204000000000008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60.632000000000005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60.06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59.488000000000007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58.916000000000004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58.344000000000001</v>
      </c>
      <c r="Q49" s="2"/>
      <c r="T49" s="85" t="s">
        <v>103</v>
      </c>
      <c r="U49" s="87" t="s">
        <v>405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57.772000000000006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57.2</v>
      </c>
      <c r="Q51" s="2"/>
      <c r="T51" s="85" t="s">
        <v>104</v>
      </c>
      <c r="U51" s="86" t="s">
        <v>638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56.628</v>
      </c>
      <c r="Q52" s="2"/>
      <c r="T52" s="85" t="s">
        <v>105</v>
      </c>
      <c r="U52" s="86" t="s">
        <v>516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56.056000000000004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55.484000000000002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54.911999999999999</v>
      </c>
      <c r="T55" s="85" t="s">
        <v>107</v>
      </c>
      <c r="U55" s="86" t="s">
        <v>639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54.34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53.768000000000001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53.196000000000005</v>
      </c>
      <c r="T58" s="85" t="s">
        <v>108</v>
      </c>
      <c r="U58" s="86" t="s">
        <v>563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52.624000000000002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52.052000000000007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51.480000000000004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747" priority="11">
      <formula>F27&gt;0</formula>
    </cfRule>
    <cfRule type="expression" dxfId="746" priority="12">
      <formula>F27&lt;0</formula>
    </cfRule>
  </conditionalFormatting>
  <conditionalFormatting sqref="H27:H29">
    <cfRule type="expression" dxfId="745" priority="9">
      <formula>H27&gt;0</formula>
    </cfRule>
    <cfRule type="expression" dxfId="744" priority="10">
      <formula>H27&lt;0</formula>
    </cfRule>
  </conditionalFormatting>
  <conditionalFormatting sqref="F23:F26">
    <cfRule type="expression" dxfId="743" priority="7">
      <formula>F23&gt;0</formula>
    </cfRule>
    <cfRule type="expression" dxfId="742" priority="8">
      <formula>F23&lt;0</formula>
    </cfRule>
  </conditionalFormatting>
  <conditionalFormatting sqref="H23:H26">
    <cfRule type="expression" dxfId="741" priority="5">
      <formula>H23&gt;0</formula>
    </cfRule>
    <cfRule type="expression" dxfId="740" priority="6">
      <formula>H23&lt;0</formula>
    </cfRule>
  </conditionalFormatting>
  <conditionalFormatting sqref="Q8">
    <cfRule type="expression" dxfId="739" priority="1">
      <formula>Q8&gt;0</formula>
    </cfRule>
    <cfRule type="expression" dxfId="738" priority="2">
      <formula>Q8&lt;0</formula>
    </cfRule>
  </conditionalFormatting>
  <conditionalFormatting sqref="Q7">
    <cfRule type="expression" dxfId="737" priority="3">
      <formula>Q7&gt;0</formula>
    </cfRule>
    <cfRule type="expression" dxfId="736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83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4"/>
      <c r="J3" s="4"/>
      <c r="K3" s="17"/>
      <c r="L3" s="72"/>
      <c r="M3" s="3"/>
      <c r="O3" s="11" t="s">
        <v>58</v>
      </c>
      <c r="Q3" s="2">
        <f>IF(Q2=0, Q4, (F18-K18-M18)/Q2)</f>
        <v>43.95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80"/>
      <c r="I4" s="4"/>
      <c r="J4" s="3"/>
      <c r="K4" s="73"/>
      <c r="L4" s="4"/>
      <c r="M4" s="4"/>
      <c r="O4" s="11" t="s">
        <v>66</v>
      </c>
      <c r="Q4" s="54">
        <v>43.95</v>
      </c>
      <c r="R4" s="504">
        <v>2.81E-2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80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80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80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80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80"/>
      <c r="I9" s="4"/>
      <c r="J9" s="4"/>
      <c r="K9" s="73"/>
      <c r="L9" s="4"/>
      <c r="M9" s="4"/>
      <c r="O9" s="11" t="s">
        <v>210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80"/>
      <c r="I10" s="4"/>
      <c r="J10" s="4"/>
      <c r="K10" s="73"/>
      <c r="L10" s="4"/>
      <c r="M10" s="4"/>
      <c r="O10" s="11" t="s">
        <v>209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80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80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80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80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80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0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8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8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209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6" t="s">
        <v>5</v>
      </c>
      <c r="E34" s="256" t="s">
        <v>90</v>
      </c>
      <c r="F34" s="256" t="s">
        <v>60</v>
      </c>
      <c r="G34" s="256" t="s">
        <v>3</v>
      </c>
      <c r="H34" s="399" t="s">
        <v>6</v>
      </c>
      <c r="I34" s="256" t="s">
        <v>7</v>
      </c>
      <c r="J34" s="256" t="s">
        <v>89</v>
      </c>
      <c r="K34" s="256" t="s">
        <v>61</v>
      </c>
      <c r="L34" s="256" t="s">
        <v>77</v>
      </c>
      <c r="M34" s="256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8" t="s">
        <v>27</v>
      </c>
      <c r="B35" s="259">
        <v>42164</v>
      </c>
      <c r="C35" s="254">
        <v>30</v>
      </c>
      <c r="D35" s="255">
        <v>32.200000000000003</v>
      </c>
      <c r="E35" s="255">
        <v>0</v>
      </c>
      <c r="F35" s="255">
        <f>C35*D35</f>
        <v>966.00000000000011</v>
      </c>
      <c r="G35" s="400">
        <v>42247</v>
      </c>
      <c r="H35" s="401">
        <v>100</v>
      </c>
      <c r="I35" s="361">
        <v>27.15</v>
      </c>
      <c r="J35" s="361">
        <v>0.05</v>
      </c>
      <c r="K35" s="268">
        <f t="shared" ref="K35:K43" si="2">H35*I35-J35</f>
        <v>2714.95</v>
      </c>
      <c r="L35" s="259">
        <v>42248</v>
      </c>
      <c r="M35" s="361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61" t="s">
        <v>71</v>
      </c>
      <c r="B36" s="259">
        <v>42166</v>
      </c>
      <c r="C36" s="254">
        <v>30</v>
      </c>
      <c r="D36" s="255">
        <v>31.3</v>
      </c>
      <c r="E36" s="255">
        <v>0</v>
      </c>
      <c r="F36" s="255">
        <f t="shared" ref="F36:F43" si="3">C36*D36</f>
        <v>939</v>
      </c>
      <c r="G36" s="259">
        <v>42263</v>
      </c>
      <c r="H36" s="260">
        <v>230</v>
      </c>
      <c r="I36" s="254">
        <v>29.47</v>
      </c>
      <c r="J36" s="254">
        <v>0.12</v>
      </c>
      <c r="K36" s="268">
        <f t="shared" si="2"/>
        <v>6777.98</v>
      </c>
      <c r="L36" s="259">
        <v>42339</v>
      </c>
      <c r="M36" s="255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4"/>
      <c r="B37" s="259">
        <v>42186</v>
      </c>
      <c r="C37" s="254">
        <v>140</v>
      </c>
      <c r="D37" s="255">
        <v>31.1</v>
      </c>
      <c r="E37" s="255">
        <v>0</v>
      </c>
      <c r="F37" s="255">
        <f t="shared" si="3"/>
        <v>4354</v>
      </c>
      <c r="G37" s="259">
        <v>42263</v>
      </c>
      <c r="H37" s="260">
        <v>180</v>
      </c>
      <c r="I37" s="254">
        <v>29.49</v>
      </c>
      <c r="J37" s="255">
        <v>0.09</v>
      </c>
      <c r="K37" s="361">
        <f t="shared" si="2"/>
        <v>5308.11</v>
      </c>
      <c r="L37" s="254"/>
      <c r="M37" s="254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4"/>
      <c r="B38" s="259">
        <v>42186</v>
      </c>
      <c r="C38" s="254">
        <v>200</v>
      </c>
      <c r="D38" s="255">
        <v>30.9</v>
      </c>
      <c r="E38" s="255">
        <v>0</v>
      </c>
      <c r="F38" s="255">
        <f t="shared" si="3"/>
        <v>6180</v>
      </c>
      <c r="G38" s="259">
        <v>42282</v>
      </c>
      <c r="H38" s="260">
        <v>710</v>
      </c>
      <c r="I38" s="254">
        <v>30.05</v>
      </c>
      <c r="J38" s="255">
        <v>0.39</v>
      </c>
      <c r="K38" s="361">
        <f t="shared" si="2"/>
        <v>21335.11</v>
      </c>
      <c r="L38" s="254"/>
      <c r="M38" s="254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4"/>
      <c r="B39" s="259">
        <v>42194</v>
      </c>
      <c r="C39" s="254">
        <v>100</v>
      </c>
      <c r="D39" s="255">
        <v>29.8</v>
      </c>
      <c r="E39" s="255">
        <v>0</v>
      </c>
      <c r="F39" s="255">
        <f t="shared" si="3"/>
        <v>2980</v>
      </c>
      <c r="G39" s="259">
        <v>42291</v>
      </c>
      <c r="H39" s="260">
        <v>60</v>
      </c>
      <c r="I39" s="254">
        <v>32.450000000000003</v>
      </c>
      <c r="J39" s="254">
        <v>0.04</v>
      </c>
      <c r="K39" s="361">
        <f t="shared" si="2"/>
        <v>1946.9600000000003</v>
      </c>
      <c r="L39" s="254"/>
      <c r="M39" s="254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4"/>
      <c r="B40" s="259">
        <v>42207</v>
      </c>
      <c r="C40" s="254">
        <v>50</v>
      </c>
      <c r="D40" s="255">
        <v>29.32</v>
      </c>
      <c r="E40" s="255">
        <v>0</v>
      </c>
      <c r="F40" s="255">
        <f t="shared" si="3"/>
        <v>1466</v>
      </c>
      <c r="G40" s="259">
        <v>42296</v>
      </c>
      <c r="H40" s="260">
        <v>200</v>
      </c>
      <c r="I40" s="254">
        <v>32.82</v>
      </c>
      <c r="J40" s="254">
        <v>0.12</v>
      </c>
      <c r="K40" s="361">
        <f t="shared" si="2"/>
        <v>6563.88</v>
      </c>
      <c r="L40" s="254"/>
      <c r="M40" s="254"/>
      <c r="O40" s="804" t="s">
        <v>78</v>
      </c>
      <c r="P40" s="80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4"/>
      <c r="B41" s="259">
        <v>42209</v>
      </c>
      <c r="C41" s="254">
        <v>50</v>
      </c>
      <c r="D41" s="255">
        <v>28.6</v>
      </c>
      <c r="E41" s="255">
        <v>0</v>
      </c>
      <c r="F41" s="255">
        <f t="shared" si="3"/>
        <v>1430</v>
      </c>
      <c r="G41" s="259">
        <v>42299</v>
      </c>
      <c r="H41" s="260">
        <v>80</v>
      </c>
      <c r="I41" s="254">
        <v>33.549999999999997</v>
      </c>
      <c r="J41" s="254">
        <v>0.05</v>
      </c>
      <c r="K41" s="361">
        <f t="shared" si="2"/>
        <v>2683.95</v>
      </c>
      <c r="L41" s="254"/>
      <c r="M41" s="254"/>
      <c r="O41" s="81">
        <v>1.1000000000000001</v>
      </c>
      <c r="P41" s="81">
        <f>O41*$Q$4</f>
        <v>48.345000000000006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4"/>
      <c r="B42" s="259">
        <v>42214</v>
      </c>
      <c r="C42" s="254">
        <v>50</v>
      </c>
      <c r="D42" s="255">
        <v>28.19</v>
      </c>
      <c r="E42" s="255">
        <v>0</v>
      </c>
      <c r="F42" s="255">
        <f t="shared" si="3"/>
        <v>1409.5</v>
      </c>
      <c r="G42" s="259">
        <v>42304</v>
      </c>
      <c r="H42" s="260">
        <v>40</v>
      </c>
      <c r="I42" s="254">
        <v>34.049999999999997</v>
      </c>
      <c r="J42" s="254">
        <v>0.03</v>
      </c>
      <c r="K42" s="361">
        <f t="shared" si="2"/>
        <v>1361.97</v>
      </c>
      <c r="L42" s="254"/>
      <c r="M42" s="254"/>
      <c r="O42" s="81">
        <v>1.0900000000000001</v>
      </c>
      <c r="P42" s="81">
        <f t="shared" ref="P42:P61" si="4">O42*$Q$4</f>
        <v>47.905500000000004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4"/>
      <c r="B43" s="259">
        <v>42240</v>
      </c>
      <c r="C43" s="254">
        <v>100</v>
      </c>
      <c r="D43" s="255">
        <v>28.4</v>
      </c>
      <c r="E43" s="255">
        <v>0</v>
      </c>
      <c r="F43" s="255">
        <f t="shared" si="3"/>
        <v>2840</v>
      </c>
      <c r="G43" s="259">
        <v>42332</v>
      </c>
      <c r="H43" s="260">
        <v>110</v>
      </c>
      <c r="I43" s="254">
        <v>34.450000000000003</v>
      </c>
      <c r="J43" s="254">
        <v>7.0000000000000007E-2</v>
      </c>
      <c r="K43" s="361">
        <f t="shared" si="2"/>
        <v>3789.4300000000003</v>
      </c>
      <c r="L43" s="254"/>
      <c r="M43" s="254"/>
      <c r="O43" s="81">
        <v>1.08</v>
      </c>
      <c r="P43" s="81">
        <f t="shared" si="4"/>
        <v>47.466000000000008</v>
      </c>
      <c r="Q43" s="2"/>
      <c r="T43" s="95" t="s">
        <v>97</v>
      </c>
      <c r="U43" s="96">
        <v>36.28</v>
      </c>
      <c r="V43" s="402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4"/>
      <c r="B44" s="259">
        <v>42240</v>
      </c>
      <c r="C44" s="254">
        <v>50</v>
      </c>
      <c r="D44" s="255">
        <v>28.3</v>
      </c>
      <c r="E44" s="255">
        <v>0</v>
      </c>
      <c r="F44" s="255">
        <f>C44*D44</f>
        <v>1415</v>
      </c>
      <c r="G44" s="254"/>
      <c r="H44" s="260"/>
      <c r="I44" s="254"/>
      <c r="J44" s="254"/>
      <c r="K44" s="254"/>
      <c r="L44" s="254"/>
      <c r="M44" s="254"/>
      <c r="O44" s="81">
        <v>1.07</v>
      </c>
      <c r="P44" s="81">
        <f t="shared" si="4"/>
        <v>47.026500000000006</v>
      </c>
      <c r="Q44" s="2"/>
      <c r="T44" s="85" t="s">
        <v>98</v>
      </c>
      <c r="U44" s="86">
        <v>36.43</v>
      </c>
      <c r="V44" s="403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4"/>
      <c r="B45" s="259">
        <v>42244</v>
      </c>
      <c r="C45" s="254">
        <v>100</v>
      </c>
      <c r="D45" s="255">
        <v>26.7</v>
      </c>
      <c r="E45" s="255">
        <v>0</v>
      </c>
      <c r="F45" s="255">
        <f t="shared" ref="F45:F51" si="5">C45*D45</f>
        <v>2670</v>
      </c>
      <c r="G45" s="254"/>
      <c r="H45" s="260"/>
      <c r="I45" s="254"/>
      <c r="J45" s="254"/>
      <c r="K45" s="254"/>
      <c r="L45" s="254"/>
      <c r="M45" s="254"/>
      <c r="O45" s="81">
        <v>1.06</v>
      </c>
      <c r="P45" s="81">
        <f t="shared" si="4"/>
        <v>46.587000000000003</v>
      </c>
      <c r="Q45" s="2"/>
      <c r="T45" s="85" t="s">
        <v>99</v>
      </c>
      <c r="U45" s="86" t="s">
        <v>640</v>
      </c>
      <c r="V45" s="403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4"/>
      <c r="B46" s="259">
        <v>42270</v>
      </c>
      <c r="C46" s="254">
        <v>330</v>
      </c>
      <c r="D46" s="255">
        <v>29.15</v>
      </c>
      <c r="E46" s="255">
        <v>0</v>
      </c>
      <c r="F46" s="255">
        <f t="shared" si="5"/>
        <v>9619.5</v>
      </c>
      <c r="G46" s="254"/>
      <c r="H46" s="260"/>
      <c r="I46" s="254"/>
      <c r="J46" s="254"/>
      <c r="K46" s="254"/>
      <c r="L46" s="254"/>
      <c r="M46" s="254"/>
      <c r="O46" s="81">
        <v>1.05</v>
      </c>
      <c r="P46" s="81">
        <f t="shared" si="4"/>
        <v>46.147500000000008</v>
      </c>
      <c r="Q46" s="2"/>
      <c r="T46" s="85" t="s">
        <v>100</v>
      </c>
      <c r="U46" s="86" t="s">
        <v>641</v>
      </c>
      <c r="V46" s="403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4"/>
      <c r="B47" s="259">
        <v>42276</v>
      </c>
      <c r="C47" s="254">
        <v>50</v>
      </c>
      <c r="D47" s="254">
        <v>27.95</v>
      </c>
      <c r="E47" s="255">
        <v>0</v>
      </c>
      <c r="F47" s="255">
        <f t="shared" si="5"/>
        <v>1397.5</v>
      </c>
      <c r="G47" s="254"/>
      <c r="H47" s="260"/>
      <c r="I47" s="254"/>
      <c r="J47" s="254"/>
      <c r="K47" s="254"/>
      <c r="L47" s="254"/>
      <c r="M47" s="254"/>
      <c r="O47" s="81">
        <v>1.04</v>
      </c>
      <c r="P47" s="81">
        <f t="shared" si="4"/>
        <v>45.708000000000006</v>
      </c>
      <c r="Q47" s="2"/>
      <c r="T47" s="85" t="s">
        <v>101</v>
      </c>
      <c r="U47" s="86">
        <v>40.03</v>
      </c>
      <c r="V47" s="403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4"/>
      <c r="B48" s="259">
        <v>42293</v>
      </c>
      <c r="C48" s="254">
        <v>80</v>
      </c>
      <c r="D48" s="255">
        <v>32.090000000000003</v>
      </c>
      <c r="E48" s="255">
        <v>0</v>
      </c>
      <c r="F48" s="255">
        <f t="shared" si="5"/>
        <v>2567.2000000000003</v>
      </c>
      <c r="G48" s="254"/>
      <c r="H48" s="260"/>
      <c r="I48" s="254"/>
      <c r="J48" s="254"/>
      <c r="K48" s="254"/>
      <c r="L48" s="254"/>
      <c r="M48" s="254"/>
      <c r="O48" s="81">
        <v>1.03</v>
      </c>
      <c r="P48" s="81">
        <f t="shared" si="4"/>
        <v>45.268500000000003</v>
      </c>
      <c r="Q48" s="2"/>
      <c r="T48" s="85" t="s">
        <v>102</v>
      </c>
      <c r="U48" s="86">
        <v>1.1121399999999999</v>
      </c>
      <c r="V48" s="403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4"/>
      <c r="B49" s="259">
        <v>42293</v>
      </c>
      <c r="C49" s="254">
        <v>80</v>
      </c>
      <c r="D49" s="255">
        <v>31.95</v>
      </c>
      <c r="E49" s="255">
        <v>0</v>
      </c>
      <c r="F49" s="255">
        <f t="shared" si="5"/>
        <v>2556</v>
      </c>
      <c r="G49" s="254"/>
      <c r="H49" s="260"/>
      <c r="I49" s="254"/>
      <c r="J49" s="254"/>
      <c r="K49" s="254"/>
      <c r="L49" s="254"/>
      <c r="M49" s="254"/>
      <c r="O49" s="81">
        <v>1.02</v>
      </c>
      <c r="P49" s="81">
        <f t="shared" si="4"/>
        <v>44.829000000000001</v>
      </c>
      <c r="Q49" s="2"/>
      <c r="T49" s="85" t="s">
        <v>103</v>
      </c>
      <c r="U49" s="87" t="s">
        <v>437</v>
      </c>
      <c r="V49" s="404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4"/>
      <c r="B50" s="259">
        <v>42293</v>
      </c>
      <c r="C50" s="254">
        <v>120</v>
      </c>
      <c r="D50" s="255">
        <v>31.75</v>
      </c>
      <c r="E50" s="255">
        <v>0</v>
      </c>
      <c r="F50" s="255">
        <f t="shared" si="5"/>
        <v>3810</v>
      </c>
      <c r="G50" s="254"/>
      <c r="H50" s="260"/>
      <c r="I50" s="254"/>
      <c r="J50" s="254"/>
      <c r="K50" s="254"/>
      <c r="L50" s="254"/>
      <c r="M50" s="254"/>
      <c r="O50" s="81">
        <v>1.01</v>
      </c>
      <c r="P50" s="81">
        <f t="shared" si="4"/>
        <v>44.389500000000005</v>
      </c>
      <c r="Q50" s="2"/>
      <c r="T50" s="85"/>
      <c r="U50" s="86"/>
      <c r="V50" s="403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4"/>
      <c r="B51" s="259">
        <v>42293</v>
      </c>
      <c r="C51" s="254">
        <v>150</v>
      </c>
      <c r="D51" s="255">
        <v>31.05</v>
      </c>
      <c r="E51" s="255">
        <v>0</v>
      </c>
      <c r="F51" s="255">
        <f t="shared" si="5"/>
        <v>4657.5</v>
      </c>
      <c r="G51" s="255"/>
      <c r="H51" s="260"/>
      <c r="I51" s="254"/>
      <c r="J51" s="254"/>
      <c r="K51" s="255"/>
      <c r="L51" s="254"/>
      <c r="M51" s="254"/>
      <c r="O51" s="81">
        <v>1</v>
      </c>
      <c r="P51" s="81">
        <f t="shared" si="4"/>
        <v>43.95</v>
      </c>
      <c r="Q51" s="2"/>
      <c r="T51" s="85" t="s">
        <v>104</v>
      </c>
      <c r="U51" s="86" t="s">
        <v>642</v>
      </c>
      <c r="V51" s="403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4"/>
      <c r="B52" s="254"/>
      <c r="C52" s="254"/>
      <c r="D52" s="254"/>
      <c r="E52" s="255"/>
      <c r="F52" s="254"/>
      <c r="G52" s="255"/>
      <c r="H52" s="260"/>
      <c r="I52" s="255"/>
      <c r="J52" s="254"/>
      <c r="K52" s="255"/>
      <c r="L52" s="254"/>
      <c r="M52" s="254"/>
      <c r="O52" s="81">
        <v>0.99</v>
      </c>
      <c r="P52" s="81">
        <f t="shared" si="4"/>
        <v>43.5105</v>
      </c>
      <c r="Q52" s="2"/>
      <c r="T52" s="85" t="s">
        <v>105</v>
      </c>
      <c r="U52" s="86" t="s">
        <v>525</v>
      </c>
      <c r="V52" s="403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4"/>
      <c r="B53" s="254"/>
      <c r="C53" s="254"/>
      <c r="D53" s="254"/>
      <c r="E53" s="254"/>
      <c r="F53" s="254"/>
      <c r="G53" s="254"/>
      <c r="H53" s="260"/>
      <c r="I53" s="254"/>
      <c r="J53" s="254"/>
      <c r="K53" s="254"/>
      <c r="L53" s="254"/>
      <c r="M53" s="254"/>
      <c r="O53" s="81">
        <v>0.98</v>
      </c>
      <c r="P53" s="81">
        <f t="shared" si="4"/>
        <v>43.071000000000005</v>
      </c>
      <c r="Q53" s="2"/>
      <c r="T53" s="85" t="s">
        <v>106</v>
      </c>
      <c r="U53" s="88">
        <v>22455525</v>
      </c>
      <c r="V53" s="405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4"/>
      <c r="B54" s="254"/>
      <c r="C54" s="254"/>
      <c r="D54" s="254"/>
      <c r="E54" s="254"/>
      <c r="F54" s="254"/>
      <c r="G54" s="254"/>
      <c r="H54" s="260"/>
      <c r="I54" s="254"/>
      <c r="J54" s="254"/>
      <c r="K54" s="254"/>
      <c r="L54" s="254"/>
      <c r="M54" s="254"/>
      <c r="O54" s="81">
        <v>0.97</v>
      </c>
      <c r="P54" s="81">
        <f t="shared" si="4"/>
        <v>42.631500000000003</v>
      </c>
      <c r="T54" s="85" t="s">
        <v>109</v>
      </c>
      <c r="U54" s="88">
        <v>24240000</v>
      </c>
      <c r="V54" s="405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4"/>
      <c r="B55" s="254"/>
      <c r="C55" s="254"/>
      <c r="D55" s="254"/>
      <c r="E55" s="254"/>
      <c r="F55" s="254"/>
      <c r="G55" s="254"/>
      <c r="H55" s="260"/>
      <c r="I55" s="254"/>
      <c r="J55" s="254"/>
      <c r="K55" s="254"/>
      <c r="L55" s="254"/>
      <c r="M55" s="254"/>
      <c r="O55" s="81">
        <v>0.96</v>
      </c>
      <c r="P55" s="81">
        <f t="shared" si="4"/>
        <v>42.192</v>
      </c>
      <c r="T55" s="85" t="s">
        <v>107</v>
      </c>
      <c r="U55" s="86" t="s">
        <v>643</v>
      </c>
      <c r="V55" s="403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41.752499999999998</v>
      </c>
      <c r="T56" s="85" t="s">
        <v>110</v>
      </c>
      <c r="U56" s="86">
        <v>17.079999999999998</v>
      </c>
      <c r="V56" s="403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41.313000000000002</v>
      </c>
      <c r="T57" s="85" t="s">
        <v>111</v>
      </c>
      <c r="U57" s="86">
        <v>2.12</v>
      </c>
      <c r="V57" s="403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40.873500000000007</v>
      </c>
      <c r="T58" s="85" t="s">
        <v>108</v>
      </c>
      <c r="U58" s="86" t="s">
        <v>564</v>
      </c>
      <c r="V58" s="403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40.434000000000005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39.994500000000002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39.555000000000007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35" priority="7">
      <formula>F21&gt;0</formula>
    </cfRule>
    <cfRule type="expression" dxfId="734" priority="8">
      <formula>F21&lt;0</formula>
    </cfRule>
  </conditionalFormatting>
  <conditionalFormatting sqref="F22">
    <cfRule type="expression" dxfId="733" priority="5">
      <formula>F22&gt;0</formula>
    </cfRule>
    <cfRule type="expression" dxfId="732" priority="6">
      <formula>F22&lt;0</formula>
    </cfRule>
  </conditionalFormatting>
  <conditionalFormatting sqref="Q8">
    <cfRule type="expression" dxfId="731" priority="1">
      <formula>Q8&gt;0</formula>
    </cfRule>
    <cfRule type="expression" dxfId="730" priority="2">
      <formula>Q8&lt;0</formula>
    </cfRule>
  </conditionalFormatting>
  <conditionalFormatting sqref="Q7">
    <cfRule type="expression" dxfId="729" priority="3">
      <formula>Q7&gt;0</formula>
    </cfRule>
    <cfRule type="expression" dxfId="7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93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5"/>
      <c r="E2" s="3"/>
      <c r="F2" s="3"/>
      <c r="G2" s="72"/>
      <c r="H2" s="383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5"/>
      <c r="E3" s="3"/>
      <c r="F3" s="3"/>
      <c r="G3" s="72"/>
      <c r="H3" s="383"/>
      <c r="I3" s="73"/>
      <c r="J3" s="73"/>
      <c r="K3" s="73"/>
      <c r="L3" s="72"/>
      <c r="M3" s="3"/>
      <c r="O3" s="11" t="s">
        <v>58</v>
      </c>
      <c r="Q3" s="78">
        <f>IF(Q2=0, Q4, (F18-K18-M18)/Q2)</f>
        <v>42.12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9"/>
      <c r="AN3" s="229"/>
    </row>
    <row r="4" spans="1:40" x14ac:dyDescent="0.25">
      <c r="B4" s="115"/>
      <c r="C4" s="4"/>
      <c r="D4" s="235"/>
      <c r="E4" s="3"/>
      <c r="F4" s="3"/>
      <c r="G4" s="72"/>
      <c r="H4" s="180"/>
      <c r="I4" s="3"/>
      <c r="J4" s="3"/>
      <c r="K4" s="73"/>
      <c r="L4" s="72"/>
      <c r="M4" s="3"/>
      <c r="O4" s="11" t="s">
        <v>66</v>
      </c>
      <c r="Q4" s="196">
        <v>42.12</v>
      </c>
      <c r="R4" s="487">
        <v>-2.0500000000000001E-2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9"/>
      <c r="AN4" s="229"/>
    </row>
    <row r="5" spans="1:40" x14ac:dyDescent="0.25">
      <c r="B5" s="107"/>
      <c r="C5" s="4"/>
      <c r="D5" s="235"/>
      <c r="E5" s="3"/>
      <c r="F5" s="3"/>
      <c r="G5" s="4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9"/>
      <c r="AN5" s="229"/>
    </row>
    <row r="6" spans="1:40" x14ac:dyDescent="0.25">
      <c r="B6" s="107"/>
      <c r="C6" s="4"/>
      <c r="D6" s="235"/>
      <c r="E6" s="3"/>
      <c r="F6" s="3"/>
      <c r="G6" s="4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9"/>
      <c r="AN6" s="229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210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209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5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6" t="s">
        <v>113</v>
      </c>
      <c r="C20" s="186" t="s">
        <v>146</v>
      </c>
      <c r="D20" s="194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8">
        <v>42304</v>
      </c>
      <c r="C21" s="10">
        <v>5</v>
      </c>
      <c r="D21" s="195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6"/>
      <c r="I21" s="190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8">
        <v>42305</v>
      </c>
      <c r="C22" s="10">
        <v>125</v>
      </c>
      <c r="D22" s="195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6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8">
        <v>42311</v>
      </c>
      <c r="C23" s="10">
        <v>115</v>
      </c>
      <c r="D23" s="195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6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8">
        <v>42332</v>
      </c>
      <c r="C24" s="10">
        <v>40</v>
      </c>
      <c r="D24" s="195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6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8">
        <v>42335</v>
      </c>
      <c r="C25" s="10">
        <v>80</v>
      </c>
      <c r="D25" s="195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6">
        <f>(E25-D25)/D25</f>
        <v>0.37083864980860709</v>
      </c>
      <c r="I25" s="190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8">
        <v>42344</v>
      </c>
      <c r="C26" s="10">
        <v>80</v>
      </c>
      <c r="D26" s="195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6">
        <f t="shared" ref="H26:H58" si="4">(E26-D26)/D26</f>
        <v>0.27363414917062989</v>
      </c>
      <c r="I26" s="190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8">
        <v>42349</v>
      </c>
      <c r="C27" s="10">
        <v>125</v>
      </c>
      <c r="D27" s="195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6">
        <f t="shared" si="4"/>
        <v>0.10229508196721311</v>
      </c>
      <c r="I27" s="190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8">
        <v>42349</v>
      </c>
      <c r="C28" s="10">
        <v>200</v>
      </c>
      <c r="D28" s="195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6">
        <f t="shared" si="4"/>
        <v>6.1684210526315786E-2</v>
      </c>
      <c r="I28" s="190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8">
        <v>42349</v>
      </c>
      <c r="C29" s="10">
        <v>700</v>
      </c>
      <c r="D29" s="195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6">
        <f t="shared" si="4"/>
        <v>2.3543738583316348E-2</v>
      </c>
      <c r="I29" s="190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8">
        <v>42349</v>
      </c>
      <c r="C30" s="10">
        <v>500</v>
      </c>
      <c r="D30" s="195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6">
        <f t="shared" si="4"/>
        <v>3.0866721177432502E-2</v>
      </c>
      <c r="I30" s="190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8">
        <v>42349</v>
      </c>
      <c r="C31" s="275">
        <v>400</v>
      </c>
      <c r="D31" s="276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6">
        <f t="shared" si="4"/>
        <v>3.7440855790989512E-2</v>
      </c>
      <c r="I31" s="190"/>
      <c r="W31" s="108">
        <v>42790</v>
      </c>
      <c r="X31" s="192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8">
        <v>42356</v>
      </c>
      <c r="C32" s="10">
        <v>400</v>
      </c>
      <c r="D32" s="195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6">
        <f t="shared" si="4"/>
        <v>1.2137420283892274E-2</v>
      </c>
      <c r="I32" s="190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8">
        <v>42359</v>
      </c>
      <c r="C33" s="10">
        <v>1000</v>
      </c>
      <c r="D33" s="195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6">
        <f t="shared" si="4"/>
        <v>-4.1476565740355817E-3</v>
      </c>
      <c r="I33" s="190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8">
        <v>42361</v>
      </c>
      <c r="C34" s="10">
        <v>600</v>
      </c>
      <c r="D34" s="195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6">
        <f t="shared" si="4"/>
        <v>8.7957559681697675E-2</v>
      </c>
      <c r="I34" s="190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8">
        <v>46026</v>
      </c>
      <c r="C35" s="10">
        <v>600</v>
      </c>
      <c r="D35" s="195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6">
        <f t="shared" si="4"/>
        <v>2.5979557069846653E-2</v>
      </c>
      <c r="I35" s="190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8">
        <v>42374</v>
      </c>
      <c r="C36" s="275">
        <v>600</v>
      </c>
      <c r="D36" s="276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6">
        <f t="shared" si="4"/>
        <v>2.5230874229530569E-2</v>
      </c>
      <c r="I36" s="190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8">
        <v>42375</v>
      </c>
      <c r="C37" s="275">
        <v>750</v>
      </c>
      <c r="D37" s="276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6">
        <f t="shared" si="4"/>
        <v>-3.3869239013933509E-2</v>
      </c>
      <c r="I37" s="190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8">
        <v>42398</v>
      </c>
      <c r="C38" s="275">
        <v>600</v>
      </c>
      <c r="D38" s="276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7">
        <f t="shared" si="4"/>
        <v>-0.14160948222083597</v>
      </c>
      <c r="I38" s="190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8">
        <v>42402</v>
      </c>
      <c r="C39" s="275">
        <v>750</v>
      </c>
      <c r="D39" s="276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7">
        <f t="shared" si="4"/>
        <v>-0.15110210067722038</v>
      </c>
      <c r="I39" s="190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8">
        <v>42405</v>
      </c>
      <c r="C40" s="275">
        <v>750</v>
      </c>
      <c r="D40" s="276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7">
        <f t="shared" si="4"/>
        <v>-0.17112472496656456</v>
      </c>
      <c r="I40" s="190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8">
        <v>42421</v>
      </c>
      <c r="C41" s="275">
        <v>750</v>
      </c>
      <c r="D41" s="276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7">
        <f t="shared" si="4"/>
        <v>-8.7320419345096753E-2</v>
      </c>
      <c r="I41" s="190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8">
        <v>42422</v>
      </c>
      <c r="C42" s="275">
        <v>750</v>
      </c>
      <c r="D42" s="276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7">
        <f t="shared" si="4"/>
        <v>-3.8353682212347355E-2</v>
      </c>
      <c r="I42" s="190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8">
        <v>42424</v>
      </c>
      <c r="C43" s="275">
        <v>750</v>
      </c>
      <c r="D43" s="276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7">
        <f t="shared" si="4"/>
        <v>-0.10047888174640826</v>
      </c>
      <c r="I43" s="190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8">
        <v>42426</v>
      </c>
      <c r="C44" s="275">
        <v>750</v>
      </c>
      <c r="D44" s="276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7">
        <f t="shared" si="4"/>
        <v>-6.9852782454776954E-2</v>
      </c>
      <c r="I44" s="190"/>
      <c r="O44" s="804" t="s">
        <v>78</v>
      </c>
      <c r="P44" s="80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8">
        <v>42426</v>
      </c>
      <c r="C45" s="275">
        <v>600</v>
      </c>
      <c r="D45" s="276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7">
        <f t="shared" si="4"/>
        <v>-7.9858897530706838E-2</v>
      </c>
      <c r="I45" s="190"/>
      <c r="O45" s="81">
        <v>1.1000000000000001</v>
      </c>
      <c r="P45" s="81">
        <f>O45*$Q$4</f>
        <v>46.332000000000001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8">
        <v>42426</v>
      </c>
      <c r="C46" s="275">
        <v>750</v>
      </c>
      <c r="D46" s="276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7">
        <f t="shared" si="4"/>
        <v>-7.2147106544077896E-2</v>
      </c>
      <c r="I46" s="190"/>
      <c r="O46" s="81">
        <v>1.0900000000000001</v>
      </c>
      <c r="P46" s="81">
        <f t="shared" ref="P46:P65" si="5">O46*$Q$4</f>
        <v>45.910800000000002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8">
        <v>42430</v>
      </c>
      <c r="C47" s="275">
        <v>750</v>
      </c>
      <c r="D47" s="276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7">
        <f t="shared" si="4"/>
        <v>-4.1427798810167636E-2</v>
      </c>
      <c r="I47" s="190"/>
      <c r="O47" s="81">
        <v>1.08</v>
      </c>
      <c r="P47" s="81">
        <f t="shared" si="5"/>
        <v>45.489600000000003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8">
        <v>42431</v>
      </c>
      <c r="C48" s="275">
        <v>450</v>
      </c>
      <c r="D48" s="276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7">
        <f t="shared" si="4"/>
        <v>2.6561064192884929E-2</v>
      </c>
      <c r="I48" s="190"/>
      <c r="O48" s="81">
        <v>1.07</v>
      </c>
      <c r="P48" s="81">
        <f t="shared" si="5"/>
        <v>45.068399999999997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8">
        <v>42433</v>
      </c>
      <c r="C49" s="275">
        <v>400</v>
      </c>
      <c r="D49" s="276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7">
        <f t="shared" si="4"/>
        <v>0.11711911357340712</v>
      </c>
      <c r="I49" s="190"/>
      <c r="O49" s="81">
        <v>1.06</v>
      </c>
      <c r="P49" s="81">
        <f t="shared" si="5"/>
        <v>44.647199999999998</v>
      </c>
      <c r="Q49" s="2"/>
      <c r="R49" s="33"/>
      <c r="T49" s="106" t="s">
        <v>121</v>
      </c>
      <c r="U49" s="104" t="s">
        <v>384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8">
        <v>42433</v>
      </c>
      <c r="C50" s="275">
        <v>450</v>
      </c>
      <c r="D50" s="276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7">
        <f t="shared" si="4"/>
        <v>8.4287155198877362E-2</v>
      </c>
      <c r="I50" s="190"/>
      <c r="O50" s="81">
        <v>1.05</v>
      </c>
      <c r="P50" s="81">
        <f t="shared" si="5"/>
        <v>44.225999999999999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8">
        <v>42440</v>
      </c>
      <c r="C51" s="10">
        <v>150</v>
      </c>
      <c r="D51" s="195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7">
        <f t="shared" si="4"/>
        <v>0.40254354437379031</v>
      </c>
      <c r="I51" s="190"/>
      <c r="O51" s="81">
        <v>1.04</v>
      </c>
      <c r="P51" s="81">
        <f t="shared" si="5"/>
        <v>43.8048</v>
      </c>
      <c r="Q51" s="2"/>
      <c r="R51" s="33"/>
      <c r="T51" s="106" t="s">
        <v>104</v>
      </c>
      <c r="U51" s="104" t="s">
        <v>644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8">
        <v>42440</v>
      </c>
      <c r="C52" s="10">
        <v>100</v>
      </c>
      <c r="D52" s="195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7">
        <f t="shared" si="4"/>
        <v>0.77830385740147601</v>
      </c>
      <c r="I52" s="190"/>
      <c r="O52" s="81">
        <v>1.03</v>
      </c>
      <c r="P52" s="81">
        <f t="shared" si="5"/>
        <v>43.383600000000001</v>
      </c>
      <c r="Q52" s="2"/>
      <c r="R52" s="33"/>
      <c r="T52" s="106" t="s">
        <v>105</v>
      </c>
      <c r="U52" s="104" t="s">
        <v>542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8">
        <v>42444</v>
      </c>
      <c r="C53" s="10">
        <v>150</v>
      </c>
      <c r="D53" s="195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7">
        <f t="shared" si="4"/>
        <v>0.4246365288505225</v>
      </c>
      <c r="I53" s="190"/>
      <c r="O53" s="81">
        <v>1.02</v>
      </c>
      <c r="P53" s="81">
        <f t="shared" si="5"/>
        <v>42.962399999999995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8">
        <v>42445</v>
      </c>
      <c r="C54" s="10">
        <v>130</v>
      </c>
      <c r="D54" s="195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7">
        <f t="shared" si="4"/>
        <v>0.58496682058652638</v>
      </c>
      <c r="I54" s="190"/>
      <c r="O54" s="81">
        <v>1.01</v>
      </c>
      <c r="P54" s="81">
        <f t="shared" si="5"/>
        <v>42.541199999999996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8">
        <v>42446</v>
      </c>
      <c r="C55" s="10">
        <v>50</v>
      </c>
      <c r="D55" s="195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7"/>
      <c r="I55" s="190"/>
      <c r="O55" s="81">
        <v>1</v>
      </c>
      <c r="P55" s="81">
        <f t="shared" si="5"/>
        <v>42.12</v>
      </c>
      <c r="Q55" s="2"/>
      <c r="R55" s="33"/>
      <c r="T55" s="106" t="s">
        <v>107</v>
      </c>
      <c r="U55" s="104" t="s">
        <v>645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8">
        <v>42452</v>
      </c>
      <c r="C56" s="10">
        <v>100</v>
      </c>
      <c r="D56" s="195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7">
        <f t="shared" si="4"/>
        <v>1.0194113963681903</v>
      </c>
      <c r="I56" s="190"/>
      <c r="O56" s="81">
        <v>0.99</v>
      </c>
      <c r="P56" s="81">
        <f t="shared" si="5"/>
        <v>41.698799999999999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8">
        <v>42460</v>
      </c>
      <c r="C57" s="10">
        <v>50</v>
      </c>
      <c r="D57" s="195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7"/>
      <c r="I57" s="190"/>
      <c r="O57" s="81">
        <v>0.98</v>
      </c>
      <c r="P57" s="81">
        <f t="shared" si="5"/>
        <v>41.2776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8">
        <v>42464</v>
      </c>
      <c r="C58" s="10">
        <v>100</v>
      </c>
      <c r="D58" s="195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7">
        <f t="shared" si="4"/>
        <v>1.0851379779730232</v>
      </c>
      <c r="I58" s="190"/>
      <c r="O58" s="81">
        <v>0.97</v>
      </c>
      <c r="P58" s="81">
        <f t="shared" si="5"/>
        <v>40.856399999999994</v>
      </c>
      <c r="Q58" s="2"/>
      <c r="R58" s="33"/>
      <c r="T58" s="106" t="s">
        <v>108</v>
      </c>
      <c r="U58" s="104" t="s">
        <v>565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8">
        <v>42466</v>
      </c>
      <c r="C59" s="10">
        <v>50</v>
      </c>
      <c r="D59" s="195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7"/>
      <c r="I59" s="190"/>
      <c r="O59" s="81">
        <v>0.96</v>
      </c>
      <c r="P59" s="81">
        <f t="shared" si="5"/>
        <v>40.435199999999995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8">
        <v>42471</v>
      </c>
      <c r="C60" s="10">
        <v>30</v>
      </c>
      <c r="D60" s="195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7"/>
      <c r="I60" s="190"/>
      <c r="O60" s="81">
        <v>0.95</v>
      </c>
      <c r="P60" s="81">
        <f t="shared" si="5"/>
        <v>40.013999999999996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8">
        <v>42478</v>
      </c>
      <c r="C61" s="10">
        <v>10</v>
      </c>
      <c r="D61" s="195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7"/>
      <c r="I61" s="190"/>
      <c r="O61" s="81">
        <v>0.94</v>
      </c>
      <c r="P61" s="81">
        <f t="shared" si="5"/>
        <v>39.592799999999997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8">
        <v>42493</v>
      </c>
      <c r="C62" s="10">
        <v>30</v>
      </c>
      <c r="D62" s="195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7"/>
      <c r="I62" s="190"/>
      <c r="O62" s="81">
        <v>0.93</v>
      </c>
      <c r="P62" s="81">
        <f t="shared" si="5"/>
        <v>39.171599999999998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8">
        <v>42501</v>
      </c>
      <c r="C63" s="10">
        <v>0</v>
      </c>
      <c r="D63" s="195"/>
      <c r="E63" s="39"/>
      <c r="F63" s="39">
        <v>3178</v>
      </c>
      <c r="G63" s="39"/>
      <c r="H63" s="227"/>
      <c r="I63" s="190"/>
      <c r="O63" s="81">
        <v>0.92</v>
      </c>
      <c r="P63" s="81">
        <f t="shared" si="5"/>
        <v>38.750399999999999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8"/>
      <c r="C64" s="10"/>
      <c r="D64" s="195"/>
      <c r="E64" s="39"/>
      <c r="F64" s="39"/>
      <c r="G64" s="39"/>
      <c r="H64" s="227"/>
      <c r="I64" s="190"/>
      <c r="O64" s="81">
        <v>0.91</v>
      </c>
      <c r="P64" s="81">
        <f t="shared" si="5"/>
        <v>38.3292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8"/>
      <c r="C65" s="10"/>
      <c r="D65" s="195"/>
      <c r="E65" s="39"/>
      <c r="F65" s="39"/>
      <c r="G65" s="39"/>
      <c r="H65" s="227"/>
      <c r="I65" s="190"/>
      <c r="O65" s="81">
        <v>0.9</v>
      </c>
      <c r="P65" s="81">
        <f t="shared" si="5"/>
        <v>37.908000000000001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8"/>
      <c r="C66" s="10"/>
      <c r="D66" s="195"/>
      <c r="E66" s="39"/>
      <c r="F66" s="39"/>
      <c r="G66" s="39"/>
      <c r="H66" s="227"/>
      <c r="I66" s="190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8"/>
      <c r="C67" s="10"/>
      <c r="D67" s="195"/>
      <c r="E67" s="39"/>
      <c r="F67" s="39"/>
      <c r="G67" s="39"/>
      <c r="H67" s="227"/>
      <c r="I67" s="190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8"/>
      <c r="C68" s="10"/>
      <c r="D68" s="195"/>
      <c r="E68" s="39"/>
      <c r="F68" s="39"/>
      <c r="G68" s="39"/>
      <c r="H68" s="227"/>
      <c r="I68" s="190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8"/>
      <c r="C69" s="10"/>
      <c r="D69" s="195"/>
      <c r="E69" s="39"/>
      <c r="F69" s="39"/>
      <c r="G69" s="39"/>
      <c r="H69" s="227"/>
      <c r="I69" s="190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8"/>
      <c r="C70" s="10"/>
      <c r="D70" s="195"/>
      <c r="E70" s="39"/>
      <c r="F70" s="39"/>
      <c r="G70" s="39"/>
      <c r="H70" s="227"/>
      <c r="I70" s="190"/>
    </row>
    <row r="71" spans="1:31" x14ac:dyDescent="0.25">
      <c r="B71" s="188"/>
      <c r="C71" s="10"/>
      <c r="D71" s="195"/>
      <c r="E71" s="39"/>
      <c r="F71" s="39"/>
      <c r="G71" s="39"/>
      <c r="H71" s="227"/>
      <c r="I71" s="190"/>
    </row>
    <row r="72" spans="1:31" x14ac:dyDescent="0.25">
      <c r="B72" s="188"/>
      <c r="C72" s="10"/>
      <c r="D72" s="195"/>
      <c r="E72" s="39"/>
      <c r="F72" s="39"/>
      <c r="G72" s="39"/>
      <c r="H72" s="227"/>
      <c r="I72" s="190"/>
    </row>
    <row r="75" spans="1:31" x14ac:dyDescent="0.25">
      <c r="L75" t="s">
        <v>209</v>
      </c>
      <c r="M75" s="2">
        <f>M128+K128-F128</f>
        <v>3178.8000000000466</v>
      </c>
    </row>
    <row r="76" spans="1:31" x14ac:dyDescent="0.25">
      <c r="A76" s="384" t="s">
        <v>1</v>
      </c>
      <c r="B76" s="385" t="s">
        <v>2</v>
      </c>
      <c r="C76" s="384" t="s">
        <v>4</v>
      </c>
      <c r="D76" s="386" t="s">
        <v>5</v>
      </c>
      <c r="E76" s="387" t="s">
        <v>90</v>
      </c>
      <c r="F76" s="387" t="s">
        <v>60</v>
      </c>
      <c r="G76" s="384" t="s">
        <v>3</v>
      </c>
      <c r="H76" s="388" t="s">
        <v>6</v>
      </c>
      <c r="I76" s="387" t="s">
        <v>7</v>
      </c>
      <c r="J76" s="387" t="s">
        <v>89</v>
      </c>
      <c r="K76" s="387" t="s">
        <v>61</v>
      </c>
      <c r="L76" s="384" t="s">
        <v>43</v>
      </c>
      <c r="M76" s="384" t="s">
        <v>38</v>
      </c>
    </row>
    <row r="77" spans="1:31" x14ac:dyDescent="0.25">
      <c r="A77" s="380" t="s">
        <v>22</v>
      </c>
      <c r="B77" s="389">
        <v>42153</v>
      </c>
      <c r="C77" s="371">
        <v>20</v>
      </c>
      <c r="D77" s="376">
        <v>67.3</v>
      </c>
      <c r="E77" s="372">
        <v>0</v>
      </c>
      <c r="F77" s="372">
        <f t="shared" ref="F77:F126" si="6">D77*C77+E77</f>
        <v>1346</v>
      </c>
      <c r="G77" s="370">
        <v>42219</v>
      </c>
      <c r="H77" s="390">
        <v>25</v>
      </c>
      <c r="I77" s="391">
        <v>60.05</v>
      </c>
      <c r="J77" s="391">
        <v>0.03</v>
      </c>
      <c r="K77" s="391">
        <f t="shared" ref="K77:K112" si="7">H77*I77-J77</f>
        <v>1501.22</v>
      </c>
      <c r="L77" s="370">
        <v>42185</v>
      </c>
      <c r="M77" s="372">
        <v>5</v>
      </c>
    </row>
    <row r="78" spans="1:31" x14ac:dyDescent="0.25">
      <c r="A78" s="381" t="s">
        <v>71</v>
      </c>
      <c r="B78" s="389">
        <v>42205</v>
      </c>
      <c r="C78" s="371">
        <v>20</v>
      </c>
      <c r="D78" s="376">
        <v>63.4</v>
      </c>
      <c r="E78" s="372">
        <v>0</v>
      </c>
      <c r="F78" s="372">
        <f t="shared" si="6"/>
        <v>1268</v>
      </c>
      <c r="G78" s="370">
        <v>42219</v>
      </c>
      <c r="H78" s="390">
        <v>55</v>
      </c>
      <c r="I78" s="391">
        <v>59.75</v>
      </c>
      <c r="J78" s="391">
        <v>0.06</v>
      </c>
      <c r="K78" s="391">
        <f t="shared" si="7"/>
        <v>3286.19</v>
      </c>
      <c r="L78" s="370">
        <v>42277</v>
      </c>
      <c r="M78" s="372">
        <v>37.5</v>
      </c>
    </row>
    <row r="79" spans="1:31" x14ac:dyDescent="0.25">
      <c r="A79" s="371"/>
      <c r="B79" s="389">
        <v>42205</v>
      </c>
      <c r="C79" s="371">
        <v>20</v>
      </c>
      <c r="D79" s="376">
        <v>63.15</v>
      </c>
      <c r="E79" s="372">
        <v>0</v>
      </c>
      <c r="F79" s="372">
        <f t="shared" si="6"/>
        <v>1263</v>
      </c>
      <c r="G79" s="370">
        <v>42250</v>
      </c>
      <c r="H79" s="375">
        <v>100</v>
      </c>
      <c r="I79" s="372">
        <v>59.4</v>
      </c>
      <c r="J79" s="372">
        <v>0.11</v>
      </c>
      <c r="K79" s="391">
        <f t="shared" si="7"/>
        <v>5939.89</v>
      </c>
      <c r="L79" s="370">
        <v>42734</v>
      </c>
      <c r="M79" s="372">
        <v>100</v>
      </c>
    </row>
    <row r="80" spans="1:31" x14ac:dyDescent="0.25">
      <c r="A80" s="371"/>
      <c r="B80" s="389">
        <v>42207</v>
      </c>
      <c r="C80" s="371">
        <v>10</v>
      </c>
      <c r="D80" s="376">
        <v>62</v>
      </c>
      <c r="E80" s="372">
        <v>0</v>
      </c>
      <c r="F80" s="372">
        <f t="shared" si="6"/>
        <v>620</v>
      </c>
      <c r="G80" s="370">
        <v>42258</v>
      </c>
      <c r="H80" s="375">
        <v>80</v>
      </c>
      <c r="I80" s="372">
        <v>56.47</v>
      </c>
      <c r="J80" s="372">
        <v>0.08</v>
      </c>
      <c r="K80" s="391">
        <f t="shared" si="7"/>
        <v>4517.5200000000004</v>
      </c>
      <c r="L80" s="370">
        <v>42459</v>
      </c>
      <c r="M80" s="372">
        <v>25</v>
      </c>
    </row>
    <row r="81" spans="1:13" x14ac:dyDescent="0.25">
      <c r="A81" s="371"/>
      <c r="B81" s="389">
        <v>42207</v>
      </c>
      <c r="C81" s="371">
        <v>5</v>
      </c>
      <c r="D81" s="376">
        <v>61.6</v>
      </c>
      <c r="E81" s="372">
        <v>0</v>
      </c>
      <c r="F81" s="372">
        <f t="shared" si="6"/>
        <v>308</v>
      </c>
      <c r="G81" s="370">
        <v>42263</v>
      </c>
      <c r="H81" s="375">
        <v>80</v>
      </c>
      <c r="I81" s="372">
        <v>52.55</v>
      </c>
      <c r="J81" s="372">
        <v>0.08</v>
      </c>
      <c r="K81" s="391">
        <f t="shared" si="7"/>
        <v>4203.92</v>
      </c>
      <c r="L81" s="371"/>
      <c r="M81" s="372"/>
    </row>
    <row r="82" spans="1:13" x14ac:dyDescent="0.25">
      <c r="A82" s="371"/>
      <c r="B82" s="389">
        <v>42207</v>
      </c>
      <c r="C82" s="371">
        <v>20</v>
      </c>
      <c r="D82" s="376">
        <v>59.85</v>
      </c>
      <c r="E82" s="372">
        <v>0</v>
      </c>
      <c r="F82" s="372">
        <f t="shared" si="6"/>
        <v>1197</v>
      </c>
      <c r="G82" s="370">
        <v>42284</v>
      </c>
      <c r="H82" s="375">
        <v>50</v>
      </c>
      <c r="I82" s="372">
        <v>52.85</v>
      </c>
      <c r="J82" s="372">
        <v>0.05</v>
      </c>
      <c r="K82" s="391">
        <f t="shared" si="7"/>
        <v>2642.45</v>
      </c>
      <c r="L82" s="371"/>
      <c r="M82" s="372"/>
    </row>
    <row r="83" spans="1:13" x14ac:dyDescent="0.25">
      <c r="A83" s="371"/>
      <c r="B83" s="389">
        <v>42208</v>
      </c>
      <c r="C83" s="371">
        <v>5</v>
      </c>
      <c r="D83" s="376">
        <v>61.3</v>
      </c>
      <c r="E83" s="372">
        <v>0</v>
      </c>
      <c r="F83" s="372">
        <f t="shared" si="6"/>
        <v>306.5</v>
      </c>
      <c r="G83" s="370">
        <v>42284</v>
      </c>
      <c r="H83" s="375">
        <v>30</v>
      </c>
      <c r="I83" s="372">
        <v>53.05</v>
      </c>
      <c r="J83" s="372">
        <v>0.03</v>
      </c>
      <c r="K83" s="391">
        <f t="shared" si="7"/>
        <v>1591.47</v>
      </c>
      <c r="L83" s="371"/>
      <c r="M83" s="372"/>
    </row>
    <row r="84" spans="1:13" x14ac:dyDescent="0.25">
      <c r="A84" s="371"/>
      <c r="B84" s="389">
        <v>42219</v>
      </c>
      <c r="C84" s="392">
        <v>25</v>
      </c>
      <c r="D84" s="376">
        <v>59.4</v>
      </c>
      <c r="E84" s="372">
        <v>0</v>
      </c>
      <c r="F84" s="372">
        <f t="shared" si="6"/>
        <v>1485</v>
      </c>
      <c r="G84" s="370">
        <v>42291</v>
      </c>
      <c r="H84" s="375">
        <v>80</v>
      </c>
      <c r="I84" s="372">
        <v>61.6</v>
      </c>
      <c r="J84" s="372">
        <v>0.09</v>
      </c>
      <c r="K84" s="391">
        <f t="shared" si="7"/>
        <v>4927.91</v>
      </c>
      <c r="L84" s="371"/>
      <c r="M84" s="372"/>
    </row>
    <row r="85" spans="1:13" x14ac:dyDescent="0.25">
      <c r="A85" s="371"/>
      <c r="B85" s="389">
        <v>42219</v>
      </c>
      <c r="C85" s="392">
        <v>50</v>
      </c>
      <c r="D85" s="376">
        <v>59.2</v>
      </c>
      <c r="E85" s="372">
        <v>0</v>
      </c>
      <c r="F85" s="372">
        <f t="shared" si="6"/>
        <v>2960</v>
      </c>
      <c r="G85" s="370">
        <v>42297</v>
      </c>
      <c r="H85" s="375">
        <v>115</v>
      </c>
      <c r="I85" s="372">
        <v>61.23</v>
      </c>
      <c r="J85" s="372">
        <v>0.13</v>
      </c>
      <c r="K85" s="391">
        <f t="shared" si="7"/>
        <v>7041.32</v>
      </c>
      <c r="L85" s="371"/>
      <c r="M85" s="372"/>
    </row>
    <row r="86" spans="1:13" x14ac:dyDescent="0.25">
      <c r="A86" s="371"/>
      <c r="B86" s="389">
        <v>42226</v>
      </c>
      <c r="C86" s="392">
        <v>5</v>
      </c>
      <c r="D86" s="376">
        <v>56.2</v>
      </c>
      <c r="E86" s="372">
        <v>0</v>
      </c>
      <c r="F86" s="372">
        <f t="shared" si="6"/>
        <v>281</v>
      </c>
      <c r="G86" s="370">
        <v>42304</v>
      </c>
      <c r="H86" s="375">
        <v>80</v>
      </c>
      <c r="I86" s="372">
        <v>59.76</v>
      </c>
      <c r="J86" s="372">
        <v>0.09</v>
      </c>
      <c r="K86" s="391">
        <f t="shared" si="7"/>
        <v>4780.71</v>
      </c>
      <c r="L86" s="371"/>
      <c r="M86" s="372"/>
    </row>
    <row r="87" spans="1:13" x14ac:dyDescent="0.25">
      <c r="A87" s="371"/>
      <c r="B87" s="389">
        <v>42226</v>
      </c>
      <c r="C87" s="371">
        <v>15</v>
      </c>
      <c r="D87" s="376">
        <v>56.5</v>
      </c>
      <c r="E87" s="372">
        <v>0</v>
      </c>
      <c r="F87" s="372">
        <f t="shared" si="6"/>
        <v>847.5</v>
      </c>
      <c r="G87" s="370">
        <v>42314</v>
      </c>
      <c r="H87" s="375">
        <v>10</v>
      </c>
      <c r="I87" s="372">
        <v>59.65</v>
      </c>
      <c r="J87" s="372">
        <v>0.01</v>
      </c>
      <c r="K87" s="391">
        <f t="shared" si="7"/>
        <v>596.49</v>
      </c>
      <c r="L87" s="371"/>
      <c r="M87" s="372"/>
    </row>
    <row r="88" spans="1:13" x14ac:dyDescent="0.25">
      <c r="A88" s="371"/>
      <c r="B88" s="389">
        <v>42240</v>
      </c>
      <c r="C88" s="392">
        <v>15</v>
      </c>
      <c r="D88" s="376">
        <v>57.19</v>
      </c>
      <c r="E88" s="372">
        <v>0</v>
      </c>
      <c r="F88" s="372">
        <f t="shared" si="6"/>
        <v>857.84999999999991</v>
      </c>
      <c r="G88" s="370">
        <v>42338</v>
      </c>
      <c r="H88" s="375">
        <v>75</v>
      </c>
      <c r="I88" s="372">
        <v>61.49</v>
      </c>
      <c r="J88" s="372">
        <v>0.08</v>
      </c>
      <c r="K88" s="372">
        <f t="shared" si="7"/>
        <v>4611.67</v>
      </c>
      <c r="L88" s="371"/>
      <c r="M88" s="372"/>
    </row>
    <row r="89" spans="1:13" x14ac:dyDescent="0.25">
      <c r="A89" s="371"/>
      <c r="B89" s="389">
        <v>42240</v>
      </c>
      <c r="C89" s="371">
        <v>20</v>
      </c>
      <c r="D89" s="376">
        <v>56.6</v>
      </c>
      <c r="E89" s="372">
        <v>0</v>
      </c>
      <c r="F89" s="372">
        <f t="shared" si="6"/>
        <v>1132</v>
      </c>
      <c r="G89" s="370">
        <v>42354</v>
      </c>
      <c r="H89" s="375">
        <v>100</v>
      </c>
      <c r="I89" s="372">
        <v>50.1</v>
      </c>
      <c r="J89" s="372">
        <v>0.09</v>
      </c>
      <c r="K89" s="372">
        <f t="shared" si="7"/>
        <v>5009.91</v>
      </c>
      <c r="L89" s="371"/>
      <c r="M89" s="372"/>
    </row>
    <row r="90" spans="1:13" x14ac:dyDescent="0.25">
      <c r="A90" s="371"/>
      <c r="B90" s="389">
        <v>42240</v>
      </c>
      <c r="C90" s="371">
        <v>30</v>
      </c>
      <c r="D90" s="376">
        <v>56.5</v>
      </c>
      <c r="E90" s="372">
        <v>0</v>
      </c>
      <c r="F90" s="372">
        <f t="shared" si="6"/>
        <v>1695</v>
      </c>
      <c r="G90" s="370">
        <v>42354</v>
      </c>
      <c r="H90" s="375">
        <v>200</v>
      </c>
      <c r="I90" s="372">
        <v>50.15</v>
      </c>
      <c r="J90" s="372">
        <v>0.18</v>
      </c>
      <c r="K90" s="372">
        <f t="shared" si="7"/>
        <v>10029.82</v>
      </c>
      <c r="L90" s="371"/>
      <c r="M90" s="372"/>
    </row>
    <row r="91" spans="1:13" ht="15" customHeight="1" x14ac:dyDescent="0.25">
      <c r="A91" s="371"/>
      <c r="B91" s="396">
        <v>42258</v>
      </c>
      <c r="C91" s="371">
        <v>80</v>
      </c>
      <c r="D91" s="376">
        <v>55.45</v>
      </c>
      <c r="E91" s="372">
        <v>0</v>
      </c>
      <c r="F91" s="372">
        <f t="shared" si="6"/>
        <v>4436</v>
      </c>
      <c r="G91" s="370">
        <v>42354</v>
      </c>
      <c r="H91" s="375">
        <v>100</v>
      </c>
      <c r="I91" s="372">
        <v>50.15</v>
      </c>
      <c r="J91" s="372">
        <v>0.09</v>
      </c>
      <c r="K91" s="372">
        <f t="shared" si="7"/>
        <v>5014.91</v>
      </c>
      <c r="L91" s="371"/>
      <c r="M91" s="372"/>
    </row>
    <row r="92" spans="1:13" x14ac:dyDescent="0.25">
      <c r="A92" s="371"/>
      <c r="B92" s="396"/>
      <c r="C92" s="371">
        <v>20</v>
      </c>
      <c r="D92" s="376">
        <v>55.45</v>
      </c>
      <c r="E92" s="372">
        <v>0</v>
      </c>
      <c r="F92" s="372">
        <f t="shared" si="6"/>
        <v>1109</v>
      </c>
      <c r="G92" s="370">
        <v>42367</v>
      </c>
      <c r="H92" s="375">
        <v>400</v>
      </c>
      <c r="I92" s="372">
        <v>49.86</v>
      </c>
      <c r="J92" s="372">
        <v>0.37</v>
      </c>
      <c r="K92" s="372">
        <f t="shared" si="7"/>
        <v>19943.63</v>
      </c>
      <c r="L92" s="371"/>
      <c r="M92" s="372"/>
    </row>
    <row r="93" spans="1:13" x14ac:dyDescent="0.25">
      <c r="A93" s="371"/>
      <c r="B93" s="397">
        <v>42263</v>
      </c>
      <c r="C93" s="371">
        <v>50</v>
      </c>
      <c r="D93" s="376">
        <v>52.7</v>
      </c>
      <c r="E93" s="372">
        <v>0</v>
      </c>
      <c r="F93" s="372">
        <f t="shared" si="6"/>
        <v>2635</v>
      </c>
      <c r="G93" s="370">
        <v>42375</v>
      </c>
      <c r="H93" s="375">
        <v>100</v>
      </c>
      <c r="I93" s="372">
        <v>47.56</v>
      </c>
      <c r="J93" s="372">
        <v>0.09</v>
      </c>
      <c r="K93" s="372">
        <f t="shared" si="7"/>
        <v>4755.91</v>
      </c>
      <c r="L93" s="371"/>
      <c r="M93" s="371"/>
    </row>
    <row r="94" spans="1:13" x14ac:dyDescent="0.25">
      <c r="A94" s="371"/>
      <c r="B94" s="397"/>
      <c r="C94" s="371">
        <v>30</v>
      </c>
      <c r="D94" s="376">
        <v>52.7</v>
      </c>
      <c r="E94" s="372">
        <v>0</v>
      </c>
      <c r="F94" s="372">
        <f t="shared" si="6"/>
        <v>1581</v>
      </c>
      <c r="G94" s="370">
        <v>42398</v>
      </c>
      <c r="H94" s="375">
        <v>150</v>
      </c>
      <c r="I94" s="372">
        <v>40.880000000000003</v>
      </c>
      <c r="J94" s="372">
        <v>0.11</v>
      </c>
      <c r="K94" s="372">
        <f t="shared" si="7"/>
        <v>6131.89</v>
      </c>
      <c r="L94" s="371"/>
      <c r="M94" s="371"/>
    </row>
    <row r="95" spans="1:13" x14ac:dyDescent="0.25">
      <c r="A95" s="371"/>
      <c r="B95" s="389">
        <v>42263</v>
      </c>
      <c r="C95" s="371">
        <v>50</v>
      </c>
      <c r="D95" s="376">
        <v>52.05</v>
      </c>
      <c r="E95" s="372">
        <v>0</v>
      </c>
      <c r="F95" s="372">
        <f t="shared" si="6"/>
        <v>2602.5</v>
      </c>
      <c r="G95" s="370">
        <v>42405</v>
      </c>
      <c r="H95" s="375">
        <v>100</v>
      </c>
      <c r="I95" s="372">
        <v>38.445</v>
      </c>
      <c r="J95" s="372">
        <v>7.0000000000000007E-2</v>
      </c>
      <c r="K95" s="372">
        <f t="shared" si="7"/>
        <v>3844.43</v>
      </c>
      <c r="L95" s="371"/>
      <c r="M95" s="371"/>
    </row>
    <row r="96" spans="1:13" x14ac:dyDescent="0.25">
      <c r="A96" s="371"/>
      <c r="B96" s="397">
        <v>42270</v>
      </c>
      <c r="C96" s="371">
        <v>30</v>
      </c>
      <c r="D96" s="376">
        <v>52.5</v>
      </c>
      <c r="E96" s="372">
        <v>0</v>
      </c>
      <c r="F96" s="372">
        <f t="shared" si="6"/>
        <v>1575</v>
      </c>
      <c r="G96" s="370">
        <v>42426</v>
      </c>
      <c r="H96" s="375">
        <v>150</v>
      </c>
      <c r="I96" s="372">
        <v>43.25</v>
      </c>
      <c r="J96" s="372">
        <v>0.14000000000000001</v>
      </c>
      <c r="K96" s="372">
        <f t="shared" si="7"/>
        <v>6487.36</v>
      </c>
      <c r="L96" s="371"/>
      <c r="M96" s="371"/>
    </row>
    <row r="97" spans="1:13" x14ac:dyDescent="0.25">
      <c r="A97" s="371"/>
      <c r="B97" s="397"/>
      <c r="C97" s="371">
        <v>20</v>
      </c>
      <c r="D97" s="376">
        <v>52.5</v>
      </c>
      <c r="E97" s="372">
        <v>0</v>
      </c>
      <c r="F97" s="372">
        <f t="shared" si="6"/>
        <v>1050</v>
      </c>
      <c r="G97" s="370">
        <v>42426</v>
      </c>
      <c r="H97" s="375">
        <v>150</v>
      </c>
      <c r="I97" s="372">
        <v>43.4</v>
      </c>
      <c r="J97" s="372">
        <v>0.14000000000000001</v>
      </c>
      <c r="K97" s="372">
        <f t="shared" si="7"/>
        <v>6509.86</v>
      </c>
      <c r="L97" s="371"/>
      <c r="M97" s="371"/>
    </row>
    <row r="98" spans="1:13" x14ac:dyDescent="0.25">
      <c r="A98" s="371"/>
      <c r="B98" s="389">
        <v>42292</v>
      </c>
      <c r="C98" s="371">
        <v>80</v>
      </c>
      <c r="D98" s="376">
        <v>61.25</v>
      </c>
      <c r="E98" s="372">
        <v>0</v>
      </c>
      <c r="F98" s="372">
        <f t="shared" si="6"/>
        <v>4900</v>
      </c>
      <c r="G98" s="370">
        <v>42431</v>
      </c>
      <c r="H98" s="375">
        <v>150</v>
      </c>
      <c r="I98" s="372">
        <v>45.95</v>
      </c>
      <c r="J98" s="372">
        <v>0.15</v>
      </c>
      <c r="K98" s="372">
        <f t="shared" si="7"/>
        <v>6892.35</v>
      </c>
      <c r="L98" s="371"/>
      <c r="M98" s="371"/>
    </row>
    <row r="99" spans="1:13" x14ac:dyDescent="0.25">
      <c r="A99" s="371"/>
      <c r="B99" s="389">
        <v>42292</v>
      </c>
      <c r="C99" s="371">
        <v>80</v>
      </c>
      <c r="D99" s="376">
        <v>59.75</v>
      </c>
      <c r="E99" s="372">
        <v>0</v>
      </c>
      <c r="F99" s="372">
        <f t="shared" si="6"/>
        <v>4780</v>
      </c>
      <c r="G99" s="370">
        <v>42431</v>
      </c>
      <c r="H99" s="375">
        <v>150</v>
      </c>
      <c r="I99" s="372">
        <v>45.5</v>
      </c>
      <c r="J99" s="372">
        <v>0.15</v>
      </c>
      <c r="K99" s="372">
        <f t="shared" si="7"/>
        <v>6824.85</v>
      </c>
      <c r="L99" s="371"/>
      <c r="M99" s="371"/>
    </row>
    <row r="100" spans="1:13" x14ac:dyDescent="0.25">
      <c r="A100" s="371"/>
      <c r="B100" s="389">
        <v>42310</v>
      </c>
      <c r="C100" s="371">
        <v>80</v>
      </c>
      <c r="D100" s="376">
        <v>55.225000000000001</v>
      </c>
      <c r="E100" s="372">
        <v>6.95</v>
      </c>
      <c r="F100" s="372">
        <f t="shared" si="6"/>
        <v>4424.95</v>
      </c>
      <c r="G100" s="370">
        <v>42431</v>
      </c>
      <c r="H100" s="375">
        <v>150</v>
      </c>
      <c r="I100" s="372">
        <v>46.4</v>
      </c>
      <c r="J100" s="372">
        <v>0.15</v>
      </c>
      <c r="K100" s="372">
        <f t="shared" si="7"/>
        <v>6959.85</v>
      </c>
      <c r="L100" s="371"/>
      <c r="M100" s="371"/>
    </row>
    <row r="101" spans="1:13" x14ac:dyDescent="0.25">
      <c r="A101" s="371"/>
      <c r="B101" s="389">
        <v>42310</v>
      </c>
      <c r="C101" s="371">
        <v>40</v>
      </c>
      <c r="D101" s="376">
        <v>53.01</v>
      </c>
      <c r="E101" s="372">
        <v>6.95</v>
      </c>
      <c r="F101" s="372">
        <f t="shared" si="6"/>
        <v>2127.35</v>
      </c>
      <c r="G101" s="370">
        <v>42431</v>
      </c>
      <c r="H101" s="375">
        <v>150</v>
      </c>
      <c r="I101" s="372">
        <v>46.72</v>
      </c>
      <c r="J101" s="372">
        <v>0.15</v>
      </c>
      <c r="K101" s="372">
        <f t="shared" si="7"/>
        <v>7007.85</v>
      </c>
      <c r="L101" s="371"/>
      <c r="M101" s="371"/>
    </row>
    <row r="102" spans="1:13" x14ac:dyDescent="0.25">
      <c r="A102" s="371"/>
      <c r="B102" s="389">
        <v>42340</v>
      </c>
      <c r="C102" s="371">
        <v>40</v>
      </c>
      <c r="D102" s="376">
        <v>58.6</v>
      </c>
      <c r="E102" s="372">
        <v>0</v>
      </c>
      <c r="F102" s="372">
        <f t="shared" si="6"/>
        <v>2344</v>
      </c>
      <c r="G102" s="370">
        <v>42433</v>
      </c>
      <c r="H102" s="375">
        <v>50</v>
      </c>
      <c r="I102" s="372">
        <v>50.35</v>
      </c>
      <c r="J102" s="372">
        <v>0.05</v>
      </c>
      <c r="K102" s="372">
        <f t="shared" si="7"/>
        <v>2517.4499999999998</v>
      </c>
      <c r="L102" s="371"/>
      <c r="M102" s="371"/>
    </row>
    <row r="103" spans="1:13" ht="45" x14ac:dyDescent="0.25">
      <c r="A103" s="371"/>
      <c r="B103" s="398" t="s">
        <v>169</v>
      </c>
      <c r="C103" s="371">
        <v>45</v>
      </c>
      <c r="D103" s="376">
        <v>50.45</v>
      </c>
      <c r="E103" s="372">
        <v>0</v>
      </c>
      <c r="F103" s="372">
        <f t="shared" si="6"/>
        <v>2270.25</v>
      </c>
      <c r="G103" s="370">
        <v>42440</v>
      </c>
      <c r="H103" s="375">
        <v>250</v>
      </c>
      <c r="I103" s="372">
        <v>50.24</v>
      </c>
      <c r="J103" s="372">
        <v>0.27</v>
      </c>
      <c r="K103" s="372">
        <f t="shared" si="7"/>
        <v>12559.73</v>
      </c>
      <c r="L103" s="371"/>
      <c r="M103" s="371"/>
    </row>
    <row r="104" spans="1:13" x14ac:dyDescent="0.25">
      <c r="A104" s="371"/>
      <c r="B104" s="398"/>
      <c r="C104" s="371">
        <v>75</v>
      </c>
      <c r="D104" s="376">
        <v>50.42</v>
      </c>
      <c r="E104" s="372">
        <v>0</v>
      </c>
      <c r="F104" s="372">
        <f t="shared" si="6"/>
        <v>3781.5</v>
      </c>
      <c r="G104" s="370">
        <v>42440</v>
      </c>
      <c r="H104" s="375">
        <v>50</v>
      </c>
      <c r="I104" s="372">
        <v>50.73</v>
      </c>
      <c r="J104" s="372">
        <v>0.05</v>
      </c>
      <c r="K104" s="372">
        <f t="shared" si="7"/>
        <v>2536.4499999999998</v>
      </c>
      <c r="L104" s="371"/>
      <c r="M104" s="371"/>
    </row>
    <row r="105" spans="1:13" x14ac:dyDescent="0.25">
      <c r="A105" s="371"/>
      <c r="B105" s="398"/>
      <c r="C105" s="371">
        <v>100</v>
      </c>
      <c r="D105" s="376">
        <v>50.33</v>
      </c>
      <c r="E105" s="372">
        <v>0</v>
      </c>
      <c r="F105" s="372">
        <f t="shared" si="6"/>
        <v>5033</v>
      </c>
      <c r="G105" s="370">
        <v>42440</v>
      </c>
      <c r="H105" s="375">
        <v>50</v>
      </c>
      <c r="I105" s="372">
        <v>51.08</v>
      </c>
      <c r="J105" s="372">
        <v>0.06</v>
      </c>
      <c r="K105" s="372">
        <f t="shared" si="7"/>
        <v>2553.94</v>
      </c>
      <c r="L105" s="371"/>
      <c r="M105" s="371"/>
    </row>
    <row r="106" spans="1:13" x14ac:dyDescent="0.25">
      <c r="A106" s="371"/>
      <c r="B106" s="398"/>
      <c r="C106" s="371">
        <v>100</v>
      </c>
      <c r="D106" s="376">
        <v>50.25</v>
      </c>
      <c r="E106" s="372">
        <v>0</v>
      </c>
      <c r="F106" s="372">
        <f t="shared" si="6"/>
        <v>5025</v>
      </c>
      <c r="G106" s="370">
        <v>42445</v>
      </c>
      <c r="H106" s="375">
        <v>20</v>
      </c>
      <c r="I106" s="372">
        <v>51.59</v>
      </c>
      <c r="J106" s="372">
        <v>0.02</v>
      </c>
      <c r="K106" s="372">
        <f t="shared" si="7"/>
        <v>1031.7800000000002</v>
      </c>
      <c r="L106" s="371"/>
      <c r="M106" s="371"/>
    </row>
    <row r="107" spans="1:13" x14ac:dyDescent="0.25">
      <c r="A107" s="371"/>
      <c r="B107" s="398"/>
      <c r="C107" s="371">
        <v>100</v>
      </c>
      <c r="D107" s="376">
        <v>50.05</v>
      </c>
      <c r="E107" s="372">
        <v>0</v>
      </c>
      <c r="F107" s="372">
        <f t="shared" si="6"/>
        <v>5005</v>
      </c>
      <c r="G107" s="370">
        <v>42446</v>
      </c>
      <c r="H107" s="375">
        <v>80</v>
      </c>
      <c r="I107" s="372">
        <v>53.45</v>
      </c>
      <c r="J107" s="372">
        <v>0.09</v>
      </c>
      <c r="K107" s="372">
        <f t="shared" si="7"/>
        <v>4275.91</v>
      </c>
      <c r="L107" s="371"/>
      <c r="M107" s="371"/>
    </row>
    <row r="108" spans="1:13" x14ac:dyDescent="0.25">
      <c r="A108" s="371"/>
      <c r="B108" s="398"/>
      <c r="C108" s="371">
        <v>100</v>
      </c>
      <c r="D108" s="376">
        <v>49.99</v>
      </c>
      <c r="E108" s="372">
        <v>0</v>
      </c>
      <c r="F108" s="372">
        <f t="shared" si="6"/>
        <v>4999</v>
      </c>
      <c r="G108" s="370">
        <v>42460</v>
      </c>
      <c r="H108" s="375">
        <v>50</v>
      </c>
      <c r="I108" s="372">
        <v>52.74</v>
      </c>
      <c r="J108" s="372">
        <v>0.06</v>
      </c>
      <c r="K108" s="372">
        <f t="shared" si="7"/>
        <v>2636.94</v>
      </c>
      <c r="L108" s="371"/>
      <c r="M108" s="371"/>
    </row>
    <row r="109" spans="1:13" x14ac:dyDescent="0.25">
      <c r="A109" s="371"/>
      <c r="B109" s="398"/>
      <c r="C109" s="371">
        <v>200</v>
      </c>
      <c r="D109" s="376">
        <v>49.69</v>
      </c>
      <c r="E109" s="372">
        <v>0</v>
      </c>
      <c r="F109" s="372">
        <f t="shared" si="6"/>
        <v>9938</v>
      </c>
      <c r="G109" s="370">
        <v>42466</v>
      </c>
      <c r="H109" s="375">
        <v>50</v>
      </c>
      <c r="I109" s="372">
        <v>53.25</v>
      </c>
      <c r="J109" s="372">
        <v>0.06</v>
      </c>
      <c r="K109" s="372">
        <f t="shared" si="7"/>
        <v>2662.44</v>
      </c>
      <c r="L109" s="371"/>
      <c r="M109" s="371"/>
    </row>
    <row r="110" spans="1:13" x14ac:dyDescent="0.25">
      <c r="A110" s="371"/>
      <c r="B110" s="389">
        <v>42362</v>
      </c>
      <c r="C110" s="371">
        <v>300</v>
      </c>
      <c r="D110" s="376">
        <v>48.18</v>
      </c>
      <c r="E110" s="372">
        <v>0</v>
      </c>
      <c r="F110" s="372">
        <f t="shared" si="6"/>
        <v>14454</v>
      </c>
      <c r="G110" s="370">
        <v>42472</v>
      </c>
      <c r="H110" s="375">
        <v>20</v>
      </c>
      <c r="I110" s="372">
        <v>57.11</v>
      </c>
      <c r="J110" s="372">
        <v>-0.03</v>
      </c>
      <c r="K110" s="372">
        <f t="shared" si="7"/>
        <v>1142.23</v>
      </c>
      <c r="L110" s="371"/>
      <c r="M110" s="371"/>
    </row>
    <row r="111" spans="1:13" x14ac:dyDescent="0.25">
      <c r="A111" s="371"/>
      <c r="B111" s="389">
        <v>42362</v>
      </c>
      <c r="C111" s="371">
        <v>300</v>
      </c>
      <c r="D111" s="376">
        <v>47.73</v>
      </c>
      <c r="E111" s="372">
        <v>-0.03</v>
      </c>
      <c r="F111" s="372">
        <f t="shared" si="6"/>
        <v>14318.969999999998</v>
      </c>
      <c r="G111" s="370">
        <v>42478</v>
      </c>
      <c r="H111" s="375">
        <v>20</v>
      </c>
      <c r="I111" s="372">
        <v>58.75</v>
      </c>
      <c r="J111" s="372">
        <v>0.03</v>
      </c>
      <c r="K111" s="372">
        <f t="shared" si="7"/>
        <v>1174.97</v>
      </c>
      <c r="L111" s="371"/>
      <c r="M111" s="371"/>
    </row>
    <row r="112" spans="1:13" x14ac:dyDescent="0.25">
      <c r="A112" s="371"/>
      <c r="B112" s="389">
        <v>42374</v>
      </c>
      <c r="C112" s="371">
        <v>100</v>
      </c>
      <c r="D112" s="376">
        <v>47.13</v>
      </c>
      <c r="E112" s="372">
        <v>0</v>
      </c>
      <c r="F112" s="372">
        <f t="shared" si="6"/>
        <v>4713</v>
      </c>
      <c r="G112" s="370">
        <v>42501</v>
      </c>
      <c r="H112" s="375">
        <v>30</v>
      </c>
      <c r="I112" s="372">
        <v>58.45</v>
      </c>
      <c r="J112" s="372">
        <v>0.04</v>
      </c>
      <c r="K112" s="372">
        <f t="shared" si="7"/>
        <v>1753.46</v>
      </c>
      <c r="L112" s="371"/>
      <c r="M112" s="371"/>
    </row>
    <row r="113" spans="1:13" x14ac:dyDescent="0.25">
      <c r="A113" s="371"/>
      <c r="B113" s="389">
        <v>42375</v>
      </c>
      <c r="C113" s="371">
        <v>100</v>
      </c>
      <c r="D113" s="376">
        <v>46.02</v>
      </c>
      <c r="E113" s="372">
        <v>0</v>
      </c>
      <c r="F113" s="372">
        <f t="shared" si="6"/>
        <v>4602</v>
      </c>
      <c r="G113" s="371"/>
      <c r="H113" s="375"/>
      <c r="I113" s="372"/>
      <c r="J113" s="372"/>
      <c r="K113" s="372"/>
      <c r="L113" s="371"/>
      <c r="M113" s="371"/>
    </row>
    <row r="114" spans="1:13" x14ac:dyDescent="0.25">
      <c r="A114" s="371"/>
      <c r="B114" s="397">
        <v>42375</v>
      </c>
      <c r="C114" s="371">
        <v>30</v>
      </c>
      <c r="D114" s="376">
        <v>45.1</v>
      </c>
      <c r="E114" s="372">
        <v>0</v>
      </c>
      <c r="F114" s="372">
        <f t="shared" si="6"/>
        <v>1353</v>
      </c>
      <c r="G114" s="371"/>
      <c r="H114" s="375"/>
      <c r="I114" s="372"/>
      <c r="J114" s="372"/>
      <c r="K114" s="372"/>
      <c r="L114" s="371"/>
      <c r="M114" s="371"/>
    </row>
    <row r="115" spans="1:13" x14ac:dyDescent="0.25">
      <c r="A115" s="371"/>
      <c r="B115" s="397"/>
      <c r="C115" s="371">
        <v>20</v>
      </c>
      <c r="D115" s="376">
        <v>45.1</v>
      </c>
      <c r="E115" s="372">
        <v>0</v>
      </c>
      <c r="F115" s="372">
        <f t="shared" si="6"/>
        <v>902</v>
      </c>
      <c r="G115" s="371"/>
      <c r="H115" s="375"/>
      <c r="I115" s="372"/>
      <c r="J115" s="372"/>
      <c r="K115" s="372"/>
      <c r="L115" s="371"/>
      <c r="M115" s="371"/>
    </row>
    <row r="116" spans="1:13" x14ac:dyDescent="0.25">
      <c r="A116" s="371"/>
      <c r="B116" s="389">
        <v>42402</v>
      </c>
      <c r="C116" s="371">
        <v>150</v>
      </c>
      <c r="D116" s="376">
        <v>39.450000000000003</v>
      </c>
      <c r="E116" s="372">
        <v>0</v>
      </c>
      <c r="F116" s="372">
        <f t="shared" si="6"/>
        <v>5917.5</v>
      </c>
      <c r="G116" s="371"/>
      <c r="H116" s="375"/>
      <c r="I116" s="372"/>
      <c r="J116" s="372"/>
      <c r="K116" s="372"/>
      <c r="L116" s="371"/>
      <c r="M116" s="371"/>
    </row>
    <row r="117" spans="1:13" x14ac:dyDescent="0.25">
      <c r="A117" s="371"/>
      <c r="B117" s="389">
        <v>42405</v>
      </c>
      <c r="C117" s="371">
        <v>100</v>
      </c>
      <c r="D117" s="376">
        <v>38.385100000000001</v>
      </c>
      <c r="E117" s="372">
        <v>0</v>
      </c>
      <c r="F117" s="372">
        <f t="shared" si="6"/>
        <v>3838.51</v>
      </c>
      <c r="G117" s="371"/>
      <c r="H117" s="375"/>
      <c r="I117" s="372"/>
      <c r="J117" s="372"/>
      <c r="K117" s="372"/>
      <c r="L117" s="371"/>
      <c r="M117" s="371"/>
    </row>
    <row r="118" spans="1:13" x14ac:dyDescent="0.25">
      <c r="A118" s="371"/>
      <c r="B118" s="389">
        <v>42426</v>
      </c>
      <c r="C118" s="371">
        <v>150</v>
      </c>
      <c r="D118" s="376">
        <v>43.09</v>
      </c>
      <c r="E118" s="372">
        <v>0</v>
      </c>
      <c r="F118" s="372">
        <f t="shared" si="6"/>
        <v>6463.5000000000009</v>
      </c>
      <c r="G118" s="371"/>
      <c r="H118" s="375"/>
      <c r="I118" s="372"/>
      <c r="J118" s="372"/>
      <c r="K118" s="372"/>
      <c r="L118" s="371"/>
      <c r="M118" s="371"/>
    </row>
    <row r="119" spans="1:13" x14ac:dyDescent="0.25">
      <c r="A119" s="371"/>
      <c r="B119" s="389">
        <v>42426</v>
      </c>
      <c r="C119" s="371">
        <v>150</v>
      </c>
      <c r="D119" s="376">
        <v>42.89</v>
      </c>
      <c r="E119" s="372">
        <v>0</v>
      </c>
      <c r="F119" s="372">
        <f t="shared" si="6"/>
        <v>6433.5</v>
      </c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371"/>
      <c r="B120" s="389">
        <v>42431</v>
      </c>
      <c r="C120" s="371">
        <v>150</v>
      </c>
      <c r="D120" s="376">
        <v>45.49</v>
      </c>
      <c r="E120" s="372">
        <v>0</v>
      </c>
      <c r="F120" s="372">
        <f t="shared" si="6"/>
        <v>6823.5</v>
      </c>
      <c r="G120" s="371"/>
      <c r="H120" s="375"/>
      <c r="I120" s="372"/>
      <c r="J120" s="372"/>
      <c r="K120" s="372"/>
      <c r="L120" s="371"/>
      <c r="M120" s="371"/>
    </row>
    <row r="121" spans="1:13" x14ac:dyDescent="0.25">
      <c r="A121" s="371"/>
      <c r="B121" s="389">
        <v>42431</v>
      </c>
      <c r="C121" s="371">
        <v>150</v>
      </c>
      <c r="D121" s="376">
        <v>45.07</v>
      </c>
      <c r="E121" s="372">
        <v>0</v>
      </c>
      <c r="F121" s="372">
        <f t="shared" si="6"/>
        <v>6760.5</v>
      </c>
      <c r="G121" s="371"/>
      <c r="H121" s="375"/>
      <c r="I121" s="372"/>
      <c r="J121" s="372"/>
      <c r="K121" s="372"/>
      <c r="L121" s="371"/>
      <c r="M121" s="371"/>
    </row>
    <row r="122" spans="1:13" x14ac:dyDescent="0.25">
      <c r="A122" s="371"/>
      <c r="B122" s="389">
        <v>42433</v>
      </c>
      <c r="C122" s="371">
        <v>50</v>
      </c>
      <c r="D122" s="376">
        <v>49.45</v>
      </c>
      <c r="E122" s="372">
        <v>0</v>
      </c>
      <c r="F122" s="372">
        <f t="shared" si="6"/>
        <v>2472.5</v>
      </c>
      <c r="G122" s="371"/>
      <c r="H122" s="375"/>
      <c r="I122" s="372"/>
      <c r="J122" s="372"/>
      <c r="K122" s="372"/>
      <c r="L122" s="371"/>
      <c r="M122" s="371"/>
    </row>
    <row r="123" spans="1:13" x14ac:dyDescent="0.25">
      <c r="A123" s="371"/>
      <c r="B123" s="389">
        <v>42444</v>
      </c>
      <c r="C123" s="371">
        <v>50</v>
      </c>
      <c r="D123" s="376">
        <v>48.21</v>
      </c>
      <c r="E123" s="372">
        <v>0</v>
      </c>
      <c r="F123" s="372">
        <f t="shared" si="6"/>
        <v>2410.5</v>
      </c>
      <c r="G123" s="371"/>
      <c r="H123" s="375"/>
      <c r="I123" s="372"/>
      <c r="J123" s="372"/>
      <c r="K123" s="372"/>
      <c r="L123" s="371"/>
      <c r="M123" s="371"/>
    </row>
    <row r="124" spans="1:13" x14ac:dyDescent="0.25">
      <c r="A124" s="371"/>
      <c r="B124" s="389">
        <v>42452</v>
      </c>
      <c r="C124" s="371">
        <v>50</v>
      </c>
      <c r="D124" s="376">
        <v>51.6</v>
      </c>
      <c r="E124" s="372">
        <v>0</v>
      </c>
      <c r="F124" s="372">
        <f t="shared" si="6"/>
        <v>2580</v>
      </c>
      <c r="G124" s="371"/>
      <c r="H124" s="375"/>
      <c r="I124" s="372"/>
      <c r="J124" s="372"/>
      <c r="K124" s="372"/>
      <c r="L124" s="371"/>
      <c r="M124" s="371"/>
    </row>
    <row r="125" spans="1:13" x14ac:dyDescent="0.25">
      <c r="A125" s="371"/>
      <c r="B125" s="389">
        <v>42464</v>
      </c>
      <c r="C125" s="371">
        <v>50</v>
      </c>
      <c r="D125" s="376">
        <v>50.62</v>
      </c>
      <c r="E125" s="372">
        <v>0</v>
      </c>
      <c r="F125" s="372">
        <f t="shared" si="6"/>
        <v>2531</v>
      </c>
      <c r="G125" s="371"/>
      <c r="H125" s="375"/>
      <c r="I125" s="372"/>
      <c r="J125" s="372"/>
      <c r="K125" s="372"/>
      <c r="L125" s="371"/>
      <c r="M125" s="371"/>
    </row>
    <row r="126" spans="1:13" x14ac:dyDescent="0.25">
      <c r="A126" s="371"/>
      <c r="B126" s="389">
        <v>42493</v>
      </c>
      <c r="C126" s="371">
        <v>20</v>
      </c>
      <c r="D126" s="376">
        <v>56.5</v>
      </c>
      <c r="E126" s="372">
        <v>0</v>
      </c>
      <c r="F126" s="372">
        <f t="shared" si="6"/>
        <v>1130</v>
      </c>
      <c r="G126" s="371"/>
      <c r="H126" s="375"/>
      <c r="I126" s="372"/>
      <c r="J126" s="372"/>
      <c r="K126" s="372"/>
      <c r="L126" s="371"/>
      <c r="M126" s="371"/>
    </row>
    <row r="127" spans="1:13" x14ac:dyDescent="0.25">
      <c r="A127" s="371"/>
      <c r="B127" s="393"/>
      <c r="C127" s="371"/>
      <c r="D127" s="376"/>
      <c r="E127" s="372"/>
      <c r="F127" s="372"/>
      <c r="G127" s="371"/>
      <c r="H127" s="375"/>
      <c r="I127" s="372"/>
      <c r="J127" s="372"/>
      <c r="K127" s="372"/>
      <c r="L127" s="371"/>
      <c r="M127" s="371"/>
    </row>
    <row r="128" spans="1:13" x14ac:dyDescent="0.25">
      <c r="A128" s="21" t="s">
        <v>81</v>
      </c>
      <c r="B128" s="394"/>
      <c r="C128" s="12">
        <f>SUM(C77:C127)</f>
        <v>3500</v>
      </c>
      <c r="D128" s="395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1"/>
      <c r="B129" s="393"/>
      <c r="C129" s="371"/>
      <c r="D129" s="376"/>
      <c r="E129" s="372"/>
      <c r="F129" s="372"/>
      <c r="G129" s="371"/>
      <c r="H129" s="375"/>
      <c r="I129" s="372"/>
      <c r="J129" s="372"/>
      <c r="K129" s="372"/>
      <c r="L129" s="371"/>
      <c r="M129" s="371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27" priority="17">
      <formula>F38&gt;0</formula>
    </cfRule>
    <cfRule type="expression" dxfId="726" priority="18">
      <formula>F38&lt;0</formula>
    </cfRule>
  </conditionalFormatting>
  <conditionalFormatting sqref="H38:H72">
    <cfRule type="expression" dxfId="725" priority="9">
      <formula>H38&gt;0</formula>
    </cfRule>
    <cfRule type="expression" dxfId="724" priority="10">
      <formula>H38&lt;0</formula>
    </cfRule>
  </conditionalFormatting>
  <conditionalFormatting sqref="F21:F37">
    <cfRule type="expression" dxfId="723" priority="7">
      <formula>F21&gt;0</formula>
    </cfRule>
    <cfRule type="expression" dxfId="722" priority="8">
      <formula>F21&lt;0</formula>
    </cfRule>
  </conditionalFormatting>
  <conditionalFormatting sqref="H21:H37">
    <cfRule type="expression" dxfId="721" priority="5">
      <formula>H21&gt;0</formula>
    </cfRule>
    <cfRule type="expression" dxfId="720" priority="6">
      <formula>H21&lt;0</formula>
    </cfRule>
  </conditionalFormatting>
  <conditionalFormatting sqref="Q8">
    <cfRule type="expression" dxfId="719" priority="1">
      <formula>Q8&gt;0</formula>
    </cfRule>
    <cfRule type="expression" dxfId="718" priority="2">
      <formula>Q8&lt;0</formula>
    </cfRule>
  </conditionalFormatting>
  <conditionalFormatting sqref="Q7">
    <cfRule type="expression" dxfId="717" priority="3">
      <formula>Q7&gt;0</formula>
    </cfRule>
    <cfRule type="expression" dxfId="716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  <c r="W2" s="130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3">
        <v>2884700</v>
      </c>
      <c r="AC2" s="10">
        <v>106.76</v>
      </c>
      <c r="AD2" s="2">
        <f>Y2-Z2</f>
        <v>2.9700000000000131</v>
      </c>
      <c r="AE2" s="134">
        <f>AC2/AC3-1</f>
        <v>-4.104477611940327E-3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127.28</v>
      </c>
      <c r="W3" s="130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3">
        <v>3436200</v>
      </c>
      <c r="AC3" s="10">
        <v>107.2</v>
      </c>
      <c r="AD3" s="2">
        <f t="shared" ref="AD3:AD66" si="0">Y3-Z3</f>
        <v>2.1099999999999994</v>
      </c>
      <c r="AE3" s="134">
        <f t="shared" ref="AE3:AE66" si="1">AC3/AC4-1</f>
        <v>1.6113744075829439E-2</v>
      </c>
    </row>
    <row r="4" spans="1:31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127.28</v>
      </c>
      <c r="R4" s="504">
        <v>1.9599999999999999E-2</v>
      </c>
      <c r="W4" s="130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3">
        <v>2877600</v>
      </c>
      <c r="AC4" s="10">
        <v>105.5</v>
      </c>
      <c r="AD4" s="2">
        <f t="shared" si="0"/>
        <v>1.7000000000000028</v>
      </c>
      <c r="AE4" s="134">
        <f t="shared" si="1"/>
        <v>-3.9652567975830832E-3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0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3">
        <v>2886400</v>
      </c>
      <c r="AC5" s="10">
        <v>105.92</v>
      </c>
      <c r="AD5" s="2">
        <f t="shared" si="0"/>
        <v>1.1899999999999977</v>
      </c>
      <c r="AE5" s="134">
        <f t="shared" si="1"/>
        <v>-9.5380587245184056E-3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3">
        <v>2921400</v>
      </c>
      <c r="AC6" s="10">
        <v>106.94</v>
      </c>
      <c r="AD6" s="2">
        <f t="shared" si="0"/>
        <v>2.1400000000000006</v>
      </c>
      <c r="AE6" s="134">
        <f t="shared" si="1"/>
        <v>1.2881227505209258E-2</v>
      </c>
    </row>
    <row r="7" spans="1:31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  <c r="W7" s="130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3">
        <v>2826400</v>
      </c>
      <c r="AC7" s="10">
        <v>105.58</v>
      </c>
      <c r="AD7" s="2">
        <f t="shared" si="0"/>
        <v>1.7600000000000051</v>
      </c>
      <c r="AE7" s="134">
        <f t="shared" si="1"/>
        <v>7.5829383886261148E-4</v>
      </c>
    </row>
    <row r="8" spans="1:31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3">
        <v>4221100</v>
      </c>
      <c r="AC8" s="10">
        <v>105.5</v>
      </c>
      <c r="AD8" s="2">
        <f t="shared" si="0"/>
        <v>2.0600000000000023</v>
      </c>
      <c r="AE8" s="134">
        <f t="shared" si="1"/>
        <v>1.4228033070563306E-2</v>
      </c>
    </row>
    <row r="9" spans="1:31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3">
        <v>3793600</v>
      </c>
      <c r="AC9" s="10">
        <v>104.02</v>
      </c>
      <c r="AD9" s="2">
        <f t="shared" si="0"/>
        <v>2.1099999999999994</v>
      </c>
      <c r="AE9" s="134">
        <f t="shared" si="1"/>
        <v>5.7714505579076203E-4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M34</f>
        <v>128.08999999999833</v>
      </c>
      <c r="W10" s="130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3">
        <v>2685400</v>
      </c>
      <c r="AC10" s="10">
        <v>103.96</v>
      </c>
      <c r="AD10" s="2">
        <f t="shared" si="0"/>
        <v>1.1700000000000017</v>
      </c>
      <c r="AE10" s="134">
        <f t="shared" si="1"/>
        <v>8.6646770000942119E-4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  <c r="W11" s="97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3">
        <v>2574300</v>
      </c>
      <c r="AC11" s="10">
        <v>103.87</v>
      </c>
      <c r="AD11" s="2">
        <f t="shared" si="0"/>
        <v>1.5400000000000063</v>
      </c>
      <c r="AE11" s="134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  <c r="W12" s="130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3">
        <v>4083900</v>
      </c>
      <c r="AC12" s="10">
        <v>104.06</v>
      </c>
      <c r="AD12" s="2">
        <f t="shared" si="0"/>
        <v>1.4300000000000068</v>
      </c>
      <c r="AE12" s="134">
        <f t="shared" si="1"/>
        <v>3.9556198745778204E-3</v>
      </c>
    </row>
    <row r="13" spans="1:31" x14ac:dyDescent="0.25">
      <c r="T13" s="66"/>
      <c r="W13" s="130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3">
        <v>3795400</v>
      </c>
      <c r="AC13" s="10">
        <v>103.65</v>
      </c>
      <c r="AD13" s="2">
        <f t="shared" si="0"/>
        <v>2.4099999999999966</v>
      </c>
      <c r="AE13" s="134">
        <f t="shared" si="1"/>
        <v>-1.3608679101636767E-2</v>
      </c>
    </row>
    <row r="14" spans="1:31" x14ac:dyDescent="0.25">
      <c r="W14" s="130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3">
        <v>3371900</v>
      </c>
      <c r="AC14" s="10">
        <v>105.08</v>
      </c>
      <c r="AD14" s="2">
        <f t="shared" si="0"/>
        <v>0.98000000000000398</v>
      </c>
      <c r="AE14" s="134">
        <f t="shared" si="1"/>
        <v>-8.5857156335502616E-3</v>
      </c>
    </row>
    <row r="15" spans="1:31" x14ac:dyDescent="0.25">
      <c r="W15" s="130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3">
        <v>11365000</v>
      </c>
      <c r="AC15" s="10">
        <v>105.99</v>
      </c>
      <c r="AD15" s="2">
        <f t="shared" si="0"/>
        <v>0.95000000000000284</v>
      </c>
      <c r="AE15" s="134">
        <f t="shared" si="1"/>
        <v>5.1209103840681447E-3</v>
      </c>
    </row>
    <row r="16" spans="1:31" x14ac:dyDescent="0.25">
      <c r="W16" s="130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3">
        <v>3637700</v>
      </c>
      <c r="AC16" s="10">
        <v>105.45</v>
      </c>
      <c r="AD16" s="2">
        <f t="shared" si="0"/>
        <v>1.3199999999999932</v>
      </c>
      <c r="AE16" s="134">
        <f t="shared" si="1"/>
        <v>-1.2312938056450173E-3</v>
      </c>
    </row>
    <row r="17" spans="1:31" x14ac:dyDescent="0.25">
      <c r="W17" s="130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3">
        <v>3449200</v>
      </c>
      <c r="AC17" s="10">
        <v>105.58</v>
      </c>
      <c r="AD17" s="2">
        <f t="shared" si="0"/>
        <v>2.0400000000000063</v>
      </c>
      <c r="AE17" s="134">
        <f t="shared" si="1"/>
        <v>1.1593369742262993E-2</v>
      </c>
    </row>
    <row r="18" spans="1:31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0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3">
        <v>4235000</v>
      </c>
      <c r="AC18" s="10">
        <v>104.37</v>
      </c>
      <c r="AD18" s="2">
        <f t="shared" si="0"/>
        <v>1.960000000000008</v>
      </c>
      <c r="AE18" s="134">
        <f t="shared" si="1"/>
        <v>-1.9539689995302978E-2</v>
      </c>
    </row>
    <row r="19" spans="1:31" x14ac:dyDescent="0.25">
      <c r="W19" s="130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3">
        <v>3462700</v>
      </c>
      <c r="AC19" s="10">
        <v>106.45</v>
      </c>
      <c r="AD19" s="2">
        <f t="shared" si="0"/>
        <v>0.84000000000000341</v>
      </c>
      <c r="AE19" s="134">
        <f t="shared" si="1"/>
        <v>1.599548362815284E-3</v>
      </c>
    </row>
    <row r="20" spans="1:31" x14ac:dyDescent="0.25">
      <c r="W20" s="130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3">
        <v>3308200</v>
      </c>
      <c r="AC20" s="10">
        <v>106.28</v>
      </c>
      <c r="AD20" s="2">
        <f t="shared" si="0"/>
        <v>1.269999999999996</v>
      </c>
      <c r="AE20" s="134">
        <f t="shared" si="1"/>
        <v>9.4179694857787766E-4</v>
      </c>
    </row>
    <row r="21" spans="1:31" x14ac:dyDescent="0.25">
      <c r="W21" s="39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3">
        <v>4098700</v>
      </c>
      <c r="AC21" s="10">
        <v>106.18</v>
      </c>
      <c r="AD21" s="2">
        <f t="shared" si="0"/>
        <v>1.4000000000000057</v>
      </c>
      <c r="AE21" s="134">
        <f t="shared" si="1"/>
        <v>-4.9667322650172041E-3</v>
      </c>
    </row>
    <row r="22" spans="1:31" x14ac:dyDescent="0.25">
      <c r="W22" s="130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3">
        <v>3454900</v>
      </c>
      <c r="AC22" s="10">
        <v>106.71</v>
      </c>
      <c r="AD22" s="2">
        <f t="shared" si="0"/>
        <v>2.0499999999999972</v>
      </c>
      <c r="AE22" s="134">
        <f t="shared" si="1"/>
        <v>-1.522702104097462E-2</v>
      </c>
    </row>
    <row r="23" spans="1:31" x14ac:dyDescent="0.25"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W23" s="130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3">
        <v>3181600</v>
      </c>
      <c r="AC23" s="10">
        <v>108.36</v>
      </c>
      <c r="AD23" s="2">
        <f t="shared" si="0"/>
        <v>1.3599999999999994</v>
      </c>
      <c r="AE23" s="134">
        <f t="shared" si="1"/>
        <v>-9.7779402357671685E-3</v>
      </c>
    </row>
    <row r="24" spans="1:31" x14ac:dyDescent="0.25">
      <c r="B24" s="188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6"/>
      <c r="I24" s="39"/>
      <c r="W24" s="130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3">
        <v>2980700</v>
      </c>
      <c r="AC24" s="10">
        <v>109.43</v>
      </c>
      <c r="AD24" s="2">
        <f t="shared" si="0"/>
        <v>1.1400000000000006</v>
      </c>
      <c r="AE24" s="134">
        <f t="shared" si="1"/>
        <v>3.7607778389288082E-3</v>
      </c>
    </row>
    <row r="25" spans="1:31" x14ac:dyDescent="0.25">
      <c r="B25" s="188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6">
        <f>IF(C25=0, 0, (E25-D25)/D25)</f>
        <v>3.3863413421019818E-2</v>
      </c>
      <c r="I25" s="39"/>
      <c r="W25" s="130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3">
        <v>2304900</v>
      </c>
      <c r="AC25" s="10">
        <v>109.02</v>
      </c>
      <c r="AD25" s="2">
        <f t="shared" si="0"/>
        <v>1.0400000000000063</v>
      </c>
      <c r="AE25" s="134">
        <f t="shared" si="1"/>
        <v>-2.7510316368639653E-4</v>
      </c>
    </row>
    <row r="26" spans="1:31" x14ac:dyDescent="0.25">
      <c r="B26" s="188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6">
        <f>IF(C26=0, 0, (E26-D26)/D26)</f>
        <v>-1.6441232954309919E-3</v>
      </c>
      <c r="I26" s="39"/>
      <c r="W26" s="130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3">
        <v>2739700</v>
      </c>
      <c r="AC26" s="10">
        <v>109.05</v>
      </c>
      <c r="AD26" s="2">
        <f t="shared" si="0"/>
        <v>1.3299999999999983</v>
      </c>
      <c r="AE26" s="134">
        <f t="shared" si="1"/>
        <v>-9.6267368994641389E-3</v>
      </c>
    </row>
    <row r="27" spans="1:31" x14ac:dyDescent="0.25">
      <c r="B27" s="188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6"/>
      <c r="I27" s="39"/>
      <c r="W27" s="130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3">
        <v>4064900</v>
      </c>
      <c r="AC27" s="10">
        <v>110.11</v>
      </c>
      <c r="AD27" s="2">
        <f t="shared" si="0"/>
        <v>1.6099999999999994</v>
      </c>
      <c r="AE27" s="134">
        <f t="shared" si="1"/>
        <v>2.0103761348897464E-2</v>
      </c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3">
        <v>3756600</v>
      </c>
      <c r="AC28" s="10">
        <v>107.94</v>
      </c>
      <c r="AD28" s="2">
        <f t="shared" si="0"/>
        <v>0.98999999999999488</v>
      </c>
      <c r="AE28" s="134">
        <f t="shared" si="1"/>
        <v>4.0930232558138435E-3</v>
      </c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3">
        <v>3288500</v>
      </c>
      <c r="AC29" s="10">
        <v>107.5</v>
      </c>
      <c r="AD29" s="2">
        <f t="shared" si="0"/>
        <v>1.519999999999996</v>
      </c>
      <c r="AE29" s="134">
        <f t="shared" si="1"/>
        <v>-2.2275849266752967E-3</v>
      </c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3">
        <v>4632500</v>
      </c>
      <c r="AC30" s="10">
        <v>107.74</v>
      </c>
      <c r="AD30" s="2">
        <f t="shared" si="0"/>
        <v>2.5900000000000034</v>
      </c>
      <c r="AE30" s="134" t="e">
        <f t="shared" si="1"/>
        <v>#DIV/0!</v>
      </c>
    </row>
    <row r="31" spans="1:31" x14ac:dyDescent="0.25">
      <c r="W31" s="130">
        <v>42790</v>
      </c>
      <c r="X31" s="10" t="s">
        <v>316</v>
      </c>
      <c r="Y31" s="10"/>
      <c r="Z31" s="10"/>
      <c r="AA31" s="10"/>
      <c r="AB31" s="93"/>
      <c r="AC31" s="10"/>
      <c r="AD31" s="2">
        <f t="shared" si="0"/>
        <v>0</v>
      </c>
      <c r="AE31" s="134">
        <f t="shared" si="1"/>
        <v>-1</v>
      </c>
    </row>
    <row r="32" spans="1:31" x14ac:dyDescent="0.25">
      <c r="W32" s="130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3">
        <v>4876600</v>
      </c>
      <c r="AC32" s="10">
        <v>106.09</v>
      </c>
      <c r="AD32" s="2">
        <f t="shared" si="0"/>
        <v>3.2399999999999949</v>
      </c>
      <c r="AE32" s="134">
        <f t="shared" si="1"/>
        <v>-1.99538106235565E-2</v>
      </c>
    </row>
    <row r="33" spans="1:31" x14ac:dyDescent="0.25">
      <c r="W33" s="130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3">
        <v>4206100</v>
      </c>
      <c r="AC33" s="10">
        <v>108.25</v>
      </c>
      <c r="AD33" s="2">
        <f t="shared" si="0"/>
        <v>1.4899999999999949</v>
      </c>
      <c r="AE33" s="134">
        <f t="shared" si="1"/>
        <v>-7.3360843649701302E-3</v>
      </c>
    </row>
    <row r="34" spans="1:31" x14ac:dyDescent="0.25">
      <c r="L34" t="s">
        <v>209</v>
      </c>
      <c r="M34" s="2">
        <f>M49+K49-F49</f>
        <v>128.08999999999833</v>
      </c>
      <c r="W34" s="130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3">
        <v>4169800</v>
      </c>
      <c r="AC34" s="10">
        <v>109.05</v>
      </c>
      <c r="AD34" s="2">
        <f t="shared" si="0"/>
        <v>1.4699999999999989</v>
      </c>
      <c r="AE34" s="134">
        <f t="shared" si="1"/>
        <v>-1.3736263736264798E-3</v>
      </c>
    </row>
    <row r="35" spans="1:31" x14ac:dyDescent="0.25">
      <c r="A35" s="256" t="s">
        <v>1</v>
      </c>
      <c r="B35" s="256" t="s">
        <v>2</v>
      </c>
      <c r="C35" s="256" t="s">
        <v>4</v>
      </c>
      <c r="D35" s="257" t="s">
        <v>5</v>
      </c>
      <c r="E35" s="257" t="s">
        <v>94</v>
      </c>
      <c r="F35" s="257" t="s">
        <v>60</v>
      </c>
      <c r="G35" s="256" t="s">
        <v>3</v>
      </c>
      <c r="H35" s="256" t="s">
        <v>6</v>
      </c>
      <c r="I35" s="257" t="s">
        <v>7</v>
      </c>
      <c r="J35" s="257" t="s">
        <v>95</v>
      </c>
      <c r="K35" s="257" t="s">
        <v>61</v>
      </c>
      <c r="L35" s="256" t="s">
        <v>37</v>
      </c>
      <c r="M35" s="256" t="s">
        <v>38</v>
      </c>
      <c r="W35" s="130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3">
        <v>4246300</v>
      </c>
      <c r="AC35" s="10">
        <v>109.2</v>
      </c>
      <c r="AD35" s="2">
        <f t="shared" si="0"/>
        <v>1.8599999999999994</v>
      </c>
      <c r="AE35" s="134">
        <f t="shared" si="1"/>
        <v>3.9532959455732541E-3</v>
      </c>
    </row>
    <row r="36" spans="1:31" x14ac:dyDescent="0.25">
      <c r="A36" s="258" t="s">
        <v>42</v>
      </c>
      <c r="B36" s="259">
        <v>42184</v>
      </c>
      <c r="C36" s="254">
        <v>10</v>
      </c>
      <c r="D36" s="255">
        <v>99.05</v>
      </c>
      <c r="E36" s="255">
        <v>0</v>
      </c>
      <c r="F36" s="255">
        <f>C36*D36</f>
        <v>990.5</v>
      </c>
      <c r="G36" s="259">
        <v>42216</v>
      </c>
      <c r="H36" s="254">
        <v>40</v>
      </c>
      <c r="I36" s="255">
        <v>95.1</v>
      </c>
      <c r="J36" s="255">
        <v>7.0000000000000007E-2</v>
      </c>
      <c r="K36" s="255">
        <f>H36*I36-J36</f>
        <v>3803.93</v>
      </c>
      <c r="L36" s="259">
        <v>42277</v>
      </c>
      <c r="M36" s="255">
        <v>33</v>
      </c>
      <c r="W36" s="130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3">
        <v>2811100</v>
      </c>
      <c r="AC36" s="10">
        <v>108.77</v>
      </c>
      <c r="AD36" s="2">
        <f t="shared" si="0"/>
        <v>1.5</v>
      </c>
      <c r="AE36" s="134">
        <f t="shared" si="1"/>
        <v>-3.5727372663979517E-3</v>
      </c>
    </row>
    <row r="37" spans="1:31" x14ac:dyDescent="0.25">
      <c r="A37" s="261" t="s">
        <v>71</v>
      </c>
      <c r="B37" s="259">
        <v>42184</v>
      </c>
      <c r="C37" s="254">
        <v>20</v>
      </c>
      <c r="D37" s="255">
        <v>99.5</v>
      </c>
      <c r="E37" s="255">
        <v>0</v>
      </c>
      <c r="F37" s="255">
        <f t="shared" ref="F37:F43" si="2">C37*D37</f>
        <v>1990</v>
      </c>
      <c r="G37" s="259">
        <v>42216</v>
      </c>
      <c r="H37" s="254">
        <v>20</v>
      </c>
      <c r="I37" s="255">
        <v>95.6</v>
      </c>
      <c r="J37" s="255">
        <v>0.04</v>
      </c>
      <c r="K37" s="255">
        <f>H37*I37-J37</f>
        <v>1911.96</v>
      </c>
      <c r="L37" s="254"/>
      <c r="M37" s="254"/>
      <c r="W37" s="130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3">
        <v>3352900</v>
      </c>
      <c r="AC37" s="10">
        <v>109.16</v>
      </c>
      <c r="AD37" s="2">
        <f t="shared" si="0"/>
        <v>1.8199999999999932</v>
      </c>
      <c r="AE37" s="134">
        <f t="shared" si="1"/>
        <v>5.7121798415329383E-3</v>
      </c>
    </row>
    <row r="38" spans="1:31" x14ac:dyDescent="0.25">
      <c r="A38" s="254"/>
      <c r="B38" s="259">
        <v>42184</v>
      </c>
      <c r="C38" s="254">
        <v>10</v>
      </c>
      <c r="D38" s="255">
        <v>98.35</v>
      </c>
      <c r="E38" s="255">
        <v>0</v>
      </c>
      <c r="F38" s="255">
        <f t="shared" si="2"/>
        <v>983.5</v>
      </c>
      <c r="G38" s="259">
        <v>42304</v>
      </c>
      <c r="H38" s="254">
        <v>60</v>
      </c>
      <c r="I38" s="255">
        <v>97.2</v>
      </c>
      <c r="J38" s="255">
        <v>0.11</v>
      </c>
      <c r="K38" s="255">
        <f>H38*I38-J38</f>
        <v>5831.89</v>
      </c>
      <c r="L38" s="254"/>
      <c r="M38" s="254"/>
      <c r="W38" s="130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3">
        <v>2890300</v>
      </c>
      <c r="AC38" s="10">
        <v>108.54</v>
      </c>
      <c r="AD38" s="2">
        <f t="shared" si="0"/>
        <v>1.4200000000000017</v>
      </c>
      <c r="AE38" s="134">
        <f t="shared" si="1"/>
        <v>7.7058768916535847E-3</v>
      </c>
    </row>
    <row r="39" spans="1:31" x14ac:dyDescent="0.25">
      <c r="A39" s="254"/>
      <c r="B39" s="259">
        <v>42184</v>
      </c>
      <c r="C39" s="254">
        <v>20</v>
      </c>
      <c r="D39" s="255">
        <v>98.1</v>
      </c>
      <c r="E39" s="255">
        <v>0</v>
      </c>
      <c r="F39" s="255">
        <f t="shared" si="2"/>
        <v>1962</v>
      </c>
      <c r="G39" s="259">
        <v>42409</v>
      </c>
      <c r="H39" s="254">
        <v>30</v>
      </c>
      <c r="I39" s="255">
        <v>76.650000000000006</v>
      </c>
      <c r="J39" s="255">
        <v>0.04</v>
      </c>
      <c r="K39" s="255">
        <f>H39*I39-J39</f>
        <v>2299.46</v>
      </c>
      <c r="L39" s="254"/>
      <c r="M39" s="254"/>
      <c r="W39" s="130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3">
        <v>2640000</v>
      </c>
      <c r="AC39" s="10">
        <v>107.71</v>
      </c>
      <c r="AD39" s="2">
        <f t="shared" si="0"/>
        <v>1.4099999999999966</v>
      </c>
      <c r="AE39" s="134">
        <f t="shared" si="1"/>
        <v>4.1954130151033997E-3</v>
      </c>
    </row>
    <row r="40" spans="1:31" x14ac:dyDescent="0.25">
      <c r="A40" s="254"/>
      <c r="B40" s="259">
        <v>42213</v>
      </c>
      <c r="C40" s="254">
        <v>10</v>
      </c>
      <c r="D40" s="255">
        <v>92.5</v>
      </c>
      <c r="E40" s="255">
        <v>0</v>
      </c>
      <c r="F40" s="255">
        <f t="shared" si="2"/>
        <v>925</v>
      </c>
      <c r="G40" s="254"/>
      <c r="H40" s="254"/>
      <c r="I40" s="255"/>
      <c r="J40" s="255"/>
      <c r="K40" s="255"/>
      <c r="L40" s="254"/>
      <c r="M40" s="254"/>
      <c r="W40" s="130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3">
        <v>2778000</v>
      </c>
      <c r="AC40" s="10">
        <v>107.26</v>
      </c>
      <c r="AD40" s="2">
        <f t="shared" si="0"/>
        <v>0.78000000000000114</v>
      </c>
      <c r="AE40" s="134">
        <f t="shared" si="1"/>
        <v>4.2130886621103425E-3</v>
      </c>
    </row>
    <row r="41" spans="1:31" x14ac:dyDescent="0.25">
      <c r="A41" s="254"/>
      <c r="B41" s="259">
        <v>42213</v>
      </c>
      <c r="C41" s="254">
        <v>10</v>
      </c>
      <c r="D41" s="255">
        <v>91.65</v>
      </c>
      <c r="E41" s="255">
        <v>0</v>
      </c>
      <c r="F41" s="255">
        <f t="shared" si="2"/>
        <v>916.5</v>
      </c>
      <c r="G41" s="254"/>
      <c r="H41" s="254"/>
      <c r="I41" s="255"/>
      <c r="J41" s="255"/>
      <c r="K41" s="255"/>
      <c r="L41" s="254"/>
      <c r="M41" s="254"/>
      <c r="W41" s="130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3">
        <v>3603900</v>
      </c>
      <c r="AC41" s="10">
        <v>106.81</v>
      </c>
      <c r="AD41" s="2">
        <f t="shared" si="0"/>
        <v>0.75999999999999091</v>
      </c>
      <c r="AE41" s="134">
        <f t="shared" si="1"/>
        <v>7.4955495174733322E-4</v>
      </c>
    </row>
    <row r="42" spans="1:31" ht="20.25" thickBot="1" x14ac:dyDescent="0.35">
      <c r="A42" s="254"/>
      <c r="B42" s="259">
        <v>42213</v>
      </c>
      <c r="C42" s="254">
        <v>15</v>
      </c>
      <c r="D42" s="255">
        <v>94</v>
      </c>
      <c r="E42" s="255">
        <v>0</v>
      </c>
      <c r="F42" s="255">
        <f t="shared" si="2"/>
        <v>1410</v>
      </c>
      <c r="G42" s="254"/>
      <c r="H42" s="254"/>
      <c r="I42" s="255"/>
      <c r="J42" s="255"/>
      <c r="K42" s="255"/>
      <c r="L42" s="254"/>
      <c r="M42" s="254"/>
      <c r="T42" s="89" t="s">
        <v>112</v>
      </c>
      <c r="W42" s="130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3">
        <v>3901400</v>
      </c>
      <c r="AC42" s="10">
        <v>106.73</v>
      </c>
      <c r="AD42" s="2">
        <f t="shared" si="0"/>
        <v>1.6600000000000108</v>
      </c>
      <c r="AE42" s="134">
        <f t="shared" si="1"/>
        <v>-2.8961136023916145E-3</v>
      </c>
    </row>
    <row r="43" spans="1:31" ht="15.75" thickTop="1" x14ac:dyDescent="0.25">
      <c r="A43" s="254"/>
      <c r="B43" s="259">
        <v>42213</v>
      </c>
      <c r="C43" s="254">
        <v>15</v>
      </c>
      <c r="D43" s="255">
        <v>92.75</v>
      </c>
      <c r="E43" s="255">
        <v>0</v>
      </c>
      <c r="F43" s="255">
        <f t="shared" si="2"/>
        <v>1391.25</v>
      </c>
      <c r="G43" s="254"/>
      <c r="H43" s="254"/>
      <c r="I43" s="255"/>
      <c r="J43" s="255"/>
      <c r="K43" s="255"/>
      <c r="L43" s="254"/>
      <c r="M43" s="254"/>
      <c r="T43" s="95" t="s">
        <v>97</v>
      </c>
      <c r="U43" s="126">
        <v>115.19</v>
      </c>
      <c r="W43" s="130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3">
        <v>3493400</v>
      </c>
      <c r="AC43" s="10">
        <v>107.04</v>
      </c>
      <c r="AD43" s="2">
        <f t="shared" si="0"/>
        <v>1.4100000000000108</v>
      </c>
      <c r="AE43" s="134">
        <f t="shared" si="1"/>
        <v>-3.7355248412396236E-4</v>
      </c>
    </row>
    <row r="44" spans="1:31" x14ac:dyDescent="0.25">
      <c r="A44" s="254"/>
      <c r="B44" s="259">
        <v>42226</v>
      </c>
      <c r="C44" s="254">
        <v>10</v>
      </c>
      <c r="D44" s="255">
        <v>94.99</v>
      </c>
      <c r="E44" s="255">
        <v>0</v>
      </c>
      <c r="F44" s="255">
        <f>C44*D44</f>
        <v>949.9</v>
      </c>
      <c r="G44" s="254"/>
      <c r="H44" s="254"/>
      <c r="I44" s="255"/>
      <c r="J44" s="255"/>
      <c r="K44" s="255"/>
      <c r="L44" s="254"/>
      <c r="M44" s="254"/>
      <c r="T44" s="85" t="s">
        <v>98</v>
      </c>
      <c r="U44" s="127">
        <v>115.59</v>
      </c>
      <c r="W44" s="130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3">
        <v>2858100</v>
      </c>
      <c r="AC44" s="10">
        <v>107.08</v>
      </c>
      <c r="AD44" s="2">
        <f t="shared" si="0"/>
        <v>1.1099999999999994</v>
      </c>
      <c r="AE44" s="134">
        <f t="shared" si="1"/>
        <v>-7.5076466771711869E-3</v>
      </c>
    </row>
    <row r="45" spans="1:31" x14ac:dyDescent="0.25">
      <c r="A45" s="254"/>
      <c r="B45" s="259">
        <v>42375</v>
      </c>
      <c r="C45" s="254">
        <v>30</v>
      </c>
      <c r="D45" s="255">
        <v>74.45</v>
      </c>
      <c r="E45" s="255">
        <v>0</v>
      </c>
      <c r="F45" s="255">
        <f>C45*D45</f>
        <v>2233.5</v>
      </c>
      <c r="G45" s="254"/>
      <c r="H45" s="254"/>
      <c r="I45" s="255"/>
      <c r="J45" s="255"/>
      <c r="K45" s="255"/>
      <c r="L45" s="254"/>
      <c r="M45" s="254"/>
      <c r="T45" s="85" t="s">
        <v>99</v>
      </c>
      <c r="U45" s="127" t="s">
        <v>128</v>
      </c>
      <c r="W45" s="130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3">
        <v>3249600</v>
      </c>
      <c r="AC45" s="10">
        <v>107.89</v>
      </c>
      <c r="AD45" s="2">
        <f t="shared" si="0"/>
        <v>1.4900000000000091</v>
      </c>
      <c r="AE45" s="134">
        <f t="shared" si="1"/>
        <v>1.1247539600712342E-2</v>
      </c>
    </row>
    <row r="46" spans="1:31" ht="20.25" thickBot="1" x14ac:dyDescent="0.3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804" t="s">
        <v>78</v>
      </c>
      <c r="P46" s="804"/>
      <c r="Q46" s="33"/>
      <c r="R46"/>
      <c r="T46" s="85" t="s">
        <v>100</v>
      </c>
      <c r="U46" s="127" t="s">
        <v>128</v>
      </c>
      <c r="W46" s="130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3">
        <v>4225900</v>
      </c>
      <c r="AC46" s="10">
        <v>106.69</v>
      </c>
      <c r="AD46" s="2">
        <f t="shared" si="0"/>
        <v>1.6799999999999926</v>
      </c>
      <c r="AE46" s="134">
        <f t="shared" si="1"/>
        <v>-3.735176020170039E-3</v>
      </c>
    </row>
    <row r="47" spans="1:31" ht="15.75" thickTop="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81">
        <v>1.1000000000000001</v>
      </c>
      <c r="P47" s="81">
        <f>O47*$Q$4</f>
        <v>140.00800000000001</v>
      </c>
      <c r="Q47" s="33"/>
      <c r="R47"/>
      <c r="T47" s="85" t="s">
        <v>101</v>
      </c>
      <c r="U47" s="127">
        <v>119.17</v>
      </c>
      <c r="W47" s="130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3">
        <v>4374500</v>
      </c>
      <c r="AC47" s="10">
        <v>107.09</v>
      </c>
      <c r="AD47" s="2">
        <f t="shared" si="0"/>
        <v>1.6699999999999875</v>
      </c>
      <c r="AE47" s="134">
        <f t="shared" si="1"/>
        <v>1.0473674278165701E-2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81">
        <v>1.0900000000000001</v>
      </c>
      <c r="P48" s="81">
        <f t="shared" ref="P48:P67" si="3">O48*$Q$4</f>
        <v>138.73520000000002</v>
      </c>
      <c r="Q48" s="33"/>
      <c r="R48"/>
      <c r="T48" s="85" t="s">
        <v>102</v>
      </c>
      <c r="U48" s="127">
        <v>1.4616</v>
      </c>
      <c r="W48" s="130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3">
        <v>4534600</v>
      </c>
      <c r="AC48" s="10">
        <v>105.98</v>
      </c>
      <c r="AD48" s="2">
        <f t="shared" si="0"/>
        <v>2.3599999999999994</v>
      </c>
      <c r="AE48" s="134">
        <f t="shared" si="1"/>
        <v>-1.3129714126082437E-2</v>
      </c>
    </row>
    <row r="49" spans="1:3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3"/>
        <v>137.4624</v>
      </c>
      <c r="Q49" s="33"/>
      <c r="R49"/>
      <c r="T49" s="85" t="s">
        <v>103</v>
      </c>
      <c r="U49" s="92" t="s">
        <v>646</v>
      </c>
      <c r="W49" s="130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3">
        <v>5334200</v>
      </c>
      <c r="AC49" s="10">
        <v>107.39</v>
      </c>
      <c r="AD49" s="2">
        <f t="shared" si="0"/>
        <v>2.6199999999999903</v>
      </c>
      <c r="AE49" s="134">
        <f t="shared" si="1"/>
        <v>-1.0959661079388394E-2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81">
        <v>1.07</v>
      </c>
      <c r="P50" s="81">
        <f t="shared" si="3"/>
        <v>136.18960000000001</v>
      </c>
      <c r="Q50" s="81"/>
      <c r="R50"/>
      <c r="T50" s="85"/>
      <c r="U50" s="127"/>
      <c r="W50" s="130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3">
        <v>3555400</v>
      </c>
      <c r="AC50" s="10">
        <v>108.58</v>
      </c>
      <c r="AD50" s="2">
        <f t="shared" si="0"/>
        <v>2.2199999999999989</v>
      </c>
      <c r="AE50" s="134">
        <f t="shared" si="1"/>
        <v>-8.6734228065370456E-3</v>
      </c>
    </row>
    <row r="51" spans="1:31" x14ac:dyDescent="0.25">
      <c r="O51" s="81">
        <v>1.06</v>
      </c>
      <c r="P51" s="81">
        <f t="shared" si="3"/>
        <v>134.91679999999999</v>
      </c>
      <c r="Q51" s="81"/>
      <c r="R51"/>
      <c r="T51" s="85" t="s">
        <v>104</v>
      </c>
      <c r="U51" s="127" t="s">
        <v>647</v>
      </c>
      <c r="W51" s="130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3">
        <v>4607200</v>
      </c>
      <c r="AC51" s="10">
        <v>109.53</v>
      </c>
      <c r="AD51" s="2">
        <f t="shared" si="0"/>
        <v>1.8999999999999915</v>
      </c>
      <c r="AE51" s="134">
        <f t="shared" si="1"/>
        <v>-2.3681573913836296E-3</v>
      </c>
    </row>
    <row r="52" spans="1:31" x14ac:dyDescent="0.25">
      <c r="O52" s="81">
        <v>1.05</v>
      </c>
      <c r="P52" s="81">
        <f t="shared" si="3"/>
        <v>133.64400000000001</v>
      </c>
      <c r="Q52" s="81"/>
      <c r="R52"/>
      <c r="T52" s="85" t="s">
        <v>105</v>
      </c>
      <c r="U52" s="127" t="s">
        <v>518</v>
      </c>
      <c r="W52" s="130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3">
        <v>5137900</v>
      </c>
      <c r="AC52" s="10">
        <v>109.79</v>
      </c>
      <c r="AD52" s="2">
        <f t="shared" si="0"/>
        <v>1.9899999999999949</v>
      </c>
      <c r="AE52" s="134">
        <f t="shared" si="1"/>
        <v>1.5633672525439568E-2</v>
      </c>
    </row>
    <row r="53" spans="1:31" x14ac:dyDescent="0.25">
      <c r="O53" s="81">
        <v>1.04</v>
      </c>
      <c r="P53" s="81">
        <f t="shared" si="3"/>
        <v>132.37120000000002</v>
      </c>
      <c r="Q53" s="81"/>
      <c r="R53"/>
      <c r="T53" s="85" t="s">
        <v>106</v>
      </c>
      <c r="U53" s="128">
        <v>1726477</v>
      </c>
      <c r="W53" s="130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3">
        <v>4564900</v>
      </c>
      <c r="AC53" s="10">
        <v>108.1</v>
      </c>
      <c r="AD53" s="2">
        <f t="shared" si="0"/>
        <v>1.6500000000000057</v>
      </c>
      <c r="AE53" s="134">
        <f t="shared" si="1"/>
        <v>6.705159247532011E-3</v>
      </c>
    </row>
    <row r="54" spans="1:31" x14ac:dyDescent="0.25">
      <c r="O54" s="81">
        <v>1.03</v>
      </c>
      <c r="P54" s="81">
        <f t="shared" si="3"/>
        <v>131.0984</v>
      </c>
      <c r="Q54" s="81"/>
      <c r="R54"/>
      <c r="T54" s="85" t="s">
        <v>109</v>
      </c>
      <c r="U54" s="128">
        <v>2143790</v>
      </c>
      <c r="W54" s="130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3">
        <v>3932200</v>
      </c>
      <c r="AC54" s="10">
        <v>107.38</v>
      </c>
      <c r="AD54" s="2">
        <f t="shared" si="0"/>
        <v>1.7099999999999937</v>
      </c>
      <c r="AE54" s="134">
        <f t="shared" si="1"/>
        <v>-5.5565845526950319E-3</v>
      </c>
    </row>
    <row r="55" spans="1:31" x14ac:dyDescent="0.25">
      <c r="O55" s="81">
        <v>1.02</v>
      </c>
      <c r="P55" s="81">
        <f t="shared" si="3"/>
        <v>129.82560000000001</v>
      </c>
      <c r="Q55" s="81"/>
      <c r="R55"/>
      <c r="T55" s="85" t="s">
        <v>107</v>
      </c>
      <c r="U55" s="127" t="s">
        <v>648</v>
      </c>
      <c r="W55" s="130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3">
        <v>6440000</v>
      </c>
      <c r="AC55" s="10">
        <v>107.98</v>
      </c>
      <c r="AD55" s="2">
        <f t="shared" si="0"/>
        <v>2.0300000000000011</v>
      </c>
      <c r="AE55" s="134">
        <f t="shared" si="1"/>
        <v>2.2150700492237885E-2</v>
      </c>
    </row>
    <row r="56" spans="1:31" x14ac:dyDescent="0.25">
      <c r="O56" s="81">
        <v>1.01</v>
      </c>
      <c r="P56" s="81">
        <f t="shared" si="3"/>
        <v>128.55279999999999</v>
      </c>
      <c r="Q56" s="81"/>
      <c r="R56"/>
      <c r="T56" s="85" t="s">
        <v>110</v>
      </c>
      <c r="U56" s="127">
        <v>20.41</v>
      </c>
      <c r="W56" s="130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3">
        <v>10103900</v>
      </c>
      <c r="AC56" s="10">
        <v>105.64</v>
      </c>
      <c r="AD56" s="2">
        <f t="shared" si="0"/>
        <v>3.5400000000000063</v>
      </c>
      <c r="AE56" s="134">
        <f t="shared" si="1"/>
        <v>2.384182981197891E-2</v>
      </c>
    </row>
    <row r="57" spans="1:31" x14ac:dyDescent="0.25">
      <c r="O57" s="81">
        <v>1</v>
      </c>
      <c r="P57" s="81">
        <f t="shared" si="3"/>
        <v>127.28</v>
      </c>
      <c r="Q57" s="81"/>
      <c r="R57"/>
      <c r="T57" s="85" t="s">
        <v>111</v>
      </c>
      <c r="U57" s="127">
        <v>5.62</v>
      </c>
      <c r="W57" s="130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3">
        <v>5363900</v>
      </c>
      <c r="AC57" s="10">
        <v>103.18</v>
      </c>
      <c r="AD57" s="2">
        <f t="shared" si="0"/>
        <v>2.8400000000000034</v>
      </c>
      <c r="AE57" s="134">
        <f t="shared" si="1"/>
        <v>3.8918077446974397E-3</v>
      </c>
    </row>
    <row r="58" spans="1:31" x14ac:dyDescent="0.25">
      <c r="O58" s="81">
        <v>0.99</v>
      </c>
      <c r="P58" s="81">
        <f t="shared" si="3"/>
        <v>126.0072</v>
      </c>
      <c r="Q58" s="81"/>
      <c r="R58"/>
      <c r="T58" s="85" t="s">
        <v>108</v>
      </c>
      <c r="U58" s="127" t="s">
        <v>566</v>
      </c>
      <c r="W58" s="130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3">
        <v>3401800</v>
      </c>
      <c r="AC58" s="10">
        <v>102.78</v>
      </c>
      <c r="AD58" s="2">
        <f t="shared" si="0"/>
        <v>1.9699999999999989</v>
      </c>
      <c r="AE58" s="134">
        <f t="shared" si="1"/>
        <v>-1.786908743430482E-2</v>
      </c>
    </row>
    <row r="59" spans="1:31" x14ac:dyDescent="0.25">
      <c r="O59" s="81">
        <v>0.98</v>
      </c>
      <c r="P59" s="81">
        <f t="shared" si="3"/>
        <v>124.73439999999999</v>
      </c>
      <c r="Q59" s="81"/>
      <c r="R59"/>
      <c r="W59" s="130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3">
        <v>2743400</v>
      </c>
      <c r="AC59" s="10">
        <v>104.65</v>
      </c>
      <c r="AD59" s="2">
        <f t="shared" si="0"/>
        <v>1.1700000000000017</v>
      </c>
      <c r="AE59" s="134">
        <f t="shared" si="1"/>
        <v>5.1868216309673976E-3</v>
      </c>
    </row>
    <row r="60" spans="1:31" x14ac:dyDescent="0.25">
      <c r="O60" s="81">
        <v>0.97</v>
      </c>
      <c r="P60" s="81">
        <f t="shared" si="3"/>
        <v>123.4616</v>
      </c>
      <c r="Q60" s="81"/>
      <c r="R60"/>
      <c r="W60" s="130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3">
        <v>2397000</v>
      </c>
      <c r="AC60" s="10">
        <v>104.11</v>
      </c>
      <c r="AD60" s="2">
        <f t="shared" si="0"/>
        <v>1.6099999999999994</v>
      </c>
      <c r="AE60" s="134">
        <f t="shared" si="1"/>
        <v>4.1473765432098464E-3</v>
      </c>
    </row>
    <row r="61" spans="1:31" x14ac:dyDescent="0.25">
      <c r="O61" s="81">
        <v>0.96</v>
      </c>
      <c r="P61" s="81">
        <f t="shared" si="3"/>
        <v>122.1888</v>
      </c>
      <c r="Q61" s="81"/>
      <c r="R61"/>
      <c r="W61" s="130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3">
        <v>2864800</v>
      </c>
      <c r="AC61" s="10">
        <v>103.68</v>
      </c>
      <c r="AD61" s="2">
        <f t="shared" si="0"/>
        <v>1.7999999999999972</v>
      </c>
      <c r="AE61" s="134">
        <f t="shared" si="1"/>
        <v>8.2660702129728758E-3</v>
      </c>
    </row>
    <row r="62" spans="1:31" x14ac:dyDescent="0.25">
      <c r="O62" s="81">
        <v>0.95</v>
      </c>
      <c r="P62" s="81">
        <f t="shared" si="3"/>
        <v>120.916</v>
      </c>
      <c r="Q62" s="81"/>
      <c r="R62"/>
      <c r="W62" s="130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3">
        <v>3562700</v>
      </c>
      <c r="AC62" s="10">
        <v>102.83</v>
      </c>
      <c r="AD62" s="2">
        <f t="shared" si="0"/>
        <v>2.3299999999999983</v>
      </c>
      <c r="AE62" s="134">
        <f t="shared" si="1"/>
        <v>9.7211311861742367E-3</v>
      </c>
    </row>
    <row r="63" spans="1:31" x14ac:dyDescent="0.25">
      <c r="O63" s="81">
        <v>0.94</v>
      </c>
      <c r="P63" s="81">
        <f t="shared" si="3"/>
        <v>119.64319999999999</v>
      </c>
      <c r="Q63" s="81"/>
      <c r="R63"/>
      <c r="T63" s="84"/>
      <c r="W63" s="130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3">
        <v>2968600</v>
      </c>
      <c r="AC63" s="10">
        <v>101.84</v>
      </c>
      <c r="AD63" s="2">
        <f t="shared" si="0"/>
        <v>1.8399999999999892</v>
      </c>
      <c r="AE63" s="134">
        <f t="shared" si="1"/>
        <v>-7.4074074074073071E-3</v>
      </c>
    </row>
    <row r="64" spans="1:31" x14ac:dyDescent="0.25">
      <c r="O64" s="81">
        <v>0.93</v>
      </c>
      <c r="P64" s="81">
        <f t="shared" si="3"/>
        <v>118.3704</v>
      </c>
      <c r="Q64" s="81"/>
      <c r="R64"/>
      <c r="S64" s="84"/>
      <c r="T64"/>
      <c r="W64" s="130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3">
        <v>3862400</v>
      </c>
      <c r="AC64" s="10">
        <v>102.6</v>
      </c>
      <c r="AD64" s="2">
        <f t="shared" si="0"/>
        <v>2.5699999999999932</v>
      </c>
      <c r="AE64" s="134">
        <f t="shared" si="1"/>
        <v>1.0339734121122657E-2</v>
      </c>
    </row>
    <row r="65" spans="15:31" x14ac:dyDescent="0.25">
      <c r="O65" s="81">
        <v>0.92</v>
      </c>
      <c r="P65" s="81">
        <f t="shared" si="3"/>
        <v>117.0976</v>
      </c>
      <c r="Q65" s="81"/>
      <c r="R65"/>
      <c r="S65" s="84"/>
      <c r="T65"/>
      <c r="W65" s="130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3">
        <v>4180400</v>
      </c>
      <c r="AC65" s="10">
        <v>101.55</v>
      </c>
      <c r="AD65" s="2">
        <f t="shared" si="0"/>
        <v>2.1400000000000006</v>
      </c>
      <c r="AE65" s="134">
        <f t="shared" si="1"/>
        <v>-9.8478939157566892E-3</v>
      </c>
    </row>
    <row r="66" spans="15:31" x14ac:dyDescent="0.25">
      <c r="O66" s="81">
        <v>0.91</v>
      </c>
      <c r="P66" s="81">
        <f t="shared" si="3"/>
        <v>115.82480000000001</v>
      </c>
      <c r="Q66" s="81"/>
      <c r="R66"/>
      <c r="S66" s="84"/>
      <c r="T66"/>
      <c r="W66" s="130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3">
        <v>3668300</v>
      </c>
      <c r="AC66" s="10">
        <v>102.56</v>
      </c>
      <c r="AD66" s="2">
        <f t="shared" si="0"/>
        <v>1.7999999999999972</v>
      </c>
      <c r="AE66" s="134">
        <f t="shared" si="1"/>
        <v>6.0820090249167347E-3</v>
      </c>
    </row>
    <row r="67" spans="15:31" x14ac:dyDescent="0.25">
      <c r="O67" s="81">
        <v>0.9</v>
      </c>
      <c r="P67" s="81">
        <f t="shared" si="3"/>
        <v>114.55200000000001</v>
      </c>
      <c r="Q67" s="81"/>
      <c r="R67"/>
      <c r="S67" s="84"/>
      <c r="T67"/>
      <c r="W67" s="130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3">
        <v>3824300</v>
      </c>
      <c r="AC67" s="10">
        <v>101.94</v>
      </c>
      <c r="AD67" s="2">
        <f>Y67-Z67</f>
        <v>3.2200000000000131</v>
      </c>
      <c r="AE67" s="134">
        <f>AC67/AC68-1</f>
        <v>-1.1155301193132239E-2</v>
      </c>
    </row>
    <row r="68" spans="15:31" x14ac:dyDescent="0.25">
      <c r="W68" s="130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3">
        <v>2914700</v>
      </c>
      <c r="AC68" s="10">
        <v>103.09</v>
      </c>
      <c r="AD68" s="2">
        <f>Y68-Z68</f>
        <v>1.5900000000000034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715" priority="11">
      <formula>F24&gt;0</formula>
    </cfRule>
    <cfRule type="expression" dxfId="714" priority="12">
      <formula>F24&lt;0</formula>
    </cfRule>
  </conditionalFormatting>
  <conditionalFormatting sqref="H27:H30">
    <cfRule type="expression" dxfId="713" priority="9">
      <formula>H27&gt;0</formula>
    </cfRule>
    <cfRule type="expression" dxfId="712" priority="10">
      <formula>H27&lt;0</formula>
    </cfRule>
  </conditionalFormatting>
  <conditionalFormatting sqref="F25">
    <cfRule type="expression" dxfId="711" priority="7">
      <formula>F25&gt;0</formula>
    </cfRule>
    <cfRule type="expression" dxfId="710" priority="8">
      <formula>F25&lt;0</formula>
    </cfRule>
  </conditionalFormatting>
  <conditionalFormatting sqref="H24:H26">
    <cfRule type="expression" dxfId="709" priority="5">
      <formula>H24&gt;0</formula>
    </cfRule>
    <cfRule type="expression" dxfId="708" priority="6">
      <formula>H24&lt;0</formula>
    </cfRule>
  </conditionalFormatting>
  <conditionalFormatting sqref="Q7">
    <cfRule type="expression" dxfId="707" priority="3">
      <formula>Q7&gt;0</formula>
    </cfRule>
    <cfRule type="expression" dxfId="706" priority="4">
      <formula>Q7&lt;0</formula>
    </cfRule>
  </conditionalFormatting>
  <conditionalFormatting sqref="Q8">
    <cfRule type="expression" dxfId="705" priority="1">
      <formula>Q8&gt;0</formula>
    </cfRule>
    <cfRule type="expression" dxfId="704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271</v>
      </c>
      <c r="B2" s="72"/>
      <c r="C2" s="4"/>
      <c r="D2" s="3"/>
      <c r="E2" s="3"/>
      <c r="F2" s="3"/>
      <c r="G2" s="72"/>
      <c r="H2" s="180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56">
        <v>49.93</v>
      </c>
      <c r="Y2" s="39">
        <v>50.75</v>
      </c>
      <c r="Z2" s="39">
        <v>49.59</v>
      </c>
      <c r="AA2" s="356">
        <v>49.78</v>
      </c>
      <c r="AB2" s="93">
        <v>1141600</v>
      </c>
      <c r="AC2" s="238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O3" s="11" t="s">
        <v>58</v>
      </c>
      <c r="Q3" s="78">
        <f>IF(Q2=0, Q4, (F18-K18-M18)/Q2)</f>
        <v>56.21</v>
      </c>
      <c r="T3" s="118"/>
      <c r="W3" s="92">
        <v>42829</v>
      </c>
      <c r="X3" s="356">
        <v>50.04</v>
      </c>
      <c r="Y3" s="39">
        <v>50.15</v>
      </c>
      <c r="Z3" s="39">
        <v>49.32</v>
      </c>
      <c r="AA3" s="356">
        <v>49.76</v>
      </c>
      <c r="AB3" s="93">
        <v>1479500</v>
      </c>
      <c r="AC3" s="238">
        <v>49.76</v>
      </c>
      <c r="AD3" s="2">
        <f>Y3-Z3</f>
        <v>0.82999999999999829</v>
      </c>
      <c r="AE3" s="134">
        <f>AC3/AC4-1</f>
        <v>-8.5674437138871795E-3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O4" s="11" t="s">
        <v>66</v>
      </c>
      <c r="Q4" s="54">
        <v>56.21</v>
      </c>
      <c r="R4" s="505">
        <v>2.5000000000000001E-3</v>
      </c>
      <c r="T4" s="118"/>
      <c r="W4" s="92">
        <v>42828</v>
      </c>
      <c r="X4" s="356">
        <v>50.74</v>
      </c>
      <c r="Y4" s="39">
        <v>50.95</v>
      </c>
      <c r="Z4" s="39">
        <v>50</v>
      </c>
      <c r="AA4" s="356">
        <v>50.19</v>
      </c>
      <c r="AB4" s="93">
        <v>1299500</v>
      </c>
      <c r="AC4" s="238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56">
        <v>50.99</v>
      </c>
      <c r="Y5" s="39">
        <v>51.2</v>
      </c>
      <c r="Z5" s="39">
        <v>50.44</v>
      </c>
      <c r="AA5" s="356">
        <v>50.73</v>
      </c>
      <c r="AB5" s="93">
        <v>1105900</v>
      </c>
      <c r="AC5" s="238">
        <v>50.73</v>
      </c>
      <c r="AD5" s="2">
        <f t="shared" si="0"/>
        <v>0.76000000000000512</v>
      </c>
      <c r="AE5" s="134">
        <f t="shared" si="1"/>
        <v>-9.9531615925059214E-3</v>
      </c>
      <c r="AK5" s="229"/>
      <c r="AN5" s="229"/>
    </row>
    <row r="6" spans="1:4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56">
        <v>50.89</v>
      </c>
      <c r="Y6" s="39">
        <v>51.37</v>
      </c>
      <c r="Z6" s="39">
        <v>50.89</v>
      </c>
      <c r="AA6" s="356">
        <v>51.24</v>
      </c>
      <c r="AB6" s="93">
        <v>754000</v>
      </c>
      <c r="AC6" s="238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56">
        <v>51.09</v>
      </c>
      <c r="Y7" s="39">
        <v>51.3</v>
      </c>
      <c r="Z7" s="39">
        <v>50.65</v>
      </c>
      <c r="AA7" s="356">
        <v>50.86</v>
      </c>
      <c r="AB7" s="93">
        <v>1237800</v>
      </c>
      <c r="AC7" s="238">
        <v>50.86</v>
      </c>
      <c r="AD7" s="2">
        <f t="shared" si="0"/>
        <v>0.64999999999999858</v>
      </c>
      <c r="AE7" s="134">
        <f t="shared" si="1"/>
        <v>-8.5769980506822385E-3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56">
        <v>51.8</v>
      </c>
      <c r="Y8" s="39">
        <v>52.1</v>
      </c>
      <c r="Z8" s="39">
        <v>51.13</v>
      </c>
      <c r="AA8" s="356">
        <v>51.3</v>
      </c>
      <c r="AB8" s="93">
        <v>1548100</v>
      </c>
      <c r="AC8" s="238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356">
        <v>50.15</v>
      </c>
      <c r="Y9" s="39">
        <v>51.17</v>
      </c>
      <c r="Z9" s="39">
        <v>49.92</v>
      </c>
      <c r="AA9" s="356">
        <v>51.02</v>
      </c>
      <c r="AB9" s="93">
        <v>887400</v>
      </c>
      <c r="AC9" s="238">
        <v>51.02</v>
      </c>
      <c r="AD9" s="2">
        <f t="shared" si="0"/>
        <v>1.25</v>
      </c>
      <c r="AE9" s="134">
        <f t="shared" si="1"/>
        <v>1.0697305863708539E-2</v>
      </c>
      <c r="AK9" s="229"/>
      <c r="AN9" s="229"/>
    </row>
    <row r="10" spans="1:40" ht="12.75" customHeight="1" x14ac:dyDescent="0.25">
      <c r="O10" s="11" t="s">
        <v>209</v>
      </c>
      <c r="Q10" s="2">
        <f>M37</f>
        <v>427.92000000000007</v>
      </c>
      <c r="W10" s="92">
        <v>42818</v>
      </c>
      <c r="X10" s="356">
        <v>51.34</v>
      </c>
      <c r="Y10" s="39">
        <v>51.53</v>
      </c>
      <c r="Z10" s="39">
        <v>50.3</v>
      </c>
      <c r="AA10" s="356">
        <v>50.48</v>
      </c>
      <c r="AB10" s="93">
        <v>1306900</v>
      </c>
      <c r="AC10" s="238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56">
        <v>50.98</v>
      </c>
      <c r="Y11" s="39">
        <v>51.67</v>
      </c>
      <c r="Z11" s="39">
        <v>50.88</v>
      </c>
      <c r="AA11" s="356">
        <v>51.11</v>
      </c>
      <c r="AB11" s="93">
        <v>1081500</v>
      </c>
      <c r="AC11" s="238">
        <v>51.11</v>
      </c>
      <c r="AD11" s="2">
        <f t="shared" si="0"/>
        <v>0.78999999999999915</v>
      </c>
      <c r="AE11" s="134">
        <f t="shared" si="1"/>
        <v>2.7467137531882457E-3</v>
      </c>
      <c r="AK11" s="229"/>
      <c r="AN11" s="229"/>
    </row>
    <row r="12" spans="1:40" x14ac:dyDescent="0.25">
      <c r="W12" s="92">
        <v>42816</v>
      </c>
      <c r="X12" s="356">
        <v>50.11</v>
      </c>
      <c r="Y12" s="39">
        <v>51.13</v>
      </c>
      <c r="Z12" s="39">
        <v>49.55</v>
      </c>
      <c r="AA12" s="356">
        <v>50.97</v>
      </c>
      <c r="AB12" s="93">
        <v>1129000</v>
      </c>
      <c r="AC12" s="238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56">
        <v>51.3</v>
      </c>
      <c r="Y13" s="39">
        <v>51.72</v>
      </c>
      <c r="Z13" s="39">
        <v>49.95</v>
      </c>
      <c r="AA13" s="356">
        <v>50</v>
      </c>
      <c r="AB13" s="93">
        <v>1150500</v>
      </c>
      <c r="AC13" s="238">
        <v>50</v>
      </c>
      <c r="AD13" s="2">
        <f t="shared" si="0"/>
        <v>1.769999999999996</v>
      </c>
      <c r="AE13" s="134">
        <f t="shared" si="1"/>
        <v>-2.1526418786692814E-2</v>
      </c>
      <c r="AK13" s="229"/>
      <c r="AN13" s="229"/>
    </row>
    <row r="14" spans="1:40" x14ac:dyDescent="0.25">
      <c r="T14" s="82"/>
      <c r="U14" s="11"/>
      <c r="W14" s="92">
        <v>42814</v>
      </c>
      <c r="X14" s="356">
        <v>51.36</v>
      </c>
      <c r="Y14" s="39">
        <v>51.53</v>
      </c>
      <c r="Z14" s="39">
        <v>50.81</v>
      </c>
      <c r="AA14" s="356">
        <v>51.1</v>
      </c>
      <c r="AB14" s="93">
        <v>838900</v>
      </c>
      <c r="AC14" s="238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56">
        <v>51.71</v>
      </c>
      <c r="Y15" s="39">
        <v>51.85</v>
      </c>
      <c r="Z15" s="39">
        <v>51.25</v>
      </c>
      <c r="AA15" s="356">
        <v>51.31</v>
      </c>
      <c r="AB15" s="93">
        <v>1236400</v>
      </c>
      <c r="AC15" s="238">
        <v>51.31</v>
      </c>
      <c r="AD15" s="2">
        <f t="shared" si="0"/>
        <v>0.60000000000000142</v>
      </c>
      <c r="AE15" s="134">
        <f t="shared" si="1"/>
        <v>-2.3332685203187875E-3</v>
      </c>
      <c r="AK15" s="229"/>
      <c r="AN15" s="229"/>
    </row>
    <row r="16" spans="1:40" x14ac:dyDescent="0.25">
      <c r="W16" s="92">
        <v>42810</v>
      </c>
      <c r="X16" s="356">
        <v>51.35</v>
      </c>
      <c r="Y16" s="39">
        <v>51.45</v>
      </c>
      <c r="Z16" s="39">
        <v>51.06</v>
      </c>
      <c r="AA16" s="356">
        <v>51.43</v>
      </c>
      <c r="AB16" s="93">
        <v>775100</v>
      </c>
      <c r="AC16" s="238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56">
        <v>51.05</v>
      </c>
      <c r="Y17" s="39">
        <v>51.49</v>
      </c>
      <c r="Z17" s="39">
        <v>50.71</v>
      </c>
      <c r="AA17" s="356">
        <v>51.41</v>
      </c>
      <c r="AB17" s="93">
        <v>1141500</v>
      </c>
      <c r="AC17" s="238">
        <v>51.41</v>
      </c>
      <c r="AD17" s="2">
        <f t="shared" si="0"/>
        <v>0.78000000000000114</v>
      </c>
      <c r="AE17" s="134">
        <f t="shared" si="1"/>
        <v>8.8304552590265928E-3</v>
      </c>
      <c r="AK17" s="229"/>
      <c r="AN17" s="229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56">
        <v>51.21</v>
      </c>
      <c r="Y18" s="39">
        <v>51.23</v>
      </c>
      <c r="Z18" s="39">
        <v>50.4</v>
      </c>
      <c r="AA18" s="356">
        <v>50.96</v>
      </c>
      <c r="AB18" s="93">
        <v>1066000</v>
      </c>
      <c r="AC18" s="238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56">
        <v>51.83</v>
      </c>
      <c r="Y19" s="39">
        <v>51.83</v>
      </c>
      <c r="Z19" s="39">
        <v>51.11</v>
      </c>
      <c r="AA19" s="356">
        <v>51.32</v>
      </c>
      <c r="AB19" s="93">
        <v>1086300</v>
      </c>
      <c r="AC19" s="238">
        <v>51.32</v>
      </c>
      <c r="AD19" s="2">
        <f t="shared" si="0"/>
        <v>0.71999999999999886</v>
      </c>
      <c r="AE19" s="134">
        <f t="shared" si="1"/>
        <v>4.3052837573385183E-3</v>
      </c>
      <c r="AK19" s="229"/>
      <c r="AN19" s="229"/>
    </row>
    <row r="20" spans="1:4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92">
        <v>42804</v>
      </c>
      <c r="X20" s="356">
        <v>50.23</v>
      </c>
      <c r="Y20" s="39">
        <v>51.22</v>
      </c>
      <c r="Z20" s="39">
        <v>50.07</v>
      </c>
      <c r="AA20" s="356">
        <v>51.1</v>
      </c>
      <c r="AB20" s="93">
        <v>1157000</v>
      </c>
      <c r="AC20" s="238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8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6">
        <f t="shared" ref="H21:H26" si="4">(E21-D21)/D21</f>
        <v>-5.190311418685113E-3</v>
      </c>
      <c r="I21" s="39"/>
      <c r="W21" s="92">
        <v>42803</v>
      </c>
      <c r="X21" s="356">
        <v>49.77</v>
      </c>
      <c r="Y21" s="39">
        <v>50.06</v>
      </c>
      <c r="Z21" s="39">
        <v>49.48</v>
      </c>
      <c r="AA21" s="356">
        <v>49.92</v>
      </c>
      <c r="AB21" s="93">
        <v>765700</v>
      </c>
      <c r="AC21" s="238">
        <v>49.92</v>
      </c>
      <c r="AD21" s="2">
        <f t="shared" si="0"/>
        <v>0.5800000000000054</v>
      </c>
      <c r="AE21" s="134">
        <f t="shared" si="1"/>
        <v>8.0775444264942209E-3</v>
      </c>
      <c r="AK21" s="229"/>
      <c r="AN21" s="229"/>
    </row>
    <row r="22" spans="1:40" x14ac:dyDescent="0.25">
      <c r="B22" s="188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6">
        <f t="shared" si="4"/>
        <v>3.085351787773934E-2</v>
      </c>
      <c r="I22" s="39"/>
      <c r="W22" s="92">
        <v>42802</v>
      </c>
      <c r="X22" s="356">
        <v>49.59</v>
      </c>
      <c r="Y22" s="39">
        <v>49.83</v>
      </c>
      <c r="Z22" s="39">
        <v>49.4</v>
      </c>
      <c r="AA22" s="356">
        <v>49.52</v>
      </c>
      <c r="AB22" s="93">
        <v>776700</v>
      </c>
      <c r="AC22" s="238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8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6">
        <f t="shared" si="4"/>
        <v>1.9031141868512218E-2</v>
      </c>
      <c r="I23" s="39"/>
      <c r="W23" s="92">
        <v>42801</v>
      </c>
      <c r="X23" s="356">
        <v>49.56</v>
      </c>
      <c r="Y23" s="39">
        <v>49.76</v>
      </c>
      <c r="Z23" s="39">
        <v>49.05</v>
      </c>
      <c r="AA23" s="356">
        <v>49.42</v>
      </c>
      <c r="AB23" s="93">
        <v>806900</v>
      </c>
      <c r="AC23" s="238">
        <v>49.42</v>
      </c>
      <c r="AD23" s="2">
        <f t="shared" si="0"/>
        <v>0.71000000000000085</v>
      </c>
      <c r="AE23" s="134">
        <f t="shared" si="1"/>
        <v>-6.8327974276526371E-3</v>
      </c>
      <c r="AK23" s="229"/>
    </row>
    <row r="24" spans="1:40" x14ac:dyDescent="0.25">
      <c r="B24" s="188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6">
        <f t="shared" si="4"/>
        <v>4.7001153402537563E-2</v>
      </c>
      <c r="I24" s="39"/>
      <c r="W24" s="92">
        <v>42800</v>
      </c>
      <c r="X24" s="356">
        <v>49.9</v>
      </c>
      <c r="Y24" s="39">
        <v>50</v>
      </c>
      <c r="Z24" s="39">
        <v>49.16</v>
      </c>
      <c r="AA24" s="356">
        <v>49.76</v>
      </c>
      <c r="AB24" s="93">
        <v>1200800</v>
      </c>
      <c r="AC24" s="238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8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6">
        <f t="shared" si="4"/>
        <v>7.1799307958477568E-2</v>
      </c>
      <c r="I25" s="39"/>
      <c r="W25" s="92">
        <v>42797</v>
      </c>
      <c r="X25" s="356">
        <v>51</v>
      </c>
      <c r="Y25" s="39">
        <v>51</v>
      </c>
      <c r="Z25" s="39">
        <v>49.79</v>
      </c>
      <c r="AA25" s="356">
        <v>50.11</v>
      </c>
      <c r="AB25" s="93">
        <v>849100</v>
      </c>
      <c r="AC25" s="238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8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6">
        <f t="shared" si="4"/>
        <v>8.7081891580161566E-2</v>
      </c>
      <c r="I26" s="39"/>
      <c r="W26" s="92">
        <v>42796</v>
      </c>
      <c r="X26" s="356">
        <v>50.79</v>
      </c>
      <c r="Y26" s="39">
        <v>51.25</v>
      </c>
      <c r="Z26" s="39">
        <v>50.63</v>
      </c>
      <c r="AA26" s="356">
        <v>50.98</v>
      </c>
      <c r="AB26" s="93">
        <v>878700</v>
      </c>
      <c r="AC26" s="238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8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6">
        <f>(E27-D27)/D27</f>
        <v>0.11418685121107269</v>
      </c>
      <c r="I27" s="39"/>
      <c r="W27" s="92">
        <v>42795</v>
      </c>
      <c r="X27" s="356">
        <v>51.12</v>
      </c>
      <c r="Y27" s="39">
        <v>51.61</v>
      </c>
      <c r="Z27" s="39">
        <v>50.42</v>
      </c>
      <c r="AA27" s="356">
        <v>51.05</v>
      </c>
      <c r="AB27" s="93">
        <v>1192400</v>
      </c>
      <c r="AC27" s="238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8">
        <v>42663</v>
      </c>
      <c r="C28" s="10">
        <v>0</v>
      </c>
      <c r="D28" s="39"/>
      <c r="E28" s="39"/>
      <c r="F28" s="39">
        <v>192.96</v>
      </c>
      <c r="G28" s="39"/>
      <c r="H28" s="226"/>
      <c r="I28" s="39"/>
      <c r="W28" s="92">
        <v>42794</v>
      </c>
      <c r="X28" s="356">
        <v>50.82</v>
      </c>
      <c r="Y28" s="39">
        <v>51.2</v>
      </c>
      <c r="Z28" s="39">
        <v>50.45</v>
      </c>
      <c r="AA28" s="356">
        <v>50.7</v>
      </c>
      <c r="AB28" s="93">
        <v>932200</v>
      </c>
      <c r="AC28" s="238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8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6">
        <f>(E29-D29)/D29</f>
        <v>-2.3783488244942523E-2</v>
      </c>
      <c r="I29" s="39"/>
      <c r="W29" s="92">
        <v>42793</v>
      </c>
      <c r="X29" s="356">
        <v>49.93</v>
      </c>
      <c r="Y29" s="39">
        <v>50.83</v>
      </c>
      <c r="Z29" s="39">
        <v>49.57</v>
      </c>
      <c r="AA29" s="356">
        <v>50.77</v>
      </c>
      <c r="AB29" s="93">
        <v>1326600</v>
      </c>
      <c r="AC29" s="238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8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6">
        <f>(E30-D30)/D30</f>
        <v>6.2602515035538528E-2</v>
      </c>
      <c r="I30" s="39"/>
      <c r="W30" s="92">
        <v>42790</v>
      </c>
      <c r="X30" s="356">
        <v>50.51</v>
      </c>
      <c r="Y30" s="39">
        <v>50.63</v>
      </c>
      <c r="Z30" s="39">
        <v>49.77</v>
      </c>
      <c r="AA30" s="356">
        <v>50.02</v>
      </c>
      <c r="AB30" s="93">
        <v>1442900</v>
      </c>
      <c r="AC30" s="238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8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6">
        <f>(E31-D31)/D31</f>
        <v>0.10934937124111536</v>
      </c>
      <c r="I31" s="39"/>
      <c r="W31" s="92">
        <v>42789</v>
      </c>
      <c r="X31" s="356">
        <v>52.48</v>
      </c>
      <c r="Y31" s="39">
        <v>52.5</v>
      </c>
      <c r="Z31" s="39">
        <v>50.61</v>
      </c>
      <c r="AA31" s="356">
        <v>50.68</v>
      </c>
      <c r="AB31" s="93">
        <v>1869800</v>
      </c>
      <c r="AC31" s="238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8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6">
        <f>(E32-D32)/D32</f>
        <v>6.205576817933306E-2</v>
      </c>
      <c r="I32" s="39"/>
      <c r="W32" s="92">
        <v>42788</v>
      </c>
      <c r="X32" s="356">
        <v>49.24</v>
      </c>
      <c r="Y32" s="39">
        <v>52.14</v>
      </c>
      <c r="Z32" s="39">
        <v>48.68</v>
      </c>
      <c r="AA32" s="356">
        <v>51.64</v>
      </c>
      <c r="AB32" s="93">
        <v>4043000</v>
      </c>
      <c r="AC32" s="238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8">
        <v>42710</v>
      </c>
      <c r="C33" s="10">
        <v>0</v>
      </c>
      <c r="D33" s="39"/>
      <c r="E33" s="39"/>
      <c r="F33" s="39">
        <v>234.96</v>
      </c>
      <c r="G33" s="39"/>
      <c r="H33" s="226"/>
      <c r="I33" s="39"/>
      <c r="W33" s="92">
        <v>42787</v>
      </c>
      <c r="X33" s="356">
        <v>47.74</v>
      </c>
      <c r="Y33" s="39">
        <v>48.52</v>
      </c>
      <c r="Z33" s="39">
        <v>47.74</v>
      </c>
      <c r="AA33" s="356">
        <v>48.2</v>
      </c>
      <c r="AB33" s="93">
        <v>1801900</v>
      </c>
      <c r="AC33" s="238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356">
        <v>47.62</v>
      </c>
      <c r="Y34" s="39">
        <v>47.85</v>
      </c>
      <c r="Z34" s="39">
        <v>47.27</v>
      </c>
      <c r="AA34" s="356">
        <v>47.69</v>
      </c>
      <c r="AB34" s="93">
        <v>1653700</v>
      </c>
      <c r="AC34" s="238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356">
        <v>47.95</v>
      </c>
      <c r="Y35" s="39">
        <v>48.14</v>
      </c>
      <c r="Z35" s="39">
        <v>47.24</v>
      </c>
      <c r="AA35" s="356">
        <v>47.63</v>
      </c>
      <c r="AB35" s="93">
        <v>1236300</v>
      </c>
      <c r="AC35" s="238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56">
        <v>47.66</v>
      </c>
      <c r="Y36" s="39">
        <v>48.12</v>
      </c>
      <c r="Z36" s="39">
        <v>47.01</v>
      </c>
      <c r="AA36" s="356">
        <v>47.92</v>
      </c>
      <c r="AB36" s="93">
        <v>1463000</v>
      </c>
      <c r="AC36" s="238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209</v>
      </c>
      <c r="M37" s="2">
        <f>M55+K55-F55</f>
        <v>427.92000000000007</v>
      </c>
      <c r="W37" s="92">
        <v>42780</v>
      </c>
      <c r="X37" s="356">
        <v>47.82</v>
      </c>
      <c r="Y37" s="39">
        <v>47.97</v>
      </c>
      <c r="Z37" s="39">
        <v>47.58</v>
      </c>
      <c r="AA37" s="356">
        <v>47.77</v>
      </c>
      <c r="AB37" s="93">
        <v>1048700</v>
      </c>
      <c r="AC37" s="238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  <c r="W38" s="92">
        <v>42779</v>
      </c>
      <c r="X38" s="356">
        <v>48.02</v>
      </c>
      <c r="Y38" s="39">
        <v>48.1</v>
      </c>
      <c r="Z38" s="39">
        <v>47.56</v>
      </c>
      <c r="AA38" s="356">
        <v>47.87</v>
      </c>
      <c r="AB38" s="93">
        <v>1449900</v>
      </c>
      <c r="AC38" s="238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8" t="s">
        <v>271</v>
      </c>
      <c r="B39" s="259">
        <v>42621</v>
      </c>
      <c r="C39" s="254">
        <v>50</v>
      </c>
      <c r="D39" s="255">
        <v>34.68</v>
      </c>
      <c r="E39" s="255">
        <v>0</v>
      </c>
      <c r="F39" s="255">
        <f>D39*C39+E39</f>
        <v>1734</v>
      </c>
      <c r="G39" s="259">
        <v>42663</v>
      </c>
      <c r="H39" s="260">
        <v>50</v>
      </c>
      <c r="I39" s="255">
        <v>38.54</v>
      </c>
      <c r="J39" s="255">
        <v>0.04</v>
      </c>
      <c r="K39" s="255">
        <f>H39*I39-J39</f>
        <v>1926.96</v>
      </c>
      <c r="L39" s="259"/>
      <c r="M39" s="255"/>
      <c r="O39" s="11"/>
      <c r="P39" s="804" t="s">
        <v>78</v>
      </c>
      <c r="Q39" s="804"/>
      <c r="R39" s="33"/>
      <c r="T39" s="89" t="s">
        <v>112</v>
      </c>
      <c r="W39" s="92">
        <v>42776</v>
      </c>
      <c r="X39" s="356">
        <v>48.43</v>
      </c>
      <c r="Y39" s="39">
        <v>48.91</v>
      </c>
      <c r="Z39" s="39">
        <v>47.54</v>
      </c>
      <c r="AA39" s="356">
        <v>47.8</v>
      </c>
      <c r="AB39" s="93">
        <v>1611000</v>
      </c>
      <c r="AC39" s="238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61" t="s">
        <v>71</v>
      </c>
      <c r="B40" s="259">
        <v>42670</v>
      </c>
      <c r="C40" s="254">
        <v>50</v>
      </c>
      <c r="D40" s="255">
        <v>36.58</v>
      </c>
      <c r="E40" s="255">
        <v>0</v>
      </c>
      <c r="F40" s="255">
        <f>C40*D40+E40</f>
        <v>1829</v>
      </c>
      <c r="G40" s="259">
        <v>42710</v>
      </c>
      <c r="H40" s="260">
        <v>50</v>
      </c>
      <c r="I40" s="255">
        <v>41.28</v>
      </c>
      <c r="J40" s="255">
        <v>0.04</v>
      </c>
      <c r="K40" s="255">
        <f>H40*I40-J40</f>
        <v>2063.96</v>
      </c>
      <c r="L40" s="254"/>
      <c r="M40" s="254"/>
      <c r="O40" s="2"/>
      <c r="P40" s="81">
        <v>1.1000000000000001</v>
      </c>
      <c r="Q40" s="81">
        <f>P40*$Q$4</f>
        <v>61.831000000000003</v>
      </c>
      <c r="R40" s="33"/>
      <c r="T40" s="95" t="s">
        <v>97</v>
      </c>
      <c r="U40" s="126">
        <v>49.76</v>
      </c>
      <c r="W40" s="92">
        <v>42775</v>
      </c>
      <c r="X40" s="356">
        <v>47.81</v>
      </c>
      <c r="Y40" s="39">
        <v>48.31</v>
      </c>
      <c r="Z40" s="39">
        <v>47.7</v>
      </c>
      <c r="AA40" s="356">
        <v>48.06</v>
      </c>
      <c r="AB40" s="93">
        <v>1249200</v>
      </c>
      <c r="AC40" s="238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4"/>
      <c r="B41" s="259"/>
      <c r="C41" s="254"/>
      <c r="D41" s="255"/>
      <c r="E41" s="255"/>
      <c r="F41" s="255"/>
      <c r="G41" s="259"/>
      <c r="H41" s="260"/>
      <c r="I41" s="255"/>
      <c r="J41" s="255"/>
      <c r="K41" s="255"/>
      <c r="L41" s="254"/>
      <c r="M41" s="254"/>
      <c r="O41" s="2"/>
      <c r="P41" s="81">
        <v>1.0900000000000001</v>
      </c>
      <c r="Q41" s="81">
        <f t="shared" ref="Q41:Q60" si="5">P41*$Q$4</f>
        <v>61.268900000000002</v>
      </c>
      <c r="R41" s="33"/>
      <c r="T41" s="85" t="s">
        <v>98</v>
      </c>
      <c r="U41" s="127">
        <v>49.93</v>
      </c>
      <c r="W41" s="92">
        <v>42774</v>
      </c>
      <c r="X41" s="356">
        <v>47.88</v>
      </c>
      <c r="Y41" s="39">
        <v>48.14</v>
      </c>
      <c r="Z41" s="39">
        <v>47.51</v>
      </c>
      <c r="AA41" s="356">
        <v>47.86</v>
      </c>
      <c r="AB41" s="93">
        <v>1065800</v>
      </c>
      <c r="AC41" s="238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4"/>
      <c r="B42" s="259"/>
      <c r="C42" s="254"/>
      <c r="D42" s="255"/>
      <c r="E42" s="255"/>
      <c r="F42" s="255"/>
      <c r="G42" s="259"/>
      <c r="H42" s="260"/>
      <c r="I42" s="255"/>
      <c r="J42" s="255"/>
      <c r="K42" s="255"/>
      <c r="L42" s="254"/>
      <c r="M42" s="254"/>
      <c r="O42" s="2"/>
      <c r="P42" s="81">
        <v>1.08</v>
      </c>
      <c r="Q42" s="81">
        <f t="shared" si="5"/>
        <v>60.706800000000008</v>
      </c>
      <c r="R42" s="33"/>
      <c r="T42" s="85" t="s">
        <v>99</v>
      </c>
      <c r="U42" s="127" t="s">
        <v>649</v>
      </c>
      <c r="W42" s="92">
        <v>42773</v>
      </c>
      <c r="X42" s="356">
        <v>47.58</v>
      </c>
      <c r="Y42" s="39">
        <v>48.09</v>
      </c>
      <c r="Z42" s="39">
        <v>47.47</v>
      </c>
      <c r="AA42" s="356">
        <v>47.7</v>
      </c>
      <c r="AB42" s="93">
        <v>1477200</v>
      </c>
      <c r="AC42" s="238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  <c r="P43" s="81">
        <v>1.07</v>
      </c>
      <c r="Q43" s="81">
        <f t="shared" si="5"/>
        <v>60.144700000000007</v>
      </c>
      <c r="R43" s="81"/>
      <c r="T43" s="85" t="s">
        <v>100</v>
      </c>
      <c r="U43" s="127" t="s">
        <v>650</v>
      </c>
      <c r="W43" s="92">
        <v>42772</v>
      </c>
      <c r="X43" s="356">
        <v>47.76</v>
      </c>
      <c r="Y43" s="39">
        <v>48.02</v>
      </c>
      <c r="Z43" s="39">
        <v>47.28</v>
      </c>
      <c r="AA43" s="356">
        <v>47.52</v>
      </c>
      <c r="AB43" s="93">
        <v>1139100</v>
      </c>
      <c r="AC43" s="238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  <c r="P44" s="81">
        <v>1.06</v>
      </c>
      <c r="Q44" s="81">
        <f t="shared" si="5"/>
        <v>59.582600000000006</v>
      </c>
      <c r="R44" s="81"/>
      <c r="T44" s="85" t="s">
        <v>101</v>
      </c>
      <c r="U44" s="127">
        <v>54.65</v>
      </c>
      <c r="W44" s="92">
        <v>42769</v>
      </c>
      <c r="X44" s="356">
        <v>48.13</v>
      </c>
      <c r="Y44" s="39">
        <v>48.36</v>
      </c>
      <c r="Z44" s="39">
        <v>47.41</v>
      </c>
      <c r="AA44" s="356">
        <v>47.74</v>
      </c>
      <c r="AB44" s="93">
        <v>760800</v>
      </c>
      <c r="AC44" s="238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  <c r="P45" s="81">
        <v>1.05</v>
      </c>
      <c r="Q45" s="81">
        <f t="shared" si="5"/>
        <v>59.020500000000006</v>
      </c>
      <c r="R45" s="81"/>
      <c r="T45" s="85" t="s">
        <v>102</v>
      </c>
      <c r="U45" s="127">
        <v>1.56863</v>
      </c>
      <c r="W45" s="92">
        <v>42768</v>
      </c>
      <c r="X45" s="356">
        <v>48.17</v>
      </c>
      <c r="Y45" s="39">
        <v>48.5</v>
      </c>
      <c r="Z45" s="39">
        <v>47.55</v>
      </c>
      <c r="AA45" s="356">
        <v>47.66</v>
      </c>
      <c r="AB45" s="93">
        <v>694700</v>
      </c>
      <c r="AC45" s="238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  <c r="P46" s="81">
        <v>1.04</v>
      </c>
      <c r="Q46" s="81">
        <f t="shared" si="5"/>
        <v>58.458400000000005</v>
      </c>
      <c r="R46" s="81"/>
      <c r="T46" s="85" t="s">
        <v>121</v>
      </c>
      <c r="U46" s="227" t="s">
        <v>434</v>
      </c>
      <c r="W46" s="92">
        <v>42767</v>
      </c>
      <c r="X46" s="356">
        <v>47.3</v>
      </c>
      <c r="Y46" s="39">
        <v>48.45</v>
      </c>
      <c r="Z46" s="39">
        <v>46.83</v>
      </c>
      <c r="AA46" s="356">
        <v>48.08</v>
      </c>
      <c r="AB46" s="93">
        <v>1288500</v>
      </c>
      <c r="AC46" s="238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  <c r="P47" s="81">
        <v>1.03</v>
      </c>
      <c r="Q47" s="81">
        <f t="shared" si="5"/>
        <v>57.896300000000004</v>
      </c>
      <c r="R47" s="81"/>
      <c r="T47" s="85"/>
      <c r="U47" s="127"/>
      <c r="W47" s="92">
        <v>42766</v>
      </c>
      <c r="X47" s="356">
        <v>47.88</v>
      </c>
      <c r="Y47" s="39">
        <v>48.11</v>
      </c>
      <c r="Z47" s="39">
        <v>46.83</v>
      </c>
      <c r="AA47" s="356">
        <v>47</v>
      </c>
      <c r="AB47" s="93">
        <v>1625200</v>
      </c>
      <c r="AC47" s="238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  <c r="P48" s="81">
        <v>1.02</v>
      </c>
      <c r="Q48" s="81">
        <f t="shared" si="5"/>
        <v>57.334200000000003</v>
      </c>
      <c r="R48" s="81"/>
      <c r="T48" s="85" t="s">
        <v>104</v>
      </c>
      <c r="U48" s="127" t="s">
        <v>651</v>
      </c>
      <c r="W48" s="92">
        <v>42765</v>
      </c>
      <c r="X48" s="356">
        <v>48.8</v>
      </c>
      <c r="Y48" s="39">
        <v>48.88</v>
      </c>
      <c r="Z48" s="39">
        <v>47.94</v>
      </c>
      <c r="AA48" s="356">
        <v>48.03</v>
      </c>
      <c r="AB48" s="93">
        <v>1323500</v>
      </c>
      <c r="AC48" s="238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  <c r="P49" s="81">
        <v>1.01</v>
      </c>
      <c r="Q49" s="81">
        <f t="shared" si="5"/>
        <v>56.772100000000002</v>
      </c>
      <c r="R49" s="81"/>
      <c r="T49" s="85" t="s">
        <v>105</v>
      </c>
      <c r="U49" s="127" t="s">
        <v>567</v>
      </c>
      <c r="W49" s="92">
        <v>42762</v>
      </c>
      <c r="X49" s="356">
        <v>49.35</v>
      </c>
      <c r="Y49" s="39">
        <v>49.56</v>
      </c>
      <c r="Z49" s="39">
        <v>48.61</v>
      </c>
      <c r="AA49" s="356">
        <v>49.02</v>
      </c>
      <c r="AB49" s="93">
        <v>945300</v>
      </c>
      <c r="AC49" s="238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  <c r="P50" s="81">
        <v>1</v>
      </c>
      <c r="Q50" s="81">
        <f t="shared" si="5"/>
        <v>56.21</v>
      </c>
      <c r="R50" s="81"/>
      <c r="T50" s="85" t="s">
        <v>106</v>
      </c>
      <c r="U50" s="128">
        <v>1141622</v>
      </c>
      <c r="W50" s="92">
        <v>42761</v>
      </c>
      <c r="X50" s="356">
        <v>49.22</v>
      </c>
      <c r="Y50" s="39">
        <v>50.05</v>
      </c>
      <c r="Z50" s="39">
        <v>48.77</v>
      </c>
      <c r="AA50" s="356">
        <v>49.33</v>
      </c>
      <c r="AB50" s="93">
        <v>2613500</v>
      </c>
      <c r="AC50" s="238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  <c r="P51" s="81">
        <v>0.99</v>
      </c>
      <c r="Q51" s="81">
        <f t="shared" si="5"/>
        <v>55.6479</v>
      </c>
      <c r="R51" s="81"/>
      <c r="T51" s="85" t="s">
        <v>109</v>
      </c>
      <c r="U51" s="128">
        <v>1194830</v>
      </c>
      <c r="W51" s="92">
        <v>42760</v>
      </c>
      <c r="X51" s="356">
        <v>47.22</v>
      </c>
      <c r="Y51" s="39">
        <v>48.24</v>
      </c>
      <c r="Z51" s="39">
        <v>46.96</v>
      </c>
      <c r="AA51" s="356">
        <v>48.09</v>
      </c>
      <c r="AB51" s="93">
        <v>1275800</v>
      </c>
      <c r="AC51" s="238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  <c r="P52" s="81">
        <v>0.98</v>
      </c>
      <c r="Q52" s="81">
        <f t="shared" si="5"/>
        <v>55.085799999999999</v>
      </c>
      <c r="R52" s="81"/>
      <c r="T52" s="85" t="s">
        <v>107</v>
      </c>
      <c r="U52" s="127" t="s">
        <v>652</v>
      </c>
      <c r="W52" s="92">
        <v>42759</v>
      </c>
      <c r="X52" s="356">
        <v>45.92</v>
      </c>
      <c r="Y52" s="39">
        <v>46.95</v>
      </c>
      <c r="Z52" s="39">
        <v>45.83</v>
      </c>
      <c r="AA52" s="356">
        <v>46.84</v>
      </c>
      <c r="AB52" s="93">
        <v>1239400</v>
      </c>
      <c r="AC52" s="238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  <c r="P53" s="81">
        <v>0.97</v>
      </c>
      <c r="Q53" s="81">
        <f t="shared" si="5"/>
        <v>54.523699999999998</v>
      </c>
      <c r="R53" s="81"/>
      <c r="T53" s="85" t="s">
        <v>110</v>
      </c>
      <c r="U53" s="127">
        <v>17.91</v>
      </c>
      <c r="W53" s="92">
        <v>42758</v>
      </c>
      <c r="X53" s="356">
        <v>45.47</v>
      </c>
      <c r="Y53" s="39">
        <v>46.15</v>
      </c>
      <c r="Z53" s="39">
        <v>45.15</v>
      </c>
      <c r="AA53" s="356">
        <v>46</v>
      </c>
      <c r="AB53" s="93">
        <v>826800</v>
      </c>
      <c r="AC53" s="238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  <c r="P54" s="81">
        <v>0.96</v>
      </c>
      <c r="Q54" s="81">
        <f t="shared" si="5"/>
        <v>53.961599999999997</v>
      </c>
      <c r="R54" s="81"/>
      <c r="T54" s="85" t="s">
        <v>111</v>
      </c>
      <c r="U54" s="127">
        <v>2.78</v>
      </c>
      <c r="W54" s="92">
        <v>42755</v>
      </c>
      <c r="X54" s="356">
        <v>45.93</v>
      </c>
      <c r="Y54" s="39">
        <v>46.41</v>
      </c>
      <c r="Z54" s="39">
        <v>45.41</v>
      </c>
      <c r="AA54" s="356">
        <v>45.63</v>
      </c>
      <c r="AB54" s="93">
        <v>736000</v>
      </c>
      <c r="AC54" s="238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53.399499999999996</v>
      </c>
      <c r="R55" s="81"/>
      <c r="T55" s="85" t="s">
        <v>108</v>
      </c>
      <c r="U55" s="127" t="s">
        <v>122</v>
      </c>
      <c r="W55" s="92">
        <v>42754</v>
      </c>
      <c r="X55" s="356">
        <v>45.76</v>
      </c>
      <c r="Y55" s="39">
        <v>46.36</v>
      </c>
      <c r="Z55" s="39">
        <v>45.39</v>
      </c>
      <c r="AA55" s="356">
        <v>45.62</v>
      </c>
      <c r="AB55" s="93">
        <v>1031300</v>
      </c>
      <c r="AC55" s="238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52.837399999999995</v>
      </c>
      <c r="R56" s="81"/>
      <c r="W56" s="92">
        <v>42753</v>
      </c>
      <c r="X56" s="356">
        <v>44.97</v>
      </c>
      <c r="Y56" s="39">
        <v>45.77</v>
      </c>
      <c r="Z56" s="39">
        <v>44.56</v>
      </c>
      <c r="AA56" s="356">
        <v>45.67</v>
      </c>
      <c r="AB56" s="93">
        <v>943000</v>
      </c>
      <c r="AC56" s="238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52.275300000000001</v>
      </c>
      <c r="R57" s="81"/>
      <c r="W57" s="92">
        <v>42752</v>
      </c>
      <c r="X57" s="356">
        <v>45.08</v>
      </c>
      <c r="Y57" s="39">
        <v>45.22</v>
      </c>
      <c r="Z57" s="39">
        <v>44.2</v>
      </c>
      <c r="AA57" s="356">
        <v>44.74</v>
      </c>
      <c r="AB57" s="93">
        <v>905400</v>
      </c>
      <c r="AC57" s="238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51.713200000000001</v>
      </c>
      <c r="R58" s="81"/>
      <c r="W58" s="92">
        <v>42748</v>
      </c>
      <c r="X58" s="356">
        <v>45.49</v>
      </c>
      <c r="Y58" s="39">
        <v>45.49</v>
      </c>
      <c r="Z58" s="39">
        <v>44.84</v>
      </c>
      <c r="AA58" s="356">
        <v>44.95</v>
      </c>
      <c r="AB58" s="93">
        <v>547700</v>
      </c>
      <c r="AC58" s="238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51.1511</v>
      </c>
      <c r="R59" s="81"/>
      <c r="W59" s="92">
        <v>42747</v>
      </c>
      <c r="X59" s="356">
        <v>45.47</v>
      </c>
      <c r="Y59" s="39">
        <v>45.83</v>
      </c>
      <c r="Z59" s="39">
        <v>44.67</v>
      </c>
      <c r="AA59" s="356">
        <v>45.35</v>
      </c>
      <c r="AB59" s="93">
        <v>731500</v>
      </c>
      <c r="AC59" s="238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50.588999999999999</v>
      </c>
      <c r="R60" s="81"/>
      <c r="W60" s="92">
        <v>42746</v>
      </c>
      <c r="X60" s="356">
        <v>45.01</v>
      </c>
      <c r="Y60" s="39">
        <v>45.82</v>
      </c>
      <c r="Z60" s="39">
        <v>44.72</v>
      </c>
      <c r="AA60" s="356">
        <v>45.75</v>
      </c>
      <c r="AB60" s="93">
        <v>870500</v>
      </c>
      <c r="AC60" s="238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56">
        <v>44.33</v>
      </c>
      <c r="Y61" s="39">
        <v>45.36</v>
      </c>
      <c r="Z61" s="39">
        <v>44.33</v>
      </c>
      <c r="AA61" s="356">
        <v>45.22</v>
      </c>
      <c r="AB61" s="93">
        <v>1065500</v>
      </c>
      <c r="AC61" s="238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56">
        <v>44.14</v>
      </c>
      <c r="Y62" s="39">
        <v>44.7</v>
      </c>
      <c r="Z62" s="39">
        <v>43.9</v>
      </c>
      <c r="AA62" s="356">
        <v>44.39</v>
      </c>
      <c r="AB62" s="93">
        <v>855800</v>
      </c>
      <c r="AC62" s="238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56">
        <v>44.75</v>
      </c>
      <c r="Y63" s="39">
        <v>44.92</v>
      </c>
      <c r="Z63" s="39">
        <v>44.06</v>
      </c>
      <c r="AA63" s="356">
        <v>44.25</v>
      </c>
      <c r="AB63" s="93">
        <v>932900</v>
      </c>
      <c r="AC63" s="238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56">
        <v>44.51</v>
      </c>
      <c r="Y64" s="39">
        <v>44.79</v>
      </c>
      <c r="Z64" s="39">
        <v>44.02</v>
      </c>
      <c r="AA64" s="356">
        <v>44.55</v>
      </c>
      <c r="AB64" s="93">
        <v>933700</v>
      </c>
      <c r="AC64" s="238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56">
        <v>43.1</v>
      </c>
      <c r="Y65" s="39">
        <v>44.89</v>
      </c>
      <c r="Z65" s="39">
        <v>42.78</v>
      </c>
      <c r="AA65" s="356">
        <v>44.77</v>
      </c>
      <c r="AB65" s="93">
        <v>1852500</v>
      </c>
      <c r="AC65" s="238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56">
        <v>43.13</v>
      </c>
      <c r="Y66" s="39">
        <v>43.87</v>
      </c>
      <c r="Z66" s="39">
        <v>42.64</v>
      </c>
      <c r="AA66" s="356">
        <v>42.79</v>
      </c>
      <c r="AB66" s="93">
        <v>1618500</v>
      </c>
      <c r="AC66" s="238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56">
        <v>42.62</v>
      </c>
      <c r="Y67" s="39">
        <v>42.97</v>
      </c>
      <c r="Z67" s="39">
        <v>42.1</v>
      </c>
      <c r="AA67" s="356">
        <v>42.53</v>
      </c>
      <c r="AB67" s="93">
        <v>856900</v>
      </c>
      <c r="AC67" s="238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8"/>
      <c r="AD68" s="2">
        <f>Y68-Z68</f>
        <v>0</v>
      </c>
      <c r="AE68" s="134" t="e">
        <f>AC68/AC69-1</f>
        <v>#DIV/0!</v>
      </c>
    </row>
    <row r="69" spans="23:31" x14ac:dyDescent="0.25">
      <c r="W69" s="210"/>
      <c r="X69" s="94"/>
      <c r="Y69" s="238"/>
      <c r="Z69" s="238"/>
      <c r="AA69" s="94"/>
      <c r="AB69" s="211"/>
      <c r="AC69" s="238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03" priority="17">
      <formula>F28&gt;0</formula>
    </cfRule>
    <cfRule type="expression" dxfId="702" priority="18">
      <formula>F28&lt;0</formula>
    </cfRule>
  </conditionalFormatting>
  <conditionalFormatting sqref="F28 F33:F35">
    <cfRule type="expression" dxfId="701" priority="19">
      <formula>F28&gt;0</formula>
    </cfRule>
    <cfRule type="expression" dxfId="700" priority="20">
      <formula>F28&lt;0</formula>
    </cfRule>
  </conditionalFormatting>
  <conditionalFormatting sqref="H28 H33:H35">
    <cfRule type="expression" dxfId="699" priority="15">
      <formula>H28&gt;0</formula>
    </cfRule>
    <cfRule type="expression" dxfId="698" priority="16">
      <formula>H28&lt;0</formula>
    </cfRule>
  </conditionalFormatting>
  <conditionalFormatting sqref="F21:F27">
    <cfRule type="expression" dxfId="697" priority="13">
      <formula>F21&gt;0</formula>
    </cfRule>
    <cfRule type="expression" dxfId="696" priority="14">
      <formula>F21&lt;0</formula>
    </cfRule>
  </conditionalFormatting>
  <conditionalFormatting sqref="H21:H27">
    <cfRule type="expression" dxfId="695" priority="11">
      <formula>H21&gt;0</formula>
    </cfRule>
    <cfRule type="expression" dxfId="694" priority="12">
      <formula>H21&lt;0</formula>
    </cfRule>
  </conditionalFormatting>
  <conditionalFormatting sqref="Q8">
    <cfRule type="expression" dxfId="693" priority="7">
      <formula>Q8&gt;0</formula>
    </cfRule>
    <cfRule type="expression" dxfId="692" priority="8">
      <formula>Q8&lt;0</formula>
    </cfRule>
  </conditionalFormatting>
  <conditionalFormatting sqref="Q7">
    <cfRule type="expression" dxfId="691" priority="9">
      <formula>Q7&gt;0</formula>
    </cfRule>
    <cfRule type="expression" dxfId="690" priority="10">
      <formula>Q7&lt;0</formula>
    </cfRule>
  </conditionalFormatting>
  <conditionalFormatting sqref="F29:F32">
    <cfRule type="expression" dxfId="689" priority="5">
      <formula>F29&gt;0</formula>
    </cfRule>
    <cfRule type="expression" dxfId="688" priority="6">
      <formula>F29&lt;0</formula>
    </cfRule>
  </conditionalFormatting>
  <conditionalFormatting sqref="H29:H32">
    <cfRule type="expression" dxfId="687" priority="3">
      <formula>H29&gt;0</formula>
    </cfRule>
    <cfRule type="expression" dxfId="686" priority="4">
      <formula>H29&lt;0</formula>
    </cfRule>
  </conditionalFormatting>
  <conditionalFormatting sqref="M37">
    <cfRule type="expression" dxfId="685" priority="1">
      <formula>M37&gt;0</formula>
    </cfRule>
    <cfRule type="expression" dxfId="684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45">
        <v>43133</v>
      </c>
      <c r="C2" s="4">
        <v>25</v>
      </c>
      <c r="D2" s="3">
        <v>278.18</v>
      </c>
      <c r="E2" s="3">
        <v>0</v>
      </c>
      <c r="F2" s="3">
        <f>C2*D2+E2</f>
        <v>6954.5</v>
      </c>
      <c r="G2" s="445">
        <v>43140</v>
      </c>
      <c r="H2" s="7">
        <v>25</v>
      </c>
      <c r="I2" s="43">
        <v>262.7</v>
      </c>
      <c r="J2" s="43">
        <v>0.15</v>
      </c>
      <c r="K2" s="43">
        <f>H2*I2-J2</f>
        <v>6567.35</v>
      </c>
      <c r="L2" s="1"/>
      <c r="M2" s="3"/>
      <c r="O2" s="11" t="s">
        <v>57</v>
      </c>
      <c r="Q2">
        <f>C18-H18</f>
        <v>50</v>
      </c>
      <c r="T2" s="83"/>
    </row>
    <row r="3" spans="1:30" x14ac:dyDescent="0.25">
      <c r="A3" s="22" t="s">
        <v>71</v>
      </c>
      <c r="B3" s="486">
        <v>43136</v>
      </c>
      <c r="C3" s="7">
        <v>25</v>
      </c>
      <c r="D3" s="43">
        <v>261.14999999999998</v>
      </c>
      <c r="E3" s="43">
        <v>0</v>
      </c>
      <c r="F3" s="43">
        <f>C3*D3+E3</f>
        <v>6528.7499999999991</v>
      </c>
      <c r="G3" s="72"/>
      <c r="H3" s="180"/>
      <c r="I3" s="3"/>
      <c r="J3" s="3"/>
      <c r="K3" s="3"/>
      <c r="O3" s="11" t="s">
        <v>58</v>
      </c>
      <c r="Q3" s="78">
        <f>IF(Q2=0, Q4, (F18-K18-M18)/Q2)</f>
        <v>265.11799999999999</v>
      </c>
      <c r="T3" s="118"/>
      <c r="AD3" s="229"/>
    </row>
    <row r="4" spans="1:30" x14ac:dyDescent="0.25">
      <c r="B4" s="486">
        <v>43140</v>
      </c>
      <c r="C4" s="4">
        <v>25</v>
      </c>
      <c r="D4" s="3">
        <v>253.6</v>
      </c>
      <c r="E4" s="3">
        <v>0</v>
      </c>
      <c r="F4" s="3">
        <f>C4*D4+E4</f>
        <v>6340</v>
      </c>
      <c r="G4" s="72"/>
      <c r="H4" s="180"/>
      <c r="I4" s="3"/>
      <c r="J4" s="3"/>
      <c r="K4" s="3"/>
      <c r="O4" s="11" t="s">
        <v>66</v>
      </c>
      <c r="Q4" s="54">
        <v>261.5</v>
      </c>
      <c r="R4" s="487">
        <v>1.4999999999999999E-2</v>
      </c>
      <c r="T4" s="118"/>
      <c r="AA4" s="229"/>
      <c r="AD4" s="229"/>
    </row>
    <row r="5" spans="1:3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O5" s="11" t="s">
        <v>67</v>
      </c>
      <c r="Q5" s="3">
        <f>Q4*Q2</f>
        <v>13075</v>
      </c>
      <c r="AA5" s="229"/>
      <c r="AD5" s="229"/>
    </row>
    <row r="6" spans="1:30" x14ac:dyDescent="0.25">
      <c r="B6" s="4"/>
      <c r="C6" s="4"/>
      <c r="D6" s="3"/>
      <c r="E6" s="3"/>
      <c r="F6" s="3"/>
      <c r="G6" s="4"/>
      <c r="H6" s="180"/>
      <c r="I6" s="3"/>
      <c r="J6" s="3"/>
      <c r="K6" s="3"/>
      <c r="O6" s="11" t="s">
        <v>64</v>
      </c>
      <c r="Q6" s="2">
        <f>Q3*Q2</f>
        <v>13255.9</v>
      </c>
    </row>
    <row r="7" spans="1:3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813">
        <f>Q10+Q8</f>
        <v>-20.069999999999709</v>
      </c>
      <c r="R7" s="29">
        <v>43167</v>
      </c>
      <c r="T7" s="83"/>
      <c r="AA7" s="229"/>
      <c r="AD7" s="229"/>
    </row>
    <row r="8" spans="1:3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0">
        <f>K18+M18-F18+Q2*Q4</f>
        <v>-180.89999999999964</v>
      </c>
    </row>
    <row r="9" spans="1:30" x14ac:dyDescent="0.25">
      <c r="O9" s="11" t="s">
        <v>210</v>
      </c>
      <c r="P9"/>
      <c r="Q9" s="134">
        <f>IF(Q2=0, 0, Q8/Q6)</f>
        <v>-1.3646753521073609E-2</v>
      </c>
      <c r="AA9" s="229"/>
      <c r="AD9" s="229"/>
    </row>
    <row r="10" spans="1:30" ht="12.75" customHeight="1" x14ac:dyDescent="0.25">
      <c r="O10" s="11" t="s">
        <v>209</v>
      </c>
      <c r="Q10" s="20">
        <f>M37</f>
        <v>160.82999999999993</v>
      </c>
    </row>
    <row r="11" spans="1:30" x14ac:dyDescent="0.25">
      <c r="O11" s="11" t="s">
        <v>176</v>
      </c>
      <c r="Q11" s="134">
        <v>0</v>
      </c>
      <c r="AA11" s="229"/>
      <c r="AD11" s="229"/>
    </row>
    <row r="13" spans="1:30" x14ac:dyDescent="0.25">
      <c r="AA13" s="229"/>
      <c r="AD13" s="229"/>
    </row>
    <row r="14" spans="1:30" ht="20.25" thickBot="1" x14ac:dyDescent="0.35">
      <c r="P14" s="804" t="s">
        <v>78</v>
      </c>
      <c r="Q14" s="804"/>
      <c r="R14" s="33"/>
      <c r="T14" s="82"/>
      <c r="U14" s="11"/>
    </row>
    <row r="15" spans="1:30" ht="15.75" thickTop="1" x14ac:dyDescent="0.25">
      <c r="P15" s="81">
        <v>1.1000000000000001</v>
      </c>
      <c r="Q15" s="81">
        <f>P15*$Q$4</f>
        <v>287.65000000000003</v>
      </c>
      <c r="R15" s="33"/>
      <c r="AA15" s="229"/>
      <c r="AD15" s="229"/>
    </row>
    <row r="16" spans="1:30" x14ac:dyDescent="0.25">
      <c r="P16" s="81">
        <v>1.0900000000000001</v>
      </c>
      <c r="Q16" s="81">
        <f t="shared" ref="Q16:Q35" si="0">P16*$Q$4</f>
        <v>285.03500000000003</v>
      </c>
      <c r="R16" s="33"/>
    </row>
    <row r="17" spans="1:30" x14ac:dyDescent="0.25">
      <c r="P17" s="81">
        <v>1.08</v>
      </c>
      <c r="Q17" s="81">
        <f t="shared" si="0"/>
        <v>282.42</v>
      </c>
      <c r="R17" s="33"/>
      <c r="AA17" s="229"/>
      <c r="AD17" s="229"/>
    </row>
    <row r="18" spans="1:30" x14ac:dyDescent="0.25">
      <c r="A18" s="31" t="s">
        <v>81</v>
      </c>
      <c r="B18" s="14"/>
      <c r="C18" s="14">
        <f>SUM(C2:C6)</f>
        <v>75</v>
      </c>
      <c r="D18" s="14"/>
      <c r="E18" s="14"/>
      <c r="F18" s="18">
        <f>SUM(F2:F6)</f>
        <v>19823.25</v>
      </c>
      <c r="G18" s="18"/>
      <c r="H18" s="71">
        <f>SUM(H2:H6)</f>
        <v>25</v>
      </c>
      <c r="I18" s="18"/>
      <c r="J18" s="18"/>
      <c r="K18" s="18">
        <f>SUM(K2:K6)</f>
        <v>6567.35</v>
      </c>
      <c r="L18" s="18"/>
      <c r="M18" s="18">
        <f>SUM(M2:M6)</f>
        <v>0</v>
      </c>
      <c r="P18" s="81">
        <v>1.07</v>
      </c>
      <c r="Q18" s="81">
        <f t="shared" si="0"/>
        <v>279.80500000000001</v>
      </c>
      <c r="R18" s="81"/>
    </row>
    <row r="19" spans="1:30" x14ac:dyDescent="0.25">
      <c r="P19" s="81">
        <v>1.06</v>
      </c>
      <c r="Q19" s="81">
        <f t="shared" si="0"/>
        <v>277.19</v>
      </c>
      <c r="R19" s="81"/>
      <c r="AA19" s="229"/>
      <c r="AD19" s="229"/>
    </row>
    <row r="20" spans="1:30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P20" s="81">
        <v>1.05</v>
      </c>
      <c r="Q20" s="81">
        <f t="shared" si="0"/>
        <v>274.57499999999999</v>
      </c>
      <c r="R20" s="81"/>
    </row>
    <row r="21" spans="1:30" x14ac:dyDescent="0.25">
      <c r="B21" s="188">
        <v>43133</v>
      </c>
      <c r="C21" s="10">
        <v>25</v>
      </c>
      <c r="D21" s="39">
        <v>278.18</v>
      </c>
      <c r="E21" s="39">
        <v>275.45</v>
      </c>
      <c r="F21" s="39">
        <f>C21*(E21-D21)</f>
        <v>-68.250000000000455</v>
      </c>
      <c r="G21" s="39">
        <f>D21*C21</f>
        <v>6954.5</v>
      </c>
      <c r="H21" s="226">
        <f>(E21-D21)/D21</f>
        <v>-9.8137896326120425E-3</v>
      </c>
      <c r="I21" s="39"/>
      <c r="P21" s="81">
        <v>1.04</v>
      </c>
      <c r="Q21" s="81">
        <f t="shared" si="0"/>
        <v>271.96000000000004</v>
      </c>
      <c r="R21" s="81"/>
      <c r="AA21" s="229"/>
      <c r="AD21" s="229"/>
    </row>
    <row r="22" spans="1:30" x14ac:dyDescent="0.25">
      <c r="B22" s="188">
        <v>43136</v>
      </c>
      <c r="C22" s="7">
        <v>50</v>
      </c>
      <c r="D22" s="43">
        <v>269.66500000000002</v>
      </c>
      <c r="E22" s="39">
        <v>263.93</v>
      </c>
      <c r="F22" s="39">
        <f>C22*(E22-D22)</f>
        <v>-286.75000000000068</v>
      </c>
      <c r="G22" s="39">
        <f>D22*C22</f>
        <v>13483.250000000002</v>
      </c>
      <c r="H22" s="226">
        <f>(E22-D22)/D22</f>
        <v>-2.1267127732557109E-2</v>
      </c>
      <c r="I22" s="39"/>
      <c r="P22" s="81">
        <v>1.03</v>
      </c>
      <c r="Q22" s="81">
        <f t="shared" si="0"/>
        <v>269.34500000000003</v>
      </c>
      <c r="R22" s="81"/>
    </row>
    <row r="23" spans="1:30" x14ac:dyDescent="0.25">
      <c r="B23" s="188">
        <v>43140</v>
      </c>
      <c r="C23" s="10">
        <v>75</v>
      </c>
      <c r="D23" s="39">
        <v>264.31200000000001</v>
      </c>
      <c r="E23" s="39">
        <v>261.5</v>
      </c>
      <c r="F23" s="39">
        <f>C23*(E23-D23)</f>
        <v>-210.90000000000089</v>
      </c>
      <c r="G23" s="39">
        <f>D23*C23</f>
        <v>19823.400000000001</v>
      </c>
      <c r="H23" s="226">
        <f>(E23-D23)/D23</f>
        <v>-1.0638941856593767E-2</v>
      </c>
      <c r="I23" s="39"/>
      <c r="P23" s="81">
        <v>1.02</v>
      </c>
      <c r="Q23" s="81">
        <f t="shared" si="0"/>
        <v>266.73</v>
      </c>
      <c r="R23" s="81"/>
      <c r="AA23" s="229"/>
    </row>
    <row r="24" spans="1:30" x14ac:dyDescent="0.25">
      <c r="B24" s="188">
        <v>43140</v>
      </c>
      <c r="C24" s="7">
        <v>50</v>
      </c>
      <c r="D24" s="43">
        <v>265.11799999999999</v>
      </c>
      <c r="E24" s="39">
        <v>261.5</v>
      </c>
      <c r="F24" s="39">
        <f>C24*(E24-D24)</f>
        <v>-180.89999999999975</v>
      </c>
      <c r="G24" s="39">
        <f>D24*C24</f>
        <v>13255.9</v>
      </c>
      <c r="H24" s="226">
        <f>(E24-D24)/D24</f>
        <v>-1.3646753521073616E-2</v>
      </c>
      <c r="I24" s="39"/>
      <c r="P24" s="81">
        <v>1.01</v>
      </c>
      <c r="Q24" s="81">
        <f t="shared" si="0"/>
        <v>264.11500000000001</v>
      </c>
      <c r="R24" s="81"/>
    </row>
    <row r="25" spans="1:30" x14ac:dyDescent="0.25">
      <c r="B25" s="188"/>
      <c r="C25" s="10"/>
      <c r="D25" s="39"/>
      <c r="E25" s="39"/>
      <c r="F25" s="39"/>
      <c r="G25" s="39"/>
      <c r="H25" s="226"/>
      <c r="I25" s="39"/>
      <c r="P25" s="81">
        <v>1</v>
      </c>
      <c r="Q25" s="81">
        <f t="shared" si="0"/>
        <v>261.5</v>
      </c>
      <c r="R25" s="81"/>
    </row>
    <row r="26" spans="1:30" x14ac:dyDescent="0.25">
      <c r="B26" s="188"/>
      <c r="C26" s="10"/>
      <c r="D26" s="39"/>
      <c r="E26" s="39"/>
      <c r="F26" s="39"/>
      <c r="G26" s="39"/>
      <c r="H26" s="226"/>
      <c r="I26" s="39"/>
      <c r="P26" s="81">
        <v>0.99</v>
      </c>
      <c r="Q26" s="81">
        <f t="shared" si="0"/>
        <v>258.88499999999999</v>
      </c>
      <c r="R26" s="81"/>
    </row>
    <row r="27" spans="1:30" x14ac:dyDescent="0.25">
      <c r="B27" s="188"/>
      <c r="C27" s="10"/>
      <c r="D27" s="39"/>
      <c r="E27" s="39"/>
      <c r="F27" s="39"/>
      <c r="G27" s="39"/>
      <c r="H27" s="226"/>
      <c r="I27" s="39"/>
      <c r="P27" s="81">
        <v>0.98</v>
      </c>
      <c r="Q27" s="81">
        <f t="shared" si="0"/>
        <v>256.27</v>
      </c>
      <c r="R27" s="81"/>
    </row>
    <row r="28" spans="1:30" x14ac:dyDescent="0.25">
      <c r="B28" s="188"/>
      <c r="C28" s="10"/>
      <c r="D28" s="39"/>
      <c r="E28" s="39"/>
      <c r="F28" s="39"/>
      <c r="G28" s="39"/>
      <c r="H28" s="226"/>
      <c r="I28" s="39"/>
      <c r="P28" s="81">
        <v>0.97</v>
      </c>
      <c r="Q28" s="81">
        <f t="shared" si="0"/>
        <v>253.655</v>
      </c>
      <c r="R28" s="81"/>
    </row>
    <row r="29" spans="1:30" x14ac:dyDescent="0.25">
      <c r="B29" s="188"/>
      <c r="C29" s="10"/>
      <c r="D29" s="39"/>
      <c r="E29" s="39"/>
      <c r="F29" s="39"/>
      <c r="G29" s="39"/>
      <c r="H29" s="226"/>
      <c r="I29" s="39"/>
      <c r="P29" s="81">
        <v>0.96</v>
      </c>
      <c r="Q29" s="81">
        <f t="shared" si="0"/>
        <v>251.04</v>
      </c>
      <c r="R29" s="81"/>
    </row>
    <row r="30" spans="1:30" x14ac:dyDescent="0.25">
      <c r="B30" s="188"/>
      <c r="C30" s="10"/>
      <c r="D30" s="39"/>
      <c r="E30" s="39"/>
      <c r="F30" s="39"/>
      <c r="G30" s="39"/>
      <c r="H30" s="226"/>
      <c r="I30" s="39"/>
      <c r="P30" s="81">
        <v>0.95</v>
      </c>
      <c r="Q30" s="81">
        <f t="shared" si="0"/>
        <v>248.42499999999998</v>
      </c>
      <c r="R30" s="81"/>
    </row>
    <row r="31" spans="1:30" x14ac:dyDescent="0.25">
      <c r="B31" s="188"/>
      <c r="C31" s="10"/>
      <c r="D31" s="39"/>
      <c r="E31" s="39"/>
      <c r="F31" s="39"/>
      <c r="G31" s="39"/>
      <c r="H31" s="226"/>
      <c r="I31" s="39"/>
      <c r="P31" s="81">
        <v>0.94</v>
      </c>
      <c r="Q31" s="81">
        <f t="shared" si="0"/>
        <v>245.80999999999997</v>
      </c>
      <c r="R31" s="81"/>
    </row>
    <row r="32" spans="1:30" x14ac:dyDescent="0.25">
      <c r="B32" s="188"/>
      <c r="C32" s="10"/>
      <c r="D32" s="39"/>
      <c r="E32" s="39"/>
      <c r="F32" s="39"/>
      <c r="G32" s="39"/>
      <c r="H32" s="226"/>
      <c r="I32" s="39"/>
      <c r="P32" s="81">
        <v>0.93</v>
      </c>
      <c r="Q32" s="81">
        <f t="shared" si="0"/>
        <v>243.19500000000002</v>
      </c>
      <c r="R32" s="81"/>
    </row>
    <row r="33" spans="1:18" x14ac:dyDescent="0.25">
      <c r="B33" s="188"/>
      <c r="C33" s="10"/>
      <c r="D33" s="39"/>
      <c r="E33" s="39"/>
      <c r="F33" s="39"/>
      <c r="G33" s="39"/>
      <c r="H33" s="226"/>
      <c r="I33" s="39"/>
      <c r="P33" s="81">
        <v>0.92</v>
      </c>
      <c r="Q33" s="81">
        <f t="shared" si="0"/>
        <v>240.58</v>
      </c>
      <c r="R33" s="81"/>
    </row>
    <row r="34" spans="1:18" x14ac:dyDescent="0.25">
      <c r="B34" s="188"/>
      <c r="C34" s="10"/>
      <c r="D34" s="39"/>
      <c r="E34" s="39"/>
      <c r="F34" s="39"/>
      <c r="G34" s="39"/>
      <c r="H34" s="226"/>
      <c r="I34" s="39"/>
      <c r="P34" s="81">
        <v>0.91</v>
      </c>
      <c r="Q34" s="81">
        <f t="shared" si="0"/>
        <v>237.965</v>
      </c>
      <c r="R34" s="81"/>
    </row>
    <row r="35" spans="1:18" x14ac:dyDescent="0.25">
      <c r="B35" s="188"/>
      <c r="C35" s="10"/>
      <c r="D35" s="39"/>
      <c r="E35" s="39"/>
      <c r="F35" s="39"/>
      <c r="G35" s="39"/>
      <c r="H35" s="226"/>
      <c r="I35" s="39"/>
      <c r="P35" s="81">
        <v>0.9</v>
      </c>
      <c r="Q35" s="81">
        <f t="shared" si="0"/>
        <v>235.35</v>
      </c>
      <c r="R35" s="81"/>
    </row>
    <row r="37" spans="1:18" x14ac:dyDescent="0.25">
      <c r="L37" t="s">
        <v>209</v>
      </c>
      <c r="M37" s="2">
        <f>M55+K55-F55</f>
        <v>160.82999999999993</v>
      </c>
    </row>
    <row r="38" spans="1:18" x14ac:dyDescent="0.25">
      <c r="A38" s="256" t="s">
        <v>1</v>
      </c>
      <c r="B38" s="256" t="s">
        <v>2</v>
      </c>
      <c r="C38" s="256" t="s">
        <v>4</v>
      </c>
      <c r="D38" s="257" t="s">
        <v>5</v>
      </c>
      <c r="E38" s="257" t="s">
        <v>90</v>
      </c>
      <c r="F38" s="257" t="s">
        <v>60</v>
      </c>
      <c r="G38" s="256" t="s">
        <v>3</v>
      </c>
      <c r="H38" s="256" t="s">
        <v>6</v>
      </c>
      <c r="I38" s="257" t="s">
        <v>7</v>
      </c>
      <c r="J38" s="257" t="s">
        <v>89</v>
      </c>
      <c r="K38" s="257" t="s">
        <v>61</v>
      </c>
      <c r="L38" s="256" t="s">
        <v>77</v>
      </c>
      <c r="M38" s="256" t="s">
        <v>38</v>
      </c>
    </row>
    <row r="39" spans="1:18" x14ac:dyDescent="0.25">
      <c r="A39" s="258" t="s">
        <v>175</v>
      </c>
      <c r="B39" s="259">
        <v>42377</v>
      </c>
      <c r="C39" s="254">
        <v>20</v>
      </c>
      <c r="D39" s="255">
        <v>192.9</v>
      </c>
      <c r="E39" s="255">
        <v>0</v>
      </c>
      <c r="F39" s="255">
        <f>C39*D39+E39</f>
        <v>3858</v>
      </c>
      <c r="G39" s="259">
        <v>42398</v>
      </c>
      <c r="H39" s="260">
        <v>20</v>
      </c>
      <c r="I39" s="255">
        <v>192.22</v>
      </c>
      <c r="J39" s="255">
        <v>7.0000000000000007E-2</v>
      </c>
      <c r="K39" s="255">
        <f>H39*I39-J39</f>
        <v>3844.33</v>
      </c>
      <c r="L39" s="259"/>
      <c r="M39" s="255"/>
      <c r="O39" s="11"/>
    </row>
    <row r="40" spans="1:18" x14ac:dyDescent="0.25">
      <c r="A40" s="261" t="s">
        <v>71</v>
      </c>
      <c r="B40" s="259">
        <v>42384</v>
      </c>
      <c r="C40" s="254">
        <v>5</v>
      </c>
      <c r="D40" s="255">
        <v>186.79</v>
      </c>
      <c r="E40" s="255">
        <v>0</v>
      </c>
      <c r="F40" s="255">
        <f>C40*D40+E40</f>
        <v>933.94999999999993</v>
      </c>
      <c r="G40" s="259">
        <v>42416</v>
      </c>
      <c r="H40" s="260">
        <v>10</v>
      </c>
      <c r="I40" s="255">
        <v>189.25</v>
      </c>
      <c r="J40" s="255">
        <v>0.04</v>
      </c>
      <c r="K40" s="255">
        <f>H40*I40-J40</f>
        <v>1892.46</v>
      </c>
      <c r="L40" s="254"/>
      <c r="M40" s="254"/>
      <c r="O40" s="2"/>
    </row>
    <row r="41" spans="1:18" x14ac:dyDescent="0.25">
      <c r="A41" s="254"/>
      <c r="B41" s="259">
        <v>42405</v>
      </c>
      <c r="C41" s="254">
        <v>15</v>
      </c>
      <c r="D41" s="255">
        <v>187.8</v>
      </c>
      <c r="E41" s="255">
        <v>0</v>
      </c>
      <c r="F41" s="255">
        <f>C41*D41+E41</f>
        <v>2817</v>
      </c>
      <c r="G41" s="259">
        <v>42424</v>
      </c>
      <c r="H41" s="260">
        <v>10</v>
      </c>
      <c r="I41" s="255">
        <v>194.3</v>
      </c>
      <c r="J41" s="255">
        <v>0.04</v>
      </c>
      <c r="K41" s="255">
        <f>H41*I41-J41</f>
        <v>1942.96</v>
      </c>
      <c r="L41" s="254"/>
      <c r="M41" s="254"/>
      <c r="O41" s="2"/>
    </row>
    <row r="42" spans="1:18" x14ac:dyDescent="0.25">
      <c r="A42" s="254"/>
      <c r="B42" s="259">
        <v>42408</v>
      </c>
      <c r="C42" s="254">
        <v>5</v>
      </c>
      <c r="D42" s="255">
        <v>183.55</v>
      </c>
      <c r="E42" s="255">
        <v>0</v>
      </c>
      <c r="F42" s="255">
        <f>C42*D42+E42</f>
        <v>917.75</v>
      </c>
      <c r="G42" s="259">
        <v>42440</v>
      </c>
      <c r="H42" s="260">
        <v>5</v>
      </c>
      <c r="I42" s="255">
        <v>201.56</v>
      </c>
      <c r="J42" s="255">
        <v>0.02</v>
      </c>
      <c r="K42" s="255">
        <f>H42*I42-J42</f>
        <v>1007.78</v>
      </c>
      <c r="L42" s="254"/>
      <c r="M42" s="254"/>
      <c r="O42" s="2"/>
    </row>
    <row r="43" spans="1:18" x14ac:dyDescent="0.25">
      <c r="A43" s="254"/>
      <c r="B43" s="254"/>
      <c r="C43" s="254"/>
      <c r="D43" s="255"/>
      <c r="E43" s="255"/>
      <c r="F43" s="255"/>
      <c r="G43" s="254"/>
      <c r="H43" s="260"/>
      <c r="I43" s="255"/>
      <c r="J43" s="255"/>
      <c r="K43" s="255"/>
      <c r="L43" s="254"/>
      <c r="M43" s="254"/>
      <c r="O43" s="2"/>
    </row>
    <row r="44" spans="1:18" x14ac:dyDescent="0.25">
      <c r="A44" s="254"/>
      <c r="B44" s="254"/>
      <c r="C44" s="254"/>
      <c r="D44" s="255"/>
      <c r="E44" s="255"/>
      <c r="F44" s="255"/>
      <c r="G44" s="254"/>
      <c r="H44" s="254"/>
      <c r="I44" s="255"/>
      <c r="J44" s="255"/>
      <c r="K44" s="255"/>
      <c r="L44" s="254"/>
      <c r="M44" s="254"/>
      <c r="O44" s="2"/>
    </row>
    <row r="45" spans="1:18" x14ac:dyDescent="0.25">
      <c r="A45" s="254"/>
      <c r="B45" s="254"/>
      <c r="C45" s="254"/>
      <c r="D45" s="255"/>
      <c r="E45" s="255"/>
      <c r="F45" s="255"/>
      <c r="G45" s="254"/>
      <c r="H45" s="254"/>
      <c r="I45" s="255"/>
      <c r="J45" s="255"/>
      <c r="K45" s="255"/>
      <c r="L45" s="254"/>
      <c r="M45" s="254"/>
      <c r="O45" s="2"/>
    </row>
    <row r="46" spans="1:18" x14ac:dyDescent="0.25">
      <c r="A46" s="254"/>
      <c r="B46" s="254"/>
      <c r="C46" s="254"/>
      <c r="D46" s="255"/>
      <c r="E46" s="255"/>
      <c r="F46" s="255"/>
      <c r="G46" s="254"/>
      <c r="H46" s="254"/>
      <c r="I46" s="255"/>
      <c r="J46" s="255"/>
      <c r="K46" s="255"/>
      <c r="L46" s="254"/>
      <c r="M46" s="254"/>
      <c r="O46" s="2"/>
    </row>
    <row r="47" spans="1:18" x14ac:dyDescent="0.25">
      <c r="A47" s="254"/>
      <c r="B47" s="254"/>
      <c r="C47" s="254"/>
      <c r="D47" s="255"/>
      <c r="E47" s="255"/>
      <c r="F47" s="255"/>
      <c r="G47" s="254"/>
      <c r="H47" s="254"/>
      <c r="I47" s="255"/>
      <c r="J47" s="255"/>
      <c r="K47" s="255"/>
      <c r="L47" s="254"/>
      <c r="M47" s="254"/>
      <c r="O47" s="2"/>
    </row>
    <row r="48" spans="1:18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/>
      <c r="M48" s="254"/>
      <c r="O48" s="2"/>
    </row>
    <row r="49" spans="1:15" x14ac:dyDescent="0.25">
      <c r="A49" s="254"/>
      <c r="B49" s="254"/>
      <c r="C49" s="254"/>
      <c r="D49" s="255"/>
      <c r="E49" s="255"/>
      <c r="F49" s="255"/>
      <c r="G49" s="254"/>
      <c r="H49" s="254"/>
      <c r="I49" s="255"/>
      <c r="J49" s="255"/>
      <c r="K49" s="255"/>
      <c r="L49" s="254"/>
      <c r="M49" s="254"/>
      <c r="O49" s="2"/>
    </row>
    <row r="50" spans="1:15" x14ac:dyDescent="0.25">
      <c r="A50" s="254"/>
      <c r="B50" s="254"/>
      <c r="C50" s="254"/>
      <c r="D50" s="255"/>
      <c r="E50" s="255"/>
      <c r="F50" s="255"/>
      <c r="G50" s="254"/>
      <c r="H50" s="254"/>
      <c r="I50" s="255"/>
      <c r="J50" s="255"/>
      <c r="K50" s="255"/>
      <c r="L50" s="254"/>
      <c r="M50" s="254"/>
      <c r="O50" s="2"/>
    </row>
    <row r="51" spans="1:15" x14ac:dyDescent="0.25">
      <c r="A51" s="254"/>
      <c r="B51" s="254"/>
      <c r="C51" s="254"/>
      <c r="D51" s="255"/>
      <c r="E51" s="255"/>
      <c r="F51" s="255"/>
      <c r="G51" s="254"/>
      <c r="H51" s="254"/>
      <c r="I51" s="255"/>
      <c r="J51" s="255"/>
      <c r="K51" s="255"/>
      <c r="L51" s="254"/>
      <c r="M51" s="254"/>
      <c r="O51" s="2"/>
    </row>
    <row r="52" spans="1:15" x14ac:dyDescent="0.25">
      <c r="A52" s="254"/>
      <c r="B52" s="254"/>
      <c r="C52" s="254"/>
      <c r="D52" s="255"/>
      <c r="E52" s="255"/>
      <c r="F52" s="255"/>
      <c r="G52" s="254"/>
      <c r="H52" s="254"/>
      <c r="I52" s="255"/>
      <c r="J52" s="255"/>
      <c r="K52" s="255"/>
      <c r="L52" s="254"/>
      <c r="M52" s="254"/>
      <c r="O52" s="2"/>
    </row>
    <row r="53" spans="1:15" x14ac:dyDescent="0.25">
      <c r="A53" s="254"/>
      <c r="B53" s="254"/>
      <c r="C53" s="254"/>
      <c r="D53" s="255"/>
      <c r="E53" s="255"/>
      <c r="F53" s="255"/>
      <c r="G53" s="254"/>
      <c r="H53" s="254"/>
      <c r="I53" s="255"/>
      <c r="J53" s="255"/>
      <c r="K53" s="255"/>
      <c r="L53" s="254"/>
      <c r="M53" s="254"/>
      <c r="O53" s="2"/>
    </row>
    <row r="54" spans="1:15" x14ac:dyDescent="0.25">
      <c r="A54" s="254"/>
      <c r="B54" s="254"/>
      <c r="C54" s="254"/>
      <c r="D54" s="255"/>
      <c r="E54" s="255"/>
      <c r="F54" s="255"/>
      <c r="G54" s="254"/>
      <c r="H54" s="254"/>
      <c r="I54" s="255"/>
      <c r="J54" s="255"/>
      <c r="K54" s="255"/>
      <c r="L54" s="254"/>
      <c r="M54" s="254"/>
      <c r="O54" s="2"/>
    </row>
    <row r="55" spans="1:15" x14ac:dyDescent="0.25">
      <c r="A55" s="31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1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</row>
    <row r="56" spans="1:15" x14ac:dyDescent="0.25">
      <c r="O56" s="2"/>
    </row>
    <row r="57" spans="1:15" x14ac:dyDescent="0.25">
      <c r="B57" s="797" t="s">
        <v>113</v>
      </c>
      <c r="C57" s="797" t="s">
        <v>146</v>
      </c>
      <c r="D57" s="798" t="s">
        <v>145</v>
      </c>
      <c r="E57" s="799" t="s">
        <v>147</v>
      </c>
      <c r="F57" s="799" t="s">
        <v>65</v>
      </c>
      <c r="G57" s="800" t="s">
        <v>151</v>
      </c>
      <c r="H57" s="800" t="s">
        <v>88</v>
      </c>
      <c r="I57" s="800" t="s">
        <v>154</v>
      </c>
      <c r="O57" s="2"/>
    </row>
    <row r="58" spans="1:15" x14ac:dyDescent="0.25">
      <c r="B58" s="650">
        <v>42377</v>
      </c>
      <c r="C58" s="649">
        <v>20</v>
      </c>
      <c r="D58" s="651">
        <v>192.9</v>
      </c>
      <c r="E58" s="651">
        <v>191.92</v>
      </c>
      <c r="F58" s="651">
        <f>C58*(E58-D58)</f>
        <v>-19.600000000000364</v>
      </c>
      <c r="G58" s="651">
        <f>D58*C58</f>
        <v>3858</v>
      </c>
      <c r="H58" s="652">
        <f>(E58-D58)/D58</f>
        <v>-5.0803525142561852E-3</v>
      </c>
      <c r="I58" s="651"/>
      <c r="O58" s="2"/>
    </row>
    <row r="59" spans="1:15" x14ac:dyDescent="0.25">
      <c r="B59" s="650">
        <v>42384</v>
      </c>
      <c r="C59" s="649">
        <v>25</v>
      </c>
      <c r="D59" s="651">
        <v>191.678</v>
      </c>
      <c r="E59" s="651">
        <v>187.81</v>
      </c>
      <c r="F59" s="651">
        <f t="shared" ref="F59:F65" si="1">C59*(E59-D59)</f>
        <v>-96.699999999999875</v>
      </c>
      <c r="G59" s="651">
        <f t="shared" ref="G59:G65" si="2">D59*C59</f>
        <v>4791.95</v>
      </c>
      <c r="H59" s="652">
        <f t="shared" ref="H59:H65" si="3">(E59-D59)/D59</f>
        <v>-2.0179676332182071E-2</v>
      </c>
      <c r="I59" s="651"/>
      <c r="O59" s="2"/>
    </row>
    <row r="60" spans="1:15" x14ac:dyDescent="0.25">
      <c r="B60" s="650">
        <v>42398</v>
      </c>
      <c r="C60" s="649">
        <v>5</v>
      </c>
      <c r="D60" s="651">
        <v>189.52</v>
      </c>
      <c r="E60" s="651">
        <v>191.87</v>
      </c>
      <c r="F60" s="651">
        <f t="shared" si="1"/>
        <v>11.749999999999972</v>
      </c>
      <c r="G60" s="651">
        <f t="shared" si="2"/>
        <v>947.6</v>
      </c>
      <c r="H60" s="652">
        <f t="shared" si="3"/>
        <v>1.2399746728577429E-2</v>
      </c>
      <c r="I60" s="651"/>
      <c r="O60" s="2"/>
    </row>
    <row r="61" spans="1:15" x14ac:dyDescent="0.25">
      <c r="B61" s="650">
        <v>42405</v>
      </c>
      <c r="C61" s="649">
        <v>20</v>
      </c>
      <c r="D61" s="651">
        <v>188.23099999999999</v>
      </c>
      <c r="E61" s="651">
        <v>187.8</v>
      </c>
      <c r="F61" s="651">
        <f t="shared" si="1"/>
        <v>-8.6199999999996635</v>
      </c>
      <c r="G61" s="651">
        <f t="shared" si="2"/>
        <v>3764.62</v>
      </c>
      <c r="H61" s="652">
        <f t="shared" si="3"/>
        <v>-2.2897397346876083E-3</v>
      </c>
      <c r="I61" s="651"/>
    </row>
    <row r="62" spans="1:15" x14ac:dyDescent="0.25">
      <c r="B62" s="650">
        <v>42408</v>
      </c>
      <c r="C62" s="649">
        <v>25</v>
      </c>
      <c r="D62" s="651">
        <v>187.29480000000001</v>
      </c>
      <c r="E62" s="651">
        <v>185.42</v>
      </c>
      <c r="F62" s="651">
        <f t="shared" si="1"/>
        <v>-46.870000000000545</v>
      </c>
      <c r="G62" s="651">
        <f t="shared" si="2"/>
        <v>4682.37</v>
      </c>
      <c r="H62" s="652">
        <f t="shared" si="3"/>
        <v>-1.0009888154930204E-2</v>
      </c>
      <c r="I62" s="651"/>
    </row>
    <row r="63" spans="1:15" x14ac:dyDescent="0.25">
      <c r="B63" s="650">
        <v>42416</v>
      </c>
      <c r="C63" s="649">
        <v>15</v>
      </c>
      <c r="D63" s="651">
        <v>185.994</v>
      </c>
      <c r="E63" s="651">
        <v>189.78</v>
      </c>
      <c r="F63" s="651">
        <f t="shared" si="1"/>
        <v>56.79000000000002</v>
      </c>
      <c r="G63" s="651">
        <f t="shared" si="2"/>
        <v>2789.91</v>
      </c>
      <c r="H63" s="652">
        <f t="shared" si="3"/>
        <v>2.0355495338559317E-2</v>
      </c>
      <c r="I63" s="651"/>
    </row>
    <row r="64" spans="1:15" x14ac:dyDescent="0.25">
      <c r="B64" s="650">
        <v>42424</v>
      </c>
      <c r="C64" s="649">
        <v>5</v>
      </c>
      <c r="D64" s="651">
        <v>169.39</v>
      </c>
      <c r="E64" s="651">
        <v>193.2</v>
      </c>
      <c r="F64" s="651">
        <f t="shared" si="1"/>
        <v>119.05000000000001</v>
      </c>
      <c r="G64" s="651">
        <f t="shared" si="2"/>
        <v>846.94999999999993</v>
      </c>
      <c r="H64" s="652">
        <f t="shared" si="3"/>
        <v>0.1405631973552158</v>
      </c>
      <c r="I64" s="651"/>
    </row>
    <row r="65" spans="2:9" x14ac:dyDescent="0.25">
      <c r="B65" s="650">
        <v>42431</v>
      </c>
      <c r="C65" s="649">
        <v>5</v>
      </c>
      <c r="D65" s="651">
        <v>169.39</v>
      </c>
      <c r="E65" s="651">
        <v>199</v>
      </c>
      <c r="F65" s="651">
        <f t="shared" si="1"/>
        <v>148.05000000000007</v>
      </c>
      <c r="G65" s="651">
        <f t="shared" si="2"/>
        <v>846.94999999999993</v>
      </c>
      <c r="H65" s="652">
        <f t="shared" si="3"/>
        <v>0.17480370742074511</v>
      </c>
      <c r="I65" s="651"/>
    </row>
    <row r="66" spans="2:9" x14ac:dyDescent="0.25">
      <c r="B66" s="650">
        <v>42440</v>
      </c>
      <c r="C66" s="649">
        <v>0</v>
      </c>
      <c r="D66" s="651"/>
      <c r="E66" s="651"/>
      <c r="F66" s="651">
        <v>160.83000000000001</v>
      </c>
      <c r="G66" s="651"/>
      <c r="H66" s="652"/>
      <c r="I66" s="651"/>
    </row>
    <row r="67" spans="2:9" x14ac:dyDescent="0.25">
      <c r="B67" s="650"/>
      <c r="C67" s="649"/>
      <c r="D67" s="651"/>
      <c r="E67" s="651"/>
      <c r="F67" s="651"/>
      <c r="G67" s="651"/>
      <c r="H67" s="652"/>
      <c r="I67" s="651"/>
    </row>
    <row r="68" spans="2:9" x14ac:dyDescent="0.25">
      <c r="B68" s="650"/>
      <c r="C68" s="649"/>
      <c r="D68" s="651"/>
      <c r="E68" s="651"/>
      <c r="F68" s="651"/>
      <c r="G68" s="651"/>
      <c r="H68" s="652"/>
      <c r="I68" s="651"/>
    </row>
    <row r="69" spans="2:9" x14ac:dyDescent="0.25">
      <c r="B69" s="650"/>
      <c r="C69" s="649"/>
      <c r="D69" s="651"/>
      <c r="E69" s="651"/>
      <c r="F69" s="651"/>
      <c r="G69" s="651"/>
      <c r="H69" s="652"/>
      <c r="I69" s="651"/>
    </row>
    <row r="70" spans="2:9" x14ac:dyDescent="0.25">
      <c r="B70" s="650"/>
      <c r="C70" s="649"/>
      <c r="D70" s="651"/>
      <c r="E70" s="651"/>
      <c r="F70" s="651"/>
      <c r="G70" s="651"/>
      <c r="H70" s="652"/>
      <c r="I70" s="651"/>
    </row>
    <row r="71" spans="2:9" x14ac:dyDescent="0.25">
      <c r="B71" s="650"/>
      <c r="C71" s="649"/>
      <c r="D71" s="651"/>
      <c r="E71" s="651"/>
      <c r="F71" s="651"/>
      <c r="G71" s="651"/>
      <c r="H71" s="652"/>
      <c r="I71" s="651"/>
    </row>
    <row r="72" spans="2:9" x14ac:dyDescent="0.25">
      <c r="B72" s="650"/>
      <c r="C72" s="649"/>
      <c r="D72" s="651"/>
      <c r="E72" s="651"/>
      <c r="F72" s="651"/>
      <c r="G72" s="651"/>
      <c r="H72" s="652"/>
      <c r="I72" s="651"/>
    </row>
  </sheetData>
  <mergeCells count="1">
    <mergeCell ref="P14:Q14"/>
  </mergeCells>
  <conditionalFormatting sqref="F25:F27">
    <cfRule type="expression" dxfId="683" priority="33">
      <formula>F25&gt;0</formula>
    </cfRule>
    <cfRule type="expression" dxfId="682" priority="34">
      <formula>F25&lt;0</formula>
    </cfRule>
  </conditionalFormatting>
  <conditionalFormatting sqref="P15:P3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5:Q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:F35">
    <cfRule type="expression" dxfId="681" priority="25">
      <formula>F28&gt;0</formula>
    </cfRule>
    <cfRule type="expression" dxfId="680" priority="26">
      <formula>F28&lt;0</formula>
    </cfRule>
  </conditionalFormatting>
  <conditionalFormatting sqref="F28:F35">
    <cfRule type="expression" dxfId="679" priority="27">
      <formula>F28&gt;0</formula>
    </cfRule>
    <cfRule type="expression" dxfId="678" priority="28">
      <formula>F28&lt;0</formula>
    </cfRule>
  </conditionalFormatting>
  <conditionalFormatting sqref="H25:H35">
    <cfRule type="expression" dxfId="677" priority="23">
      <formula>H25&gt;0</formula>
    </cfRule>
    <cfRule type="expression" dxfId="676" priority="24">
      <formula>H25&lt;0</formula>
    </cfRule>
  </conditionalFormatting>
  <conditionalFormatting sqref="F21:F24">
    <cfRule type="expression" dxfId="675" priority="21">
      <formula>F21&gt;0</formula>
    </cfRule>
    <cfRule type="expression" dxfId="674" priority="22">
      <formula>F21&lt;0</formula>
    </cfRule>
  </conditionalFormatting>
  <conditionalFormatting sqref="H21:H24">
    <cfRule type="expression" dxfId="673" priority="19">
      <formula>H21&gt;0</formula>
    </cfRule>
    <cfRule type="expression" dxfId="672" priority="20">
      <formula>H21&lt;0</formula>
    </cfRule>
  </conditionalFormatting>
  <conditionalFormatting sqref="Q8">
    <cfRule type="expression" dxfId="671" priority="15">
      <formula>Q8&gt;0</formula>
    </cfRule>
    <cfRule type="expression" dxfId="670" priority="16">
      <formula>Q8&lt;0</formula>
    </cfRule>
  </conditionalFormatting>
  <conditionalFormatting sqref="Q7">
    <cfRule type="expression" dxfId="669" priority="17">
      <formula>Q7&gt;0</formula>
    </cfRule>
    <cfRule type="expression" dxfId="668" priority="18">
      <formula>Q7&lt;0</formula>
    </cfRule>
  </conditionalFormatting>
  <conditionalFormatting sqref="F62:F64">
    <cfRule type="expression" dxfId="667" priority="13">
      <formula>F62&gt;0</formula>
    </cfRule>
    <cfRule type="expression" dxfId="666" priority="14">
      <formula>F62&lt;0</formula>
    </cfRule>
  </conditionalFormatting>
  <conditionalFormatting sqref="F65:F72">
    <cfRule type="expression" dxfId="665" priority="9">
      <formula>F65&gt;0</formula>
    </cfRule>
    <cfRule type="expression" dxfId="664" priority="10">
      <formula>F65&lt;0</formula>
    </cfRule>
  </conditionalFormatting>
  <conditionalFormatting sqref="F65:F72">
    <cfRule type="expression" dxfId="663" priority="11">
      <formula>F65&gt;0</formula>
    </cfRule>
    <cfRule type="expression" dxfId="662" priority="12">
      <formula>F65&lt;0</formula>
    </cfRule>
  </conditionalFormatting>
  <conditionalFormatting sqref="H62:H72">
    <cfRule type="expression" dxfId="661" priority="7">
      <formula>H62&gt;0</formula>
    </cfRule>
    <cfRule type="expression" dxfId="660" priority="8">
      <formula>H62&lt;0</formula>
    </cfRule>
  </conditionalFormatting>
  <conditionalFormatting sqref="F58:F61">
    <cfRule type="expression" dxfId="659" priority="5">
      <formula>F58&gt;0</formula>
    </cfRule>
    <cfRule type="expression" dxfId="658" priority="6">
      <formula>F58&lt;0</formula>
    </cfRule>
  </conditionalFormatting>
  <conditionalFormatting sqref="H58:H61">
    <cfRule type="expression" dxfId="657" priority="3">
      <formula>H58&gt;0</formula>
    </cfRule>
    <cfRule type="expression" dxfId="656" priority="4">
      <formula>H58&lt;0</formula>
    </cfRule>
  </conditionalFormatting>
  <conditionalFormatting sqref="Q10">
    <cfRule type="expression" dxfId="655" priority="1">
      <formula>Q10&gt;0</formula>
    </cfRule>
    <cfRule type="expression" dxfId="65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9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8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O3" s="11" t="s">
        <v>58</v>
      </c>
      <c r="Q3" s="225">
        <f>IF(Q2=0, Q4, (F18-K18-M18)/Q2)</f>
        <v>102.64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8">
        <v>99.35</v>
      </c>
      <c r="AD3" s="2">
        <f>Y3-Z3</f>
        <v>2.5600000000000023</v>
      </c>
      <c r="AE3" s="134">
        <f>AC3/AC4-1</f>
        <v>1.6680311092918565E-2</v>
      </c>
      <c r="AN3" s="229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O4" s="11" t="s">
        <v>66</v>
      </c>
      <c r="Q4" s="54">
        <v>102.64</v>
      </c>
      <c r="R4" s="487">
        <v>3.6299999999999999E-2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8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9"/>
      <c r="AN4" s="229"/>
    </row>
    <row r="5" spans="1:40" x14ac:dyDescent="0.25">
      <c r="B5" s="72"/>
      <c r="C5" s="17"/>
      <c r="D5" s="73"/>
      <c r="E5" s="73"/>
      <c r="F5" s="3"/>
      <c r="G5" s="72"/>
      <c r="H5" s="180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8">
        <v>97.98</v>
      </c>
      <c r="AD5" s="2">
        <f t="shared" si="0"/>
        <v>0.78000000000000114</v>
      </c>
      <c r="AE5" s="134">
        <f t="shared" si="1"/>
        <v>-1.6303240269003316E-3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8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8">
        <v>97.23</v>
      </c>
      <c r="AD7" s="2">
        <f t="shared" si="0"/>
        <v>0.84999999999999432</v>
      </c>
      <c r="AE7" s="134">
        <f t="shared" si="1"/>
        <v>-7.1479628305932685E-3</v>
      </c>
      <c r="AK7" s="229"/>
      <c r="AN7" s="229"/>
    </row>
    <row r="8" spans="1:40" x14ac:dyDescent="0.25">
      <c r="B8" s="4"/>
      <c r="C8" s="4"/>
      <c r="D8" s="3"/>
      <c r="E8" s="3"/>
      <c r="F8" s="3"/>
      <c r="G8" s="4"/>
      <c r="H8" s="180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8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0"/>
      <c r="I9" s="3"/>
      <c r="J9" s="3"/>
      <c r="K9" s="3"/>
      <c r="L9" s="4"/>
      <c r="O9" s="11" t="s">
        <v>210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8">
        <v>97.19</v>
      </c>
      <c r="AD9" s="2">
        <f t="shared" si="0"/>
        <v>2.3799999999999955</v>
      </c>
      <c r="AE9" s="134">
        <f t="shared" si="1"/>
        <v>-1.1305241521069043E-3</v>
      </c>
      <c r="AK9" s="229"/>
      <c r="AN9" s="229"/>
    </row>
    <row r="10" spans="1:40" ht="12.75" customHeight="1" x14ac:dyDescent="0.25">
      <c r="H10" s="70"/>
      <c r="O10" s="11" t="s">
        <v>209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8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8">
        <v>96.5</v>
      </c>
      <c r="AD11" s="2">
        <f t="shared" si="0"/>
        <v>1.2600000000000051</v>
      </c>
      <c r="AE11" s="134">
        <f t="shared" si="1"/>
        <v>-2.4808765763902896E-3</v>
      </c>
      <c r="AK11" s="229"/>
      <c r="AN11" s="229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8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8">
        <v>95.52</v>
      </c>
      <c r="AD13" s="2">
        <f t="shared" si="0"/>
        <v>3.2999999999999972</v>
      </c>
      <c r="AE13" s="134">
        <f t="shared" si="1"/>
        <v>-2.7192178429575331E-2</v>
      </c>
      <c r="AK13" s="229"/>
      <c r="AN13" s="229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8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8">
        <v>97.93</v>
      </c>
      <c r="AD15" s="2">
        <f t="shared" si="0"/>
        <v>1.0999999999999943</v>
      </c>
      <c r="AE15" s="134">
        <f t="shared" si="1"/>
        <v>-1.8346753643868619E-3</v>
      </c>
      <c r="AK15" s="229"/>
      <c r="AN15" s="229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8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8">
        <v>99.11</v>
      </c>
      <c r="AD17" s="2">
        <f t="shared" si="0"/>
        <v>1.2599999999999909</v>
      </c>
      <c r="AE17" s="134">
        <f t="shared" si="1"/>
        <v>3.2391942504301774E-3</v>
      </c>
      <c r="AK17" s="229"/>
      <c r="AN17" s="229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8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8">
        <v>99.04</v>
      </c>
      <c r="AD19" s="2">
        <f t="shared" si="0"/>
        <v>1.2800000000000011</v>
      </c>
      <c r="AE19" s="134">
        <f t="shared" si="1"/>
        <v>8.7594214707680251E-3</v>
      </c>
      <c r="AK19" s="229"/>
      <c r="AN19" s="229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8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8">
        <v>97.14</v>
      </c>
      <c r="AD21" s="2">
        <f t="shared" si="0"/>
        <v>2.6099999999999994</v>
      </c>
      <c r="AE21" s="134">
        <f t="shared" si="1"/>
        <v>4.6540490226496534E-3</v>
      </c>
      <c r="AK21" s="229"/>
      <c r="AN21" s="229"/>
    </row>
    <row r="22" spans="1:40" x14ac:dyDescent="0.25">
      <c r="B22" s="186" t="s">
        <v>113</v>
      </c>
      <c r="C22" s="186" t="s">
        <v>146</v>
      </c>
      <c r="D22" s="187" t="s">
        <v>145</v>
      </c>
      <c r="E22" s="189" t="s">
        <v>147</v>
      </c>
      <c r="F22" s="189" t="s">
        <v>65</v>
      </c>
      <c r="G22" s="224" t="s">
        <v>151</v>
      </c>
      <c r="H22" s="224" t="s">
        <v>88</v>
      </c>
      <c r="I22" s="224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8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8">
        <v>42546</v>
      </c>
      <c r="C23" s="433">
        <v>60</v>
      </c>
      <c r="D23" s="43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6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8">
        <v>95.05</v>
      </c>
      <c r="AD23" s="2">
        <f t="shared" si="0"/>
        <v>1.2800000000000011</v>
      </c>
      <c r="AE23" s="134">
        <f t="shared" si="1"/>
        <v>-4.1906757464641453E-3</v>
      </c>
      <c r="AK23" s="229"/>
    </row>
    <row r="24" spans="1:40" x14ac:dyDescent="0.25">
      <c r="B24" s="188">
        <v>42548</v>
      </c>
      <c r="C24" s="275">
        <v>60</v>
      </c>
      <c r="D24" s="331">
        <v>60.935000000000002</v>
      </c>
      <c r="E24" s="331">
        <v>58.01</v>
      </c>
      <c r="F24" s="39">
        <f t="shared" si="2"/>
        <v>-175.50000000000026</v>
      </c>
      <c r="G24" s="39">
        <f t="shared" si="3"/>
        <v>3656.1000000000004</v>
      </c>
      <c r="H24" s="226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8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8">
        <v>42549</v>
      </c>
      <c r="C25" s="443">
        <v>120</v>
      </c>
      <c r="D25" s="447">
        <v>60.935000000000002</v>
      </c>
      <c r="E25" s="331">
        <v>60.26</v>
      </c>
      <c r="F25" s="39">
        <f t="shared" si="2"/>
        <v>-81.000000000000512</v>
      </c>
      <c r="G25" s="39">
        <f t="shared" si="3"/>
        <v>7312.2000000000007</v>
      </c>
      <c r="H25" s="226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8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8">
        <v>42550</v>
      </c>
      <c r="C26" s="275">
        <v>120</v>
      </c>
      <c r="D26" s="331">
        <v>60.935000000000002</v>
      </c>
      <c r="E26" s="331">
        <v>61.73</v>
      </c>
      <c r="F26" s="39">
        <f t="shared" si="2"/>
        <v>95.399999999999352</v>
      </c>
      <c r="G26" s="39">
        <f t="shared" si="3"/>
        <v>7312.2000000000007</v>
      </c>
      <c r="H26" s="226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8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8">
        <v>42551</v>
      </c>
      <c r="C27" s="430">
        <v>60</v>
      </c>
      <c r="D27" s="438">
        <v>59.007199999999997</v>
      </c>
      <c r="E27" s="331">
        <v>63.28</v>
      </c>
      <c r="F27" s="39">
        <f t="shared" si="2"/>
        <v>256.36800000000022</v>
      </c>
      <c r="G27" s="39">
        <f t="shared" si="3"/>
        <v>3540.4319999999998</v>
      </c>
      <c r="H27" s="226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8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8">
        <v>42552</v>
      </c>
      <c r="C28" s="275">
        <v>60</v>
      </c>
      <c r="D28" s="331">
        <v>59.007199999999997</v>
      </c>
      <c r="E28" s="331">
        <v>62.6</v>
      </c>
      <c r="F28" s="39">
        <f t="shared" si="2"/>
        <v>215.56800000000024</v>
      </c>
      <c r="G28" s="39">
        <f t="shared" si="3"/>
        <v>3540.4319999999998</v>
      </c>
      <c r="H28" s="226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8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8">
        <v>42556</v>
      </c>
      <c r="C29" s="275">
        <v>60</v>
      </c>
      <c r="D29" s="331">
        <v>59.007199999999997</v>
      </c>
      <c r="E29" s="331">
        <v>58.82</v>
      </c>
      <c r="F29" s="39">
        <f t="shared" si="2"/>
        <v>-11.231999999999829</v>
      </c>
      <c r="G29" s="39">
        <f t="shared" si="3"/>
        <v>3540.4319999999998</v>
      </c>
      <c r="H29" s="226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8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8">
        <v>42557</v>
      </c>
      <c r="C30" s="416">
        <v>90</v>
      </c>
      <c r="D30" s="45">
        <v>58.531399999999998</v>
      </c>
      <c r="E30" s="331">
        <v>59.16</v>
      </c>
      <c r="F30" s="39">
        <f t="shared" si="2"/>
        <v>56.573999999999884</v>
      </c>
      <c r="G30" s="39">
        <f t="shared" si="3"/>
        <v>5267.826</v>
      </c>
      <c r="H30" s="226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8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8">
        <v>42562</v>
      </c>
      <c r="C31" s="275">
        <v>90</v>
      </c>
      <c r="D31" s="331">
        <v>58.531399999999998</v>
      </c>
      <c r="E31" s="331">
        <v>64.64</v>
      </c>
      <c r="F31" s="39">
        <f t="shared" si="2"/>
        <v>549.77400000000023</v>
      </c>
      <c r="G31" s="39">
        <f t="shared" si="3"/>
        <v>5267.826</v>
      </c>
      <c r="H31" s="226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8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8">
        <v>42563</v>
      </c>
      <c r="C32" s="275">
        <v>90</v>
      </c>
      <c r="D32" s="331">
        <v>58.531399999999998</v>
      </c>
      <c r="E32" s="331">
        <v>65.8</v>
      </c>
      <c r="F32" s="39">
        <f t="shared" si="2"/>
        <v>654.17399999999998</v>
      </c>
      <c r="G32" s="39">
        <f t="shared" si="3"/>
        <v>5267.826</v>
      </c>
      <c r="H32" s="226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8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8">
        <v>42569</v>
      </c>
      <c r="C33" s="275">
        <v>90</v>
      </c>
      <c r="D33" s="331">
        <v>58.531399999999998</v>
      </c>
      <c r="E33" s="331">
        <v>68.7</v>
      </c>
      <c r="F33" s="39">
        <f t="shared" si="2"/>
        <v>915.17400000000043</v>
      </c>
      <c r="G33" s="39">
        <f t="shared" si="3"/>
        <v>5267.826</v>
      </c>
      <c r="H33" s="226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8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8">
        <v>42570</v>
      </c>
      <c r="C34" s="275">
        <v>90</v>
      </c>
      <c r="D34" s="331">
        <v>58.531399999999998</v>
      </c>
      <c r="E34" s="331">
        <v>68.33</v>
      </c>
      <c r="F34" s="39">
        <f t="shared" si="2"/>
        <v>881.87400000000002</v>
      </c>
      <c r="G34" s="39">
        <f t="shared" si="3"/>
        <v>5267.826</v>
      </c>
      <c r="H34" s="226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8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8">
        <v>42571</v>
      </c>
      <c r="C35" s="275">
        <v>90</v>
      </c>
      <c r="D35" s="331">
        <v>58.531399999999998</v>
      </c>
      <c r="E35" s="331">
        <v>69.489999999999995</v>
      </c>
      <c r="F35" s="39">
        <f t="shared" si="2"/>
        <v>986.27399999999977</v>
      </c>
      <c r="G35" s="39">
        <f t="shared" si="3"/>
        <v>5267.826</v>
      </c>
      <c r="H35" s="226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8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8">
        <v>42572</v>
      </c>
      <c r="C36" s="275">
        <v>90</v>
      </c>
      <c r="D36" s="331">
        <v>58.531399999999998</v>
      </c>
      <c r="E36" s="331">
        <v>70.92</v>
      </c>
      <c r="F36" s="39">
        <f t="shared" si="2"/>
        <v>1114.9740000000004</v>
      </c>
      <c r="G36" s="39">
        <f t="shared" si="3"/>
        <v>5267.826</v>
      </c>
      <c r="H36" s="226">
        <f t="shared" si="4"/>
        <v>0.21165733264538358</v>
      </c>
      <c r="I36" s="39" t="s">
        <v>248</v>
      </c>
      <c r="O36" s="11"/>
      <c r="P36" s="252" t="s">
        <v>78</v>
      </c>
      <c r="Q36" s="252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8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8">
        <v>42575</v>
      </c>
      <c r="C37" s="275">
        <v>110</v>
      </c>
      <c r="D37" s="331">
        <v>59.467500000000001</v>
      </c>
      <c r="E37" s="331">
        <v>64.81</v>
      </c>
      <c r="F37" s="39">
        <f t="shared" si="2"/>
        <v>587.67500000000018</v>
      </c>
      <c r="G37" s="39">
        <f t="shared" si="3"/>
        <v>6541.4250000000002</v>
      </c>
      <c r="H37" s="226">
        <f t="shared" si="4"/>
        <v>8.9838987682347521E-2</v>
      </c>
      <c r="I37" s="39"/>
      <c r="O37" s="2"/>
      <c r="P37" s="81">
        <v>1.1000000000000001</v>
      </c>
      <c r="Q37" s="81">
        <f>P37*$Q$4</f>
        <v>112.90400000000001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8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8">
        <v>42577</v>
      </c>
      <c r="C38" s="275">
        <v>110</v>
      </c>
      <c r="D38" s="331">
        <v>59.467500000000001</v>
      </c>
      <c r="E38" s="331">
        <v>65.87</v>
      </c>
      <c r="F38" s="39">
        <f t="shared" si="2"/>
        <v>704.27500000000032</v>
      </c>
      <c r="G38" s="39">
        <f t="shared" si="3"/>
        <v>6541.4250000000002</v>
      </c>
      <c r="H38" s="226">
        <f t="shared" si="4"/>
        <v>0.10766385000210205</v>
      </c>
      <c r="I38" s="39" t="s">
        <v>253</v>
      </c>
      <c r="O38" s="2"/>
      <c r="P38" s="81">
        <v>1.0900000000000001</v>
      </c>
      <c r="Q38" s="81">
        <f t="shared" ref="Q38:Q57" si="5">P38*$Q$4</f>
        <v>111.87760000000002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8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8">
        <v>42585</v>
      </c>
      <c r="C39" s="275">
        <v>110</v>
      </c>
      <c r="D39" s="331">
        <v>59.467500000000001</v>
      </c>
      <c r="E39" s="331">
        <v>65.040000000000006</v>
      </c>
      <c r="F39" s="39">
        <f t="shared" si="2"/>
        <v>612.97500000000059</v>
      </c>
      <c r="G39" s="39">
        <f t="shared" si="3"/>
        <v>6541.4250000000002</v>
      </c>
      <c r="H39" s="226">
        <f t="shared" si="4"/>
        <v>9.370664648757733E-2</v>
      </c>
      <c r="I39" s="39"/>
      <c r="O39" s="2"/>
      <c r="P39" s="81">
        <v>1.08</v>
      </c>
      <c r="Q39" s="81">
        <f t="shared" si="5"/>
        <v>110.85120000000001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8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8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6">
        <f t="shared" si="4"/>
        <v>0.13390444946793845</v>
      </c>
      <c r="I40" s="39"/>
      <c r="O40" s="2"/>
      <c r="P40" s="81">
        <v>1.07</v>
      </c>
      <c r="Q40" s="81">
        <f t="shared" si="5"/>
        <v>109.82480000000001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8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8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6">
        <f t="shared" si="4"/>
        <v>1.6223446402294079</v>
      </c>
      <c r="I41" s="39"/>
      <c r="O41" s="2"/>
      <c r="P41" s="81">
        <v>1.06</v>
      </c>
      <c r="Q41" s="81">
        <f t="shared" si="5"/>
        <v>108.7984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8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8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6">
        <f t="shared" si="4"/>
        <v>1.7091272686111005</v>
      </c>
      <c r="I42" s="39"/>
      <c r="O42" s="2"/>
      <c r="P42" s="81">
        <v>1.05</v>
      </c>
      <c r="Q42" s="81">
        <f t="shared" si="5"/>
        <v>107.77200000000001</v>
      </c>
      <c r="R42" s="81"/>
      <c r="T42" s="85" t="s">
        <v>99</v>
      </c>
      <c r="U42" s="127" t="s">
        <v>653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8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8">
        <v>42604</v>
      </c>
      <c r="C43" s="10">
        <v>0</v>
      </c>
      <c r="D43" s="39"/>
      <c r="E43" s="39"/>
      <c r="F43" s="39">
        <v>923.51</v>
      </c>
      <c r="G43" s="39"/>
      <c r="H43" s="226"/>
      <c r="I43" s="39"/>
      <c r="O43" s="2"/>
      <c r="P43" s="81">
        <v>1.04</v>
      </c>
      <c r="Q43" s="81">
        <f t="shared" si="5"/>
        <v>106.74560000000001</v>
      </c>
      <c r="R43" s="81"/>
      <c r="T43" s="85" t="s">
        <v>100</v>
      </c>
      <c r="U43" s="127" t="s">
        <v>654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8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8"/>
      <c r="C44" s="10"/>
      <c r="D44" s="39"/>
      <c r="E44" s="39"/>
      <c r="F44" s="39"/>
      <c r="G44" s="39"/>
      <c r="H44" s="226"/>
      <c r="I44" s="39"/>
      <c r="O44" s="2"/>
      <c r="P44" s="81">
        <v>1.03</v>
      </c>
      <c r="Q44" s="81">
        <f t="shared" si="5"/>
        <v>105.7192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8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8"/>
      <c r="C45" s="10"/>
      <c r="D45" s="39"/>
      <c r="E45" s="39"/>
      <c r="F45" s="39"/>
      <c r="G45" s="39"/>
      <c r="H45" s="226"/>
      <c r="I45" s="39"/>
      <c r="O45" s="2"/>
      <c r="P45" s="81">
        <v>1.02</v>
      </c>
      <c r="Q45" s="81">
        <f t="shared" si="5"/>
        <v>104.69280000000001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8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103.6664</v>
      </c>
      <c r="R46" s="81"/>
      <c r="T46" s="85" t="s">
        <v>121</v>
      </c>
      <c r="U46" s="92" t="s">
        <v>382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8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102.64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8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4"/>
      <c r="B48" s="254"/>
      <c r="C48" s="254"/>
      <c r="D48" s="255"/>
      <c r="E48" s="255"/>
      <c r="F48" s="255"/>
      <c r="G48" s="254"/>
      <c r="H48" s="254"/>
      <c r="I48" s="255"/>
      <c r="J48" s="255"/>
      <c r="K48" s="255"/>
      <c r="L48" s="254" t="s">
        <v>65</v>
      </c>
      <c r="M48" s="362">
        <f>M74+K74-F74</f>
        <v>1368.9000000000015</v>
      </c>
      <c r="O48" s="2"/>
      <c r="P48" s="81">
        <v>0.99</v>
      </c>
      <c r="Q48" s="81">
        <f t="shared" si="5"/>
        <v>101.61360000000001</v>
      </c>
      <c r="R48" s="81"/>
      <c r="T48" s="85" t="s">
        <v>104</v>
      </c>
      <c r="U48" s="127" t="s">
        <v>655</v>
      </c>
      <c r="W48" s="92">
        <v>42766</v>
      </c>
      <c r="X48" s="10" t="s">
        <v>319</v>
      </c>
      <c r="Y48" s="39"/>
      <c r="Z48" s="39"/>
      <c r="AA48" s="10"/>
      <c r="AB48" s="93"/>
      <c r="AC48" s="238"/>
      <c r="AD48" s="2">
        <f t="shared" si="0"/>
        <v>0</v>
      </c>
      <c r="AE48" s="134">
        <f t="shared" si="1"/>
        <v>-1</v>
      </c>
    </row>
    <row r="49" spans="1:31" x14ac:dyDescent="0.25">
      <c r="A49" s="256" t="s">
        <v>1</v>
      </c>
      <c r="B49" s="256" t="s">
        <v>2</v>
      </c>
      <c r="C49" s="256" t="s">
        <v>4</v>
      </c>
      <c r="D49" s="257" t="s">
        <v>5</v>
      </c>
      <c r="E49" s="257" t="s">
        <v>90</v>
      </c>
      <c r="F49" s="257" t="s">
        <v>60</v>
      </c>
      <c r="G49" s="256" t="s">
        <v>3</v>
      </c>
      <c r="H49" s="256" t="s">
        <v>6</v>
      </c>
      <c r="I49" s="257" t="s">
        <v>7</v>
      </c>
      <c r="J49" s="257" t="s">
        <v>89</v>
      </c>
      <c r="K49" s="257" t="s">
        <v>61</v>
      </c>
      <c r="L49" s="256" t="s">
        <v>77</v>
      </c>
      <c r="M49" s="256" t="s">
        <v>38</v>
      </c>
      <c r="O49" s="2"/>
      <c r="P49" s="81">
        <v>0.98</v>
      </c>
      <c r="Q49" s="81">
        <f t="shared" si="5"/>
        <v>100.5872</v>
      </c>
      <c r="R49" s="81"/>
      <c r="T49" s="85" t="s">
        <v>105</v>
      </c>
      <c r="U49" s="127" t="s">
        <v>656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8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8" t="s">
        <v>170</v>
      </c>
      <c r="B50" s="259">
        <v>42374</v>
      </c>
      <c r="C50" s="254">
        <v>30</v>
      </c>
      <c r="D50" s="255">
        <v>73.8</v>
      </c>
      <c r="E50" s="255">
        <v>0</v>
      </c>
      <c r="F50" s="255">
        <f t="shared" ref="F50:F55" si="6">C50*D50+E50</f>
        <v>2214</v>
      </c>
      <c r="G50" s="259">
        <v>42398</v>
      </c>
      <c r="H50" s="260">
        <v>30</v>
      </c>
      <c r="I50" s="255">
        <v>68.8</v>
      </c>
      <c r="J50" s="255">
        <v>0.04</v>
      </c>
      <c r="K50" s="255">
        <f t="shared" ref="K50:K55" si="7">I50*H50-J50</f>
        <v>2063.96</v>
      </c>
      <c r="L50" s="259">
        <v>42432</v>
      </c>
      <c r="M50" s="255">
        <v>31.2</v>
      </c>
      <c r="O50" s="2"/>
      <c r="P50" s="81">
        <v>0.97</v>
      </c>
      <c r="Q50" s="81">
        <f t="shared" si="5"/>
        <v>99.5608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8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61"/>
      <c r="B51" s="259">
        <v>42375</v>
      </c>
      <c r="C51" s="254">
        <v>30</v>
      </c>
      <c r="D51" s="255">
        <v>69.3</v>
      </c>
      <c r="E51" s="255">
        <v>0</v>
      </c>
      <c r="F51" s="255">
        <f t="shared" si="6"/>
        <v>2079</v>
      </c>
      <c r="G51" s="259">
        <v>42416</v>
      </c>
      <c r="H51" s="254">
        <v>30</v>
      </c>
      <c r="I51" s="255">
        <v>61.3</v>
      </c>
      <c r="J51" s="255">
        <v>0.04</v>
      </c>
      <c r="K51" s="255">
        <f t="shared" si="7"/>
        <v>1838.96</v>
      </c>
      <c r="L51" s="254"/>
      <c r="M51" s="254"/>
      <c r="O51" s="2"/>
      <c r="P51" s="81">
        <v>0.96</v>
      </c>
      <c r="Q51" s="81">
        <f t="shared" si="5"/>
        <v>98.534399999999991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8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4"/>
      <c r="B52" s="259">
        <v>42380</v>
      </c>
      <c r="C52" s="254">
        <v>30</v>
      </c>
      <c r="D52" s="255">
        <v>65.400000000000006</v>
      </c>
      <c r="E52" s="255">
        <v>0</v>
      </c>
      <c r="F52" s="255">
        <f t="shared" si="6"/>
        <v>1962.0000000000002</v>
      </c>
      <c r="G52" s="259">
        <v>42429</v>
      </c>
      <c r="H52" s="260">
        <v>30</v>
      </c>
      <c r="I52" s="255">
        <v>67.5</v>
      </c>
      <c r="J52" s="255">
        <v>0.04</v>
      </c>
      <c r="K52" s="255">
        <f t="shared" si="7"/>
        <v>2024.96</v>
      </c>
      <c r="L52" s="254"/>
      <c r="M52" s="254"/>
      <c r="O52" s="2"/>
      <c r="P52" s="81">
        <v>0.95</v>
      </c>
      <c r="Q52" s="81">
        <f t="shared" si="5"/>
        <v>97.507999999999996</v>
      </c>
      <c r="R52" s="81"/>
      <c r="T52" s="85" t="s">
        <v>107</v>
      </c>
      <c r="U52" s="127" t="s">
        <v>657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8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4"/>
      <c r="B53" s="259">
        <v>42402</v>
      </c>
      <c r="C53" s="268">
        <v>30</v>
      </c>
      <c r="D53" s="361">
        <v>67.2</v>
      </c>
      <c r="E53" s="361">
        <v>0</v>
      </c>
      <c r="F53" s="361">
        <f t="shared" si="6"/>
        <v>2016</v>
      </c>
      <c r="G53" s="259">
        <v>42430</v>
      </c>
      <c r="H53" s="260">
        <v>30</v>
      </c>
      <c r="I53" s="255">
        <v>69.349999999999994</v>
      </c>
      <c r="J53" s="255">
        <v>0.05</v>
      </c>
      <c r="K53" s="255">
        <f t="shared" si="7"/>
        <v>2080.4499999999998</v>
      </c>
      <c r="L53" s="254"/>
      <c r="M53" s="254"/>
      <c r="O53" s="2"/>
      <c r="P53" s="81">
        <v>0.94</v>
      </c>
      <c r="Q53" s="81">
        <f t="shared" si="5"/>
        <v>96.4816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8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4"/>
      <c r="B54" s="259">
        <v>42405</v>
      </c>
      <c r="C54" s="254">
        <v>30</v>
      </c>
      <c r="D54" s="255">
        <v>62.75</v>
      </c>
      <c r="E54" s="255">
        <v>0</v>
      </c>
      <c r="F54" s="255">
        <f t="shared" si="6"/>
        <v>1882.5</v>
      </c>
      <c r="G54" s="259">
        <v>42433</v>
      </c>
      <c r="H54" s="260">
        <v>30</v>
      </c>
      <c r="I54" s="255">
        <v>73.45</v>
      </c>
      <c r="J54" s="255">
        <v>0.05</v>
      </c>
      <c r="K54" s="255">
        <f t="shared" si="7"/>
        <v>2203.4499999999998</v>
      </c>
      <c r="L54" s="254"/>
      <c r="M54" s="254"/>
      <c r="O54" s="2"/>
      <c r="P54" s="81">
        <v>0.93</v>
      </c>
      <c r="Q54" s="81">
        <f t="shared" si="5"/>
        <v>95.455200000000005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8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4"/>
      <c r="B55" s="259">
        <v>42429</v>
      </c>
      <c r="C55" s="254">
        <v>30</v>
      </c>
      <c r="D55" s="255">
        <v>66.75</v>
      </c>
      <c r="E55" s="255">
        <v>0</v>
      </c>
      <c r="F55" s="255">
        <f t="shared" si="6"/>
        <v>2002.5</v>
      </c>
      <c r="G55" s="259">
        <v>42440</v>
      </c>
      <c r="H55" s="260">
        <v>30</v>
      </c>
      <c r="I55" s="255">
        <v>72.55</v>
      </c>
      <c r="J55" s="255">
        <v>0.05</v>
      </c>
      <c r="K55" s="255">
        <f t="shared" si="7"/>
        <v>2176.4499999999998</v>
      </c>
      <c r="L55" s="254"/>
      <c r="M55" s="254"/>
      <c r="O55" s="2"/>
      <c r="P55" s="81">
        <v>0.92</v>
      </c>
      <c r="Q55" s="81">
        <f t="shared" si="5"/>
        <v>94.42880000000001</v>
      </c>
      <c r="R55" s="81"/>
      <c r="T55" s="85" t="s">
        <v>108</v>
      </c>
      <c r="U55" s="127" t="s">
        <v>554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8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4"/>
      <c r="B56" s="259">
        <v>42502</v>
      </c>
      <c r="C56" s="254">
        <v>30</v>
      </c>
      <c r="D56" s="255">
        <v>61.79</v>
      </c>
      <c r="E56" s="255">
        <v>0</v>
      </c>
      <c r="F56" s="255">
        <v>1853.7</v>
      </c>
      <c r="G56" s="254">
        <v>42544</v>
      </c>
      <c r="H56" s="254">
        <v>30</v>
      </c>
      <c r="I56" s="255">
        <v>66.83</v>
      </c>
      <c r="J56" s="255">
        <v>0.04</v>
      </c>
      <c r="K56" s="255">
        <v>2004.86</v>
      </c>
      <c r="L56" s="254"/>
      <c r="M56" s="254"/>
      <c r="O56" s="2"/>
      <c r="P56" s="81">
        <v>0.91</v>
      </c>
      <c r="Q56" s="81">
        <f t="shared" si="5"/>
        <v>93.4024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8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4"/>
      <c r="B57" s="254"/>
      <c r="C57" s="254"/>
      <c r="D57" s="255"/>
      <c r="E57" s="255"/>
      <c r="F57" s="255"/>
      <c r="G57" s="254"/>
      <c r="H57" s="254"/>
      <c r="I57" s="255"/>
      <c r="J57" s="255"/>
      <c r="K57" s="255"/>
      <c r="L57" s="254"/>
      <c r="M57" s="254"/>
      <c r="O57" s="2"/>
      <c r="P57" s="81">
        <v>0.9</v>
      </c>
      <c r="Q57" s="81">
        <f t="shared" si="5"/>
        <v>92.376000000000005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8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8"/>
      <c r="B58" s="259">
        <v>42545</v>
      </c>
      <c r="C58" s="254">
        <v>60</v>
      </c>
      <c r="D58" s="255">
        <v>63.32</v>
      </c>
      <c r="E58" s="255">
        <v>0</v>
      </c>
      <c r="F58" s="255">
        <f>C58*D58+E58</f>
        <v>3799.2</v>
      </c>
      <c r="G58" s="259">
        <v>42551</v>
      </c>
      <c r="H58" s="260">
        <v>60</v>
      </c>
      <c r="I58" s="255">
        <v>62.98</v>
      </c>
      <c r="J58" s="255">
        <v>7.03</v>
      </c>
      <c r="K58" s="255">
        <f>I58*H58-J58</f>
        <v>3771.7699999999995</v>
      </c>
      <c r="L58" s="259">
        <v>42607</v>
      </c>
      <c r="M58" s="255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8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61"/>
      <c r="B59" s="259">
        <v>42548</v>
      </c>
      <c r="C59" s="254">
        <v>60</v>
      </c>
      <c r="D59" s="255">
        <v>58.55</v>
      </c>
      <c r="E59" s="255">
        <v>0</v>
      </c>
      <c r="F59" s="255">
        <f>C59*D59+E59</f>
        <v>3513</v>
      </c>
      <c r="G59" s="259">
        <v>42587</v>
      </c>
      <c r="H59" s="260">
        <v>20</v>
      </c>
      <c r="I59" s="255">
        <v>65.900000000000006</v>
      </c>
      <c r="J59" s="255">
        <v>0.03</v>
      </c>
      <c r="K59" s="255">
        <f>I59*H59-J59</f>
        <v>1317.97</v>
      </c>
      <c r="L59" s="254"/>
      <c r="M59" s="254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8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4"/>
      <c r="B60" s="259">
        <v>42557</v>
      </c>
      <c r="C60" s="254">
        <v>30</v>
      </c>
      <c r="D60" s="255">
        <v>57.58</v>
      </c>
      <c r="E60" s="255">
        <v>0</v>
      </c>
      <c r="F60" s="255">
        <f>C60*D60+E60</f>
        <v>1727.3999999999999</v>
      </c>
      <c r="G60" s="259">
        <v>42593</v>
      </c>
      <c r="H60" s="260">
        <v>70</v>
      </c>
      <c r="I60" s="255">
        <v>67.05</v>
      </c>
      <c r="J60" s="255">
        <v>0.1</v>
      </c>
      <c r="K60" s="255">
        <f>I60*H60-J60</f>
        <v>4693.3999999999996</v>
      </c>
      <c r="L60" s="254"/>
      <c r="M60" s="254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8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4"/>
      <c r="B61" s="259">
        <v>42573</v>
      </c>
      <c r="C61" s="268">
        <v>20</v>
      </c>
      <c r="D61" s="361">
        <v>63.68</v>
      </c>
      <c r="E61" s="361">
        <v>0</v>
      </c>
      <c r="F61" s="255">
        <f>C61*D61+E61</f>
        <v>1273.5999999999999</v>
      </c>
      <c r="G61" s="259">
        <v>42604</v>
      </c>
      <c r="H61" s="260">
        <v>20</v>
      </c>
      <c r="I61" s="255">
        <v>72.680000000000007</v>
      </c>
      <c r="J61" s="255">
        <v>0.03</v>
      </c>
      <c r="K61" s="255">
        <f>I61*H61-J61</f>
        <v>1453.5700000000002</v>
      </c>
      <c r="L61" s="254"/>
      <c r="M61" s="254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8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4"/>
      <c r="B62" s="259"/>
      <c r="C62" s="254"/>
      <c r="D62" s="255"/>
      <c r="E62" s="255"/>
      <c r="F62" s="255"/>
      <c r="G62" s="259"/>
      <c r="H62" s="260"/>
      <c r="I62" s="255"/>
      <c r="J62" s="255"/>
      <c r="K62" s="255"/>
      <c r="L62" s="254"/>
      <c r="M62" s="254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8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4"/>
      <c r="B63" s="259"/>
      <c r="C63" s="254"/>
      <c r="D63" s="255"/>
      <c r="E63" s="255"/>
      <c r="F63" s="255"/>
      <c r="G63" s="259"/>
      <c r="H63" s="260"/>
      <c r="I63" s="255"/>
      <c r="J63" s="255"/>
      <c r="K63" s="255"/>
      <c r="L63" s="254"/>
      <c r="M63" s="254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8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4"/>
      <c r="B64" s="254"/>
      <c r="C64" s="254"/>
      <c r="D64" s="255"/>
      <c r="E64" s="255"/>
      <c r="F64" s="255"/>
      <c r="G64" s="254"/>
      <c r="H64" s="260"/>
      <c r="I64" s="255"/>
      <c r="J64" s="255"/>
      <c r="K64" s="255"/>
      <c r="L64" s="254"/>
      <c r="M64" s="254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8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4"/>
      <c r="B65" s="254"/>
      <c r="C65" s="254"/>
      <c r="D65" s="255"/>
      <c r="E65" s="255"/>
      <c r="F65" s="255"/>
      <c r="G65" s="254"/>
      <c r="H65" s="260"/>
      <c r="I65" s="255"/>
      <c r="J65" s="255"/>
      <c r="K65" s="255"/>
      <c r="L65" s="254"/>
      <c r="M65" s="254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8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4"/>
      <c r="B66" s="254"/>
      <c r="C66" s="254"/>
      <c r="D66" s="255"/>
      <c r="E66" s="255"/>
      <c r="F66" s="255"/>
      <c r="G66" s="254"/>
      <c r="H66" s="260"/>
      <c r="I66" s="255"/>
      <c r="J66" s="255"/>
      <c r="K66" s="255"/>
      <c r="L66" s="254"/>
      <c r="M66" s="254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8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4"/>
      <c r="B67" s="254"/>
      <c r="C67" s="254"/>
      <c r="D67" s="255"/>
      <c r="E67" s="255"/>
      <c r="F67" s="255"/>
      <c r="G67" s="254"/>
      <c r="H67" s="260"/>
      <c r="I67" s="255"/>
      <c r="J67" s="255"/>
      <c r="K67" s="255"/>
      <c r="L67" s="254"/>
      <c r="M67" s="254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8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4"/>
      <c r="B68" s="254"/>
      <c r="C68" s="254"/>
      <c r="D68" s="255"/>
      <c r="E68" s="255"/>
      <c r="F68" s="255"/>
      <c r="G68" s="254"/>
      <c r="H68" s="260"/>
      <c r="I68" s="255"/>
      <c r="J68" s="255"/>
      <c r="K68" s="255"/>
      <c r="L68" s="254"/>
      <c r="M68" s="254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8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4"/>
      <c r="B69" s="254"/>
      <c r="C69" s="254"/>
      <c r="D69" s="255"/>
      <c r="E69" s="255"/>
      <c r="F69" s="255"/>
      <c r="G69" s="254"/>
      <c r="H69" s="260"/>
      <c r="I69" s="255"/>
      <c r="J69" s="255"/>
      <c r="K69" s="255"/>
      <c r="L69" s="254"/>
      <c r="M69" s="254"/>
      <c r="W69" s="92" t="s">
        <v>120</v>
      </c>
      <c r="X69" s="10"/>
      <c r="Y69" s="39"/>
      <c r="Z69" s="39"/>
      <c r="AA69" s="10"/>
      <c r="AB69" s="93"/>
      <c r="AC69" s="238"/>
      <c r="AD69" s="2" t="e">
        <f>#REF!-#REF!</f>
        <v>#REF!</v>
      </c>
      <c r="AE69" s="134" t="e">
        <f>#REF!/AC69-1</f>
        <v>#REF!</v>
      </c>
    </row>
    <row r="70" spans="1:31" x14ac:dyDescent="0.25">
      <c r="A70" s="254"/>
      <c r="B70" s="254"/>
      <c r="C70" s="254"/>
      <c r="D70" s="255"/>
      <c r="E70" s="255"/>
      <c r="F70" s="255"/>
      <c r="G70" s="254"/>
      <c r="H70" s="260"/>
      <c r="I70" s="255"/>
      <c r="J70" s="255"/>
      <c r="K70" s="255"/>
      <c r="L70" s="254"/>
      <c r="M70" s="254"/>
    </row>
    <row r="71" spans="1:31" x14ac:dyDescent="0.25">
      <c r="A71" s="254"/>
      <c r="B71" s="254"/>
      <c r="C71" s="254"/>
      <c r="D71" s="255"/>
      <c r="E71" s="255"/>
      <c r="F71" s="255"/>
      <c r="G71" s="254"/>
      <c r="H71" s="260"/>
      <c r="I71" s="255"/>
      <c r="J71" s="255"/>
      <c r="K71" s="255"/>
      <c r="L71" s="254"/>
      <c r="M71" s="254"/>
    </row>
    <row r="72" spans="1:31" x14ac:dyDescent="0.25">
      <c r="A72" s="254"/>
      <c r="B72" s="254"/>
      <c r="C72" s="254"/>
      <c r="D72" s="255"/>
      <c r="E72" s="255"/>
      <c r="F72" s="255"/>
      <c r="G72" s="254"/>
      <c r="H72" s="260"/>
      <c r="I72" s="255"/>
      <c r="J72" s="255"/>
      <c r="K72" s="255"/>
      <c r="L72" s="254"/>
      <c r="M72" s="254"/>
    </row>
    <row r="73" spans="1:31" x14ac:dyDescent="0.25">
      <c r="A73" s="254"/>
      <c r="B73" s="254"/>
      <c r="C73" s="254"/>
      <c r="D73" s="255"/>
      <c r="E73" s="255"/>
      <c r="F73" s="255"/>
      <c r="G73" s="254"/>
      <c r="H73" s="260"/>
      <c r="I73" s="255"/>
      <c r="J73" s="255"/>
      <c r="K73" s="255"/>
      <c r="L73" s="254"/>
      <c r="M73" s="254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50" t="s">
        <v>194</v>
      </c>
      <c r="B75" s="451"/>
      <c r="C75" s="452">
        <f>SumByColor($A$19,C58:C73)</f>
        <v>0</v>
      </c>
      <c r="D75" s="452"/>
      <c r="E75" s="452"/>
      <c r="F75" s="453">
        <f>SumByColor($A$19,F58:F73)</f>
        <v>0</v>
      </c>
      <c r="G75" s="452"/>
      <c r="H75" s="452">
        <f>SumByColor($A$19,H58:H73)</f>
        <v>0</v>
      </c>
      <c r="I75" s="452"/>
      <c r="J75" s="452"/>
      <c r="K75" s="453">
        <f>SumByColor($A$19,K58:K73)</f>
        <v>0</v>
      </c>
      <c r="L75" s="452"/>
      <c r="M75" s="453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653" priority="29">
      <formula>F40&gt;0</formula>
    </cfRule>
    <cfRule type="expression" dxfId="652" priority="30">
      <formula>F40&lt;0</formula>
    </cfRule>
  </conditionalFormatting>
  <conditionalFormatting sqref="F40:F45">
    <cfRule type="expression" dxfId="651" priority="31">
      <formula>F40&gt;0</formula>
    </cfRule>
    <cfRule type="expression" dxfId="650" priority="32">
      <formula>F40&lt;0</formula>
    </cfRule>
  </conditionalFormatting>
  <conditionalFormatting sqref="H40:H45">
    <cfRule type="expression" dxfId="649" priority="27">
      <formula>H40&gt;0</formula>
    </cfRule>
    <cfRule type="expression" dxfId="648" priority="28">
      <formula>H40&lt;0</formula>
    </cfRule>
  </conditionalFormatting>
  <conditionalFormatting sqref="F23:F39">
    <cfRule type="expression" dxfId="647" priority="13">
      <formula>F23&gt;0</formula>
    </cfRule>
    <cfRule type="expression" dxfId="646" priority="14">
      <formula>F23&lt;0</formula>
    </cfRule>
  </conditionalFormatting>
  <conditionalFormatting sqref="H23:H39">
    <cfRule type="expression" dxfId="645" priority="11">
      <formula>H23&gt;0</formula>
    </cfRule>
    <cfRule type="expression" dxfId="644" priority="12">
      <formula>H23&lt;0</formula>
    </cfRule>
  </conditionalFormatting>
  <conditionalFormatting sqref="Q7">
    <cfRule type="expression" dxfId="643" priority="9">
      <formula>Q7&gt;0</formula>
    </cfRule>
    <cfRule type="expression" dxfId="642" priority="10">
      <formula>Q7&lt;0</formula>
    </cfRule>
  </conditionalFormatting>
  <conditionalFormatting sqref="Q8">
    <cfRule type="expression" dxfId="641" priority="7">
      <formula>Q8&gt;0</formula>
    </cfRule>
    <cfRule type="expression" dxfId="640" priority="8">
      <formula>Q8&lt;0</formula>
    </cfRule>
  </conditionalFormatting>
  <conditionalFormatting sqref="Q10">
    <cfRule type="expression" dxfId="639" priority="1">
      <formula>Q10&gt;0</formula>
    </cfRule>
    <cfRule type="expression" dxfId="638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80"/>
      <c r="D2" s="235"/>
      <c r="E2" s="3"/>
      <c r="F2" s="3"/>
      <c r="G2" s="72"/>
      <c r="H2" s="180"/>
      <c r="I2" s="235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80"/>
      <c r="D3" s="235"/>
      <c r="E3" s="3"/>
      <c r="F3" s="3"/>
      <c r="G3" s="72"/>
      <c r="H3" s="180"/>
      <c r="I3" s="235"/>
      <c r="J3" s="3"/>
      <c r="K3" s="3"/>
      <c r="L3" s="4"/>
      <c r="O3" s="11" t="s">
        <v>75</v>
      </c>
      <c r="Q3" s="225">
        <f>IF(Q2=0, Q4, (F18-K18-M18)/Q2)</f>
        <v>75.11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30"/>
      <c r="AL3" s="229"/>
      <c r="AO3" s="229"/>
    </row>
    <row r="4" spans="1:42" x14ac:dyDescent="0.25">
      <c r="B4" s="72"/>
      <c r="C4" s="180"/>
      <c r="D4" s="235"/>
      <c r="E4" s="3"/>
      <c r="F4" s="3"/>
      <c r="G4" s="72"/>
      <c r="H4" s="180"/>
      <c r="I4" s="235"/>
      <c r="J4" s="3"/>
      <c r="K4" s="3"/>
      <c r="L4" s="4"/>
      <c r="O4" s="11" t="s">
        <v>66</v>
      </c>
      <c r="Q4" s="54">
        <v>75.11</v>
      </c>
      <c r="R4" s="487">
        <v>8.8999999999999999E-3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9"/>
      <c r="AO4" s="229"/>
    </row>
    <row r="5" spans="1:42" x14ac:dyDescent="0.25">
      <c r="B5" s="72"/>
      <c r="C5" s="180"/>
      <c r="D5" s="235"/>
      <c r="E5" s="3"/>
      <c r="F5" s="3"/>
      <c r="G5" s="72"/>
      <c r="H5" s="180"/>
      <c r="I5" s="235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9"/>
      <c r="AO5" s="229"/>
    </row>
    <row r="6" spans="1:42" x14ac:dyDescent="0.25">
      <c r="B6" s="72"/>
      <c r="C6" s="180"/>
      <c r="D6" s="235"/>
      <c r="E6" s="3"/>
      <c r="F6" s="3"/>
      <c r="G6" s="72"/>
      <c r="H6" s="180"/>
      <c r="I6" s="235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9"/>
      <c r="AO6" s="229"/>
    </row>
    <row r="7" spans="1:42" x14ac:dyDescent="0.25">
      <c r="B7" s="72"/>
      <c r="C7" s="180"/>
      <c r="D7" s="235"/>
      <c r="E7" s="3"/>
      <c r="F7" s="3"/>
      <c r="G7" s="72"/>
      <c r="H7" s="180"/>
      <c r="I7" s="235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9"/>
      <c r="AO7" s="229"/>
    </row>
    <row r="8" spans="1:42" x14ac:dyDescent="0.25">
      <c r="B8" s="72"/>
      <c r="C8" s="180"/>
      <c r="D8" s="235"/>
      <c r="E8" s="3"/>
      <c r="F8" s="3"/>
      <c r="G8" s="72"/>
      <c r="H8" s="180"/>
      <c r="I8" s="235"/>
      <c r="J8" s="3"/>
      <c r="K8" s="3"/>
      <c r="L8" s="4"/>
      <c r="O8" s="11" t="s">
        <v>180</v>
      </c>
      <c r="P8" s="33"/>
      <c r="Q8" s="2">
        <f>K18+M18-F18+Q2*Q4</f>
        <v>0</v>
      </c>
      <c r="R8" s="162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9"/>
      <c r="AO8" s="229"/>
    </row>
    <row r="9" spans="1:42" x14ac:dyDescent="0.25">
      <c r="O9" s="11" t="s">
        <v>210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9"/>
      <c r="AO9" s="229"/>
    </row>
    <row r="10" spans="1:42" x14ac:dyDescent="0.25">
      <c r="O10" s="11" t="s">
        <v>209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9"/>
      <c r="AO10" s="229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9"/>
      <c r="AO11" s="229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9"/>
      <c r="AO12" s="229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9"/>
      <c r="AO15" s="229"/>
      <c r="AP15" s="229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9"/>
      <c r="AO17" s="229"/>
      <c r="AP17" s="229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5"/>
      <c r="E19" s="3"/>
      <c r="F19" s="3"/>
      <c r="G19" s="72"/>
      <c r="H19" s="180"/>
      <c r="I19" s="235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9"/>
      <c r="AO19" s="229"/>
    </row>
    <row r="20" spans="1:42" x14ac:dyDescent="0.25">
      <c r="B20" s="72"/>
      <c r="C20" s="4"/>
      <c r="D20" s="235"/>
      <c r="E20" s="3"/>
      <c r="F20" s="3"/>
      <c r="G20" s="72"/>
      <c r="H20" s="180"/>
      <c r="I20" s="235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5"/>
      <c r="E21" s="3"/>
      <c r="F21" s="3"/>
      <c r="G21" s="72"/>
      <c r="H21" s="180"/>
      <c r="I21" s="235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6" t="s">
        <v>113</v>
      </c>
      <c r="C22" s="186" t="s">
        <v>146</v>
      </c>
      <c r="D22" s="194" t="s">
        <v>145</v>
      </c>
      <c r="E22" s="190" t="s">
        <v>147</v>
      </c>
      <c r="F22" s="190" t="s">
        <v>65</v>
      </c>
      <c r="G22" s="224" t="s">
        <v>151</v>
      </c>
      <c r="H22" s="190" t="s">
        <v>88</v>
      </c>
      <c r="I22" s="236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8">
        <v>42375</v>
      </c>
      <c r="C23" s="10">
        <v>40</v>
      </c>
      <c r="D23" s="195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6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495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8">
        <v>42403</v>
      </c>
      <c r="C24" s="10">
        <v>40</v>
      </c>
      <c r="D24" s="195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6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8">
        <v>42416</v>
      </c>
      <c r="C25" s="10">
        <v>0</v>
      </c>
      <c r="D25" s="195">
        <v>0</v>
      </c>
      <c r="E25" s="39">
        <v>0</v>
      </c>
      <c r="F25" s="39">
        <v>121.95</v>
      </c>
      <c r="G25" s="39"/>
      <c r="H25" s="227"/>
      <c r="I25" s="195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9"/>
      <c r="AO25" s="229"/>
    </row>
    <row r="26" spans="1:42" x14ac:dyDescent="0.25">
      <c r="B26" s="188"/>
      <c r="C26" s="10"/>
      <c r="D26" s="195"/>
      <c r="E26" s="39"/>
      <c r="F26" s="39"/>
      <c r="G26" s="39"/>
      <c r="H26" s="227"/>
      <c r="I26" s="195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8"/>
      <c r="C27" s="10"/>
      <c r="D27" s="195"/>
      <c r="E27" s="39"/>
      <c r="F27" s="39"/>
      <c r="G27" s="39"/>
      <c r="H27" s="227"/>
      <c r="I27" s="195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9"/>
      <c r="AO27" s="229"/>
    </row>
    <row r="28" spans="1:42" x14ac:dyDescent="0.25">
      <c r="B28" s="188"/>
      <c r="C28" s="10"/>
      <c r="D28" s="195"/>
      <c r="E28" s="39"/>
      <c r="F28" s="39"/>
      <c r="G28" s="39"/>
      <c r="H28" s="227"/>
      <c r="I28" s="195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8"/>
      <c r="C29" s="10"/>
      <c r="D29" s="195"/>
      <c r="E29" s="39"/>
      <c r="F29" s="39"/>
      <c r="G29" s="39"/>
      <c r="H29" s="227"/>
      <c r="I29" s="195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8"/>
      <c r="C30" s="10"/>
      <c r="D30" s="195"/>
      <c r="E30" s="39"/>
      <c r="F30" s="39"/>
      <c r="G30" s="39"/>
      <c r="H30" s="227"/>
      <c r="I30" s="195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8"/>
      <c r="C31" s="10"/>
      <c r="D31" s="195"/>
      <c r="E31" s="39"/>
      <c r="F31" s="39"/>
      <c r="G31" s="39"/>
      <c r="H31" s="227"/>
      <c r="I31" s="195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9"/>
      <c r="AO31" s="229"/>
    </row>
    <row r="32" spans="1:42" x14ac:dyDescent="0.25">
      <c r="B32" s="188"/>
      <c r="C32" s="10"/>
      <c r="D32" s="195"/>
      <c r="E32" s="39"/>
      <c r="F32" s="39"/>
      <c r="G32" s="39"/>
      <c r="H32" s="227"/>
      <c r="I32" s="195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5"/>
      <c r="E33" s="3"/>
      <c r="F33" s="3"/>
      <c r="G33" s="3"/>
      <c r="H33" s="228"/>
      <c r="I33" s="235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9"/>
      <c r="AO33" s="229"/>
    </row>
    <row r="34" spans="1:41" x14ac:dyDescent="0.25">
      <c r="B34" s="72"/>
      <c r="C34" s="4"/>
      <c r="D34" s="235"/>
      <c r="E34" s="3"/>
      <c r="F34" s="3"/>
      <c r="G34" s="3"/>
      <c r="H34" s="228"/>
      <c r="I34" s="235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5"/>
      <c r="E35" s="3"/>
      <c r="F35" s="3"/>
      <c r="G35" s="3"/>
      <c r="H35" s="228"/>
      <c r="I35" s="235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9"/>
      <c r="AO35" s="229"/>
    </row>
    <row r="36" spans="1:41" x14ac:dyDescent="0.25">
      <c r="B36" s="72"/>
      <c r="C36" s="4"/>
      <c r="D36" s="235"/>
      <c r="E36" s="3"/>
      <c r="F36" s="3"/>
      <c r="G36" s="3"/>
      <c r="H36" s="228"/>
      <c r="I36" s="72"/>
      <c r="L36" t="s">
        <v>209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77" t="s">
        <v>1</v>
      </c>
      <c r="B37" s="377" t="s">
        <v>2</v>
      </c>
      <c r="C37" s="377" t="s">
        <v>4</v>
      </c>
      <c r="D37" s="378" t="s">
        <v>5</v>
      </c>
      <c r="E37" s="379" t="s">
        <v>94</v>
      </c>
      <c r="F37" s="379" t="s">
        <v>60</v>
      </c>
      <c r="G37" s="377" t="s">
        <v>3</v>
      </c>
      <c r="H37" s="377" t="s">
        <v>6</v>
      </c>
      <c r="I37" s="378" t="s">
        <v>7</v>
      </c>
      <c r="J37" s="379" t="s">
        <v>95</v>
      </c>
      <c r="K37" s="379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80" t="s">
        <v>8</v>
      </c>
      <c r="B38" s="370">
        <v>42375</v>
      </c>
      <c r="C38" s="375">
        <v>40</v>
      </c>
      <c r="D38" s="376">
        <v>52.4</v>
      </c>
      <c r="E38" s="372">
        <v>0</v>
      </c>
      <c r="F38" s="372">
        <f>C38*D38+E38</f>
        <v>2096</v>
      </c>
      <c r="G38" s="370">
        <v>42416</v>
      </c>
      <c r="H38" s="375">
        <v>40</v>
      </c>
      <c r="I38" s="376">
        <v>55.45</v>
      </c>
      <c r="J38" s="372">
        <v>0.05</v>
      </c>
      <c r="K38" s="372">
        <f>H38*I38-J38</f>
        <v>2217.9499999999998</v>
      </c>
      <c r="L38" s="371"/>
      <c r="M38" s="371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81"/>
      <c r="B39" s="370"/>
      <c r="C39" s="375"/>
      <c r="D39" s="376"/>
      <c r="E39" s="372"/>
      <c r="F39" s="372"/>
      <c r="G39" s="370"/>
      <c r="H39" s="375"/>
      <c r="I39" s="376"/>
      <c r="J39" s="372"/>
      <c r="K39" s="372"/>
      <c r="L39" s="371"/>
      <c r="M39" s="371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71"/>
      <c r="B40" s="370"/>
      <c r="C40" s="375"/>
      <c r="D40" s="376"/>
      <c r="E40" s="372"/>
      <c r="F40" s="372"/>
      <c r="G40" s="370"/>
      <c r="H40" s="375"/>
      <c r="I40" s="376"/>
      <c r="J40" s="372"/>
      <c r="K40" s="372"/>
      <c r="L40" s="371"/>
      <c r="M40" s="371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71"/>
      <c r="B41" s="370"/>
      <c r="C41" s="375"/>
      <c r="D41" s="376"/>
      <c r="E41" s="372"/>
      <c r="F41" s="372"/>
      <c r="G41" s="370"/>
      <c r="H41" s="375"/>
      <c r="I41" s="376"/>
      <c r="J41" s="372"/>
      <c r="K41" s="372"/>
      <c r="L41" s="371"/>
      <c r="M41" s="371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9"/>
      <c r="AO41" s="229"/>
    </row>
    <row r="42" spans="1:41" ht="20.25" thickBot="1" x14ac:dyDescent="0.35">
      <c r="A42" s="371"/>
      <c r="B42" s="370"/>
      <c r="C42" s="375"/>
      <c r="D42" s="376"/>
      <c r="E42" s="372"/>
      <c r="F42" s="372"/>
      <c r="G42" s="370"/>
      <c r="H42" s="375"/>
      <c r="I42" s="376"/>
      <c r="J42" s="372"/>
      <c r="K42" s="372"/>
      <c r="L42" s="371"/>
      <c r="M42" s="371"/>
      <c r="O42" s="364" t="s">
        <v>78</v>
      </c>
      <c r="P42" s="364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71"/>
      <c r="B43" s="370"/>
      <c r="C43" s="375"/>
      <c r="D43" s="376"/>
      <c r="E43" s="372"/>
      <c r="F43" s="372"/>
      <c r="G43" s="370"/>
      <c r="H43" s="375"/>
      <c r="I43" s="376"/>
      <c r="J43" s="372"/>
      <c r="K43" s="372"/>
      <c r="L43" s="371"/>
      <c r="M43" s="371"/>
      <c r="O43" s="81">
        <v>1.1000000000000001</v>
      </c>
      <c r="P43" s="81">
        <f t="shared" ref="P43:P63" si="2">O43*$Q$4</f>
        <v>82.621000000000009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71"/>
      <c r="B44" s="370"/>
      <c r="C44" s="375"/>
      <c r="D44" s="376"/>
      <c r="E44" s="372"/>
      <c r="F44" s="372"/>
      <c r="G44" s="370"/>
      <c r="H44" s="375"/>
      <c r="I44" s="376"/>
      <c r="J44" s="372"/>
      <c r="K44" s="372"/>
      <c r="L44" s="371"/>
      <c r="M44" s="371"/>
      <c r="O44" s="81">
        <v>1.0900000000000001</v>
      </c>
      <c r="P44" s="81">
        <f t="shared" si="2"/>
        <v>81.869900000000001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71"/>
      <c r="B45" s="371"/>
      <c r="C45" s="371"/>
      <c r="D45" s="376"/>
      <c r="E45" s="372"/>
      <c r="F45" s="372"/>
      <c r="G45" s="371"/>
      <c r="H45" s="371"/>
      <c r="I45" s="376"/>
      <c r="J45" s="372"/>
      <c r="K45" s="372"/>
      <c r="L45" s="371"/>
      <c r="M45" s="371"/>
      <c r="O45" s="81">
        <v>1.08</v>
      </c>
      <c r="P45" s="81">
        <f t="shared" si="2"/>
        <v>81.118800000000007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9"/>
      <c r="AO45" s="229"/>
    </row>
    <row r="46" spans="1:41" x14ac:dyDescent="0.25">
      <c r="A46" s="371"/>
      <c r="B46" s="371"/>
      <c r="C46" s="371"/>
      <c r="D46" s="376"/>
      <c r="E46" s="372"/>
      <c r="F46" s="372"/>
      <c r="G46" s="371"/>
      <c r="H46" s="371"/>
      <c r="I46" s="376"/>
      <c r="J46" s="372"/>
      <c r="K46" s="372"/>
      <c r="L46" s="371"/>
      <c r="M46" s="371"/>
      <c r="O46" s="81">
        <v>1.07</v>
      </c>
      <c r="P46" s="81">
        <f t="shared" si="2"/>
        <v>80.367699999999999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71"/>
      <c r="B47" s="371"/>
      <c r="C47" s="371"/>
      <c r="D47" s="376"/>
      <c r="E47" s="372"/>
      <c r="F47" s="372"/>
      <c r="G47" s="371"/>
      <c r="H47" s="371"/>
      <c r="I47" s="376"/>
      <c r="J47" s="372"/>
      <c r="K47" s="372"/>
      <c r="L47" s="371"/>
      <c r="M47" s="371"/>
      <c r="O47" s="81">
        <v>1.06</v>
      </c>
      <c r="P47" s="81">
        <f t="shared" si="2"/>
        <v>79.616600000000005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71"/>
      <c r="B48" s="371"/>
      <c r="C48" s="371"/>
      <c r="D48" s="376"/>
      <c r="E48" s="372"/>
      <c r="F48" s="372"/>
      <c r="G48" s="371"/>
      <c r="H48" s="371"/>
      <c r="I48" s="376"/>
      <c r="J48" s="372"/>
      <c r="K48" s="372"/>
      <c r="L48" s="371"/>
      <c r="M48" s="371"/>
      <c r="O48" s="81">
        <v>1.05</v>
      </c>
      <c r="P48" s="81">
        <f t="shared" si="2"/>
        <v>78.865499999999997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71"/>
      <c r="B49" s="371"/>
      <c r="C49" s="371"/>
      <c r="D49" s="376"/>
      <c r="E49" s="372"/>
      <c r="F49" s="372"/>
      <c r="G49" s="371"/>
      <c r="H49" s="371"/>
      <c r="I49" s="376"/>
      <c r="J49" s="372"/>
      <c r="K49" s="372"/>
      <c r="L49" s="371"/>
      <c r="M49" s="371"/>
      <c r="O49" s="81">
        <v>1.04</v>
      </c>
      <c r="P49" s="81">
        <f t="shared" si="2"/>
        <v>78.114400000000003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71"/>
      <c r="B50" s="371"/>
      <c r="C50" s="371"/>
      <c r="D50" s="376"/>
      <c r="E50" s="372"/>
      <c r="F50" s="372"/>
      <c r="G50" s="371"/>
      <c r="H50" s="371"/>
      <c r="I50" s="376"/>
      <c r="J50" s="372"/>
      <c r="K50" s="372"/>
      <c r="L50" s="371"/>
      <c r="M50" s="371"/>
      <c r="O50" s="81">
        <v>1.03</v>
      </c>
      <c r="P50" s="81">
        <f t="shared" si="2"/>
        <v>77.363299999999995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71"/>
      <c r="B51" s="371"/>
      <c r="C51" s="371"/>
      <c r="D51" s="376"/>
      <c r="E51" s="372"/>
      <c r="F51" s="372"/>
      <c r="G51" s="371"/>
      <c r="H51" s="371"/>
      <c r="I51" s="376"/>
      <c r="J51" s="372"/>
      <c r="K51" s="372"/>
      <c r="L51" s="371"/>
      <c r="M51" s="371"/>
      <c r="O51" s="81">
        <v>1.02</v>
      </c>
      <c r="P51" s="81">
        <f t="shared" si="2"/>
        <v>76.612200000000001</v>
      </c>
      <c r="Q51" s="2"/>
      <c r="T51" s="106" t="s">
        <v>104</v>
      </c>
      <c r="U51" s="104" t="s">
        <v>658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71"/>
      <c r="B52" s="371"/>
      <c r="C52" s="371"/>
      <c r="D52" s="376"/>
      <c r="E52" s="372"/>
      <c r="F52" s="372"/>
      <c r="G52" s="371"/>
      <c r="H52" s="371"/>
      <c r="I52" s="376"/>
      <c r="J52" s="372"/>
      <c r="K52" s="372"/>
      <c r="L52" s="371"/>
      <c r="M52" s="371"/>
      <c r="O52" s="81">
        <v>1.01</v>
      </c>
      <c r="P52" s="81">
        <f t="shared" si="2"/>
        <v>75.861099999999993</v>
      </c>
      <c r="Q52" s="2"/>
      <c r="T52" s="106" t="s">
        <v>105</v>
      </c>
      <c r="U52" s="104" t="s">
        <v>659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71"/>
      <c r="B53" s="371"/>
      <c r="C53" s="371"/>
      <c r="D53" s="376"/>
      <c r="E53" s="372"/>
      <c r="F53" s="372"/>
      <c r="G53" s="371"/>
      <c r="H53" s="371"/>
      <c r="I53" s="376"/>
      <c r="J53" s="372"/>
      <c r="K53" s="372"/>
      <c r="L53" s="371"/>
      <c r="M53" s="371"/>
      <c r="O53" s="81">
        <v>1</v>
      </c>
      <c r="P53" s="81">
        <f t="shared" si="2"/>
        <v>75.11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9"/>
      <c r="AO53" s="229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74.358900000000006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73.607799999999997</v>
      </c>
      <c r="T55" s="106" t="s">
        <v>107</v>
      </c>
      <c r="U55" s="104" t="s">
        <v>660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72.856700000000004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72.105599999999995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9"/>
      <c r="AO57" s="229"/>
    </row>
    <row r="58" spans="1:42" x14ac:dyDescent="0.25">
      <c r="O58" s="81">
        <v>0.95</v>
      </c>
      <c r="P58" s="81">
        <f t="shared" si="2"/>
        <v>71.354500000000002</v>
      </c>
      <c r="T58" s="106" t="s">
        <v>108</v>
      </c>
      <c r="U58" s="104" t="s">
        <v>536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70.603399999999993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9"/>
    </row>
    <row r="60" spans="1:42" x14ac:dyDescent="0.25">
      <c r="O60" s="81">
        <v>0.93</v>
      </c>
      <c r="P60" s="81">
        <f t="shared" si="2"/>
        <v>69.8523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69.101200000000006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9"/>
      <c r="AO61" s="229"/>
    </row>
    <row r="62" spans="1:42" x14ac:dyDescent="0.25">
      <c r="O62" s="81">
        <v>0.91</v>
      </c>
      <c r="P62" s="81">
        <f t="shared" si="2"/>
        <v>68.350099999999998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67.599000000000004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9"/>
      <c r="AO63" s="229"/>
      <c r="AP63" s="229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9"/>
      <c r="AO65" s="229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9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30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37" priority="39">
      <formula>Q12&gt;0</formula>
    </cfRule>
    <cfRule type="expression" dxfId="63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35" priority="33">
      <formula>F25&gt;0</formula>
    </cfRule>
    <cfRule type="expression" dxfId="634" priority="34">
      <formula>F25&lt;0</formula>
    </cfRule>
  </conditionalFormatting>
  <conditionalFormatting sqref="F30">
    <cfRule type="expression" dxfId="633" priority="31">
      <formula>F30&gt;0</formula>
    </cfRule>
    <cfRule type="expression" dxfId="632" priority="32">
      <formula>F30&lt;0</formula>
    </cfRule>
  </conditionalFormatting>
  <conditionalFormatting sqref="F31">
    <cfRule type="expression" dxfId="631" priority="29">
      <formula>F31&gt;0</formula>
    </cfRule>
    <cfRule type="expression" dxfId="630" priority="30">
      <formula>F31&lt;0</formula>
    </cfRule>
  </conditionalFormatting>
  <conditionalFormatting sqref="F32:F34">
    <cfRule type="expression" dxfId="629" priority="27">
      <formula>F32&gt;0</formula>
    </cfRule>
    <cfRule type="expression" dxfId="628" priority="28">
      <formula>F32&lt;0</formula>
    </cfRule>
  </conditionalFormatting>
  <conditionalFormatting sqref="H25:H29">
    <cfRule type="expression" dxfId="627" priority="25">
      <formula>H25&gt;0</formula>
    </cfRule>
    <cfRule type="expression" dxfId="626" priority="26">
      <formula>H25&lt;0</formula>
    </cfRule>
  </conditionalFormatting>
  <conditionalFormatting sqref="H30">
    <cfRule type="expression" dxfId="625" priority="23">
      <formula>H30&gt;0</formula>
    </cfRule>
    <cfRule type="expression" dxfId="624" priority="24">
      <formula>H30&lt;0</formula>
    </cfRule>
  </conditionalFormatting>
  <conditionalFormatting sqref="H31">
    <cfRule type="expression" dxfId="623" priority="21">
      <formula>H31&gt;0</formula>
    </cfRule>
    <cfRule type="expression" dxfId="622" priority="22">
      <formula>H31&lt;0</formula>
    </cfRule>
  </conditionalFormatting>
  <conditionalFormatting sqref="H32:H34">
    <cfRule type="expression" dxfId="621" priority="19">
      <formula>H32&gt;0</formula>
    </cfRule>
    <cfRule type="expression" dxfId="620" priority="20">
      <formula>H32&lt;0</formula>
    </cfRule>
  </conditionalFormatting>
  <conditionalFormatting sqref="F35">
    <cfRule type="expression" dxfId="619" priority="17">
      <formula>F35&gt;0</formula>
    </cfRule>
    <cfRule type="expression" dxfId="618" priority="18">
      <formula>F35&lt;0</formula>
    </cfRule>
  </conditionalFormatting>
  <conditionalFormatting sqref="H35">
    <cfRule type="expression" dxfId="617" priority="15">
      <formula>H35&gt;0</formula>
    </cfRule>
    <cfRule type="expression" dxfId="616" priority="16">
      <formula>H35&lt;0</formula>
    </cfRule>
  </conditionalFormatting>
  <conditionalFormatting sqref="F36">
    <cfRule type="expression" dxfId="615" priority="13">
      <formula>F36&gt;0</formula>
    </cfRule>
    <cfRule type="expression" dxfId="614" priority="14">
      <formula>F36&lt;0</formula>
    </cfRule>
  </conditionalFormatting>
  <conditionalFormatting sqref="H36">
    <cfRule type="expression" dxfId="613" priority="11">
      <formula>H36&gt;0</formula>
    </cfRule>
    <cfRule type="expression" dxfId="612" priority="12">
      <formula>H36&lt;0</formula>
    </cfRule>
  </conditionalFormatting>
  <conditionalFormatting sqref="H23:H24">
    <cfRule type="expression" dxfId="611" priority="5">
      <formula>H23&gt;0</formula>
    </cfRule>
    <cfRule type="expression" dxfId="610" priority="6">
      <formula>H23&lt;0</formula>
    </cfRule>
  </conditionalFormatting>
  <conditionalFormatting sqref="F23:F24">
    <cfRule type="expression" dxfId="609" priority="7">
      <formula>F23&gt;0</formula>
    </cfRule>
    <cfRule type="expression" dxfId="608" priority="8">
      <formula>F23&lt;0</formula>
    </cfRule>
  </conditionalFormatting>
  <conditionalFormatting sqref="Q7">
    <cfRule type="expression" dxfId="607" priority="3">
      <formula>Q7&gt;0</formula>
    </cfRule>
    <cfRule type="expression" dxfId="606" priority="4">
      <formula>Q7&lt;0</formula>
    </cfRule>
  </conditionalFormatting>
  <conditionalFormatting sqref="Q8">
    <cfRule type="expression" dxfId="605" priority="1">
      <formula>Q8&gt;0</formula>
    </cfRule>
    <cfRule type="expression" dxfId="60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9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1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36.140625" customWidth="1"/>
    <col min="23" max="23" width="11.85546875" style="33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173</v>
      </c>
      <c r="B2" s="445">
        <v>43006</v>
      </c>
      <c r="C2" s="7">
        <v>40</v>
      </c>
      <c r="D2" s="43">
        <v>53.78</v>
      </c>
      <c r="E2" s="43">
        <v>0</v>
      </c>
      <c r="F2" s="43">
        <f>C2*D2+E2</f>
        <v>2151.1999999999998</v>
      </c>
      <c r="G2" s="445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236</v>
      </c>
      <c r="W2" s="92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3">
        <v>17349900</v>
      </c>
      <c r="AC2" s="10">
        <v>54.98</v>
      </c>
      <c r="AD2" s="2">
        <f>Y2-Z2</f>
        <v>1.2700000000000031</v>
      </c>
      <c r="AE2" s="134">
        <f>AC2/AC3-1</f>
        <v>-3.9855072463769181E-3</v>
      </c>
    </row>
    <row r="3" spans="1:40" x14ac:dyDescent="0.25">
      <c r="A3" s="22" t="s">
        <v>71</v>
      </c>
      <c r="B3" s="72">
        <v>43021</v>
      </c>
      <c r="C3" s="4">
        <v>80</v>
      </c>
      <c r="D3" s="3">
        <v>53.01</v>
      </c>
      <c r="E3" s="3">
        <v>0</v>
      </c>
      <c r="F3" s="3">
        <f>C3*D3+E3</f>
        <v>4240.8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53.050416666666671</v>
      </c>
      <c r="T3" s="118"/>
      <c r="W3" s="92">
        <v>42829</v>
      </c>
      <c r="X3" s="10">
        <v>55.3</v>
      </c>
      <c r="Y3" s="10">
        <v>55.33</v>
      </c>
      <c r="Z3" s="10">
        <v>54.98</v>
      </c>
      <c r="AA3" s="10">
        <v>55.2</v>
      </c>
      <c r="AB3" s="93">
        <v>11914400</v>
      </c>
      <c r="AC3" s="10">
        <v>55.2</v>
      </c>
      <c r="AD3" s="2">
        <f>Y3-Z3</f>
        <v>0.35000000000000142</v>
      </c>
      <c r="AE3" s="134">
        <f>AC3/AC4-1</f>
        <v>-5.2261668769147951E-3</v>
      </c>
      <c r="AN3" s="229"/>
    </row>
    <row r="4" spans="1:40" x14ac:dyDescent="0.25">
      <c r="B4" s="486">
        <v>43136</v>
      </c>
      <c r="C4" s="4">
        <v>40</v>
      </c>
      <c r="D4" s="3">
        <v>57.8</v>
      </c>
      <c r="E4" s="3">
        <v>0</v>
      </c>
      <c r="F4" s="3">
        <f>C4*D4+E4</f>
        <v>2312</v>
      </c>
      <c r="G4" s="72"/>
      <c r="H4" s="180"/>
      <c r="I4" s="3"/>
      <c r="J4" s="3"/>
      <c r="K4" s="3"/>
      <c r="L4" s="72"/>
      <c r="M4" s="4"/>
      <c r="O4" s="11" t="s">
        <v>66</v>
      </c>
      <c r="Q4" s="54">
        <v>56.13</v>
      </c>
      <c r="R4" s="487">
        <v>1.2999999999999999E-2</v>
      </c>
      <c r="T4" s="118"/>
      <c r="W4" s="92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3">
        <v>14496300</v>
      </c>
      <c r="AC4" s="10">
        <v>55.49</v>
      </c>
      <c r="AD4" s="2">
        <f t="shared" ref="AD4:AD67" si="0">Y4-Z4</f>
        <v>1.0300000000000011</v>
      </c>
      <c r="AE4" s="134">
        <f t="shared" ref="AE4:AE66" si="1">AC4/AC5-1</f>
        <v>-3.0542579949693893E-3</v>
      </c>
      <c r="AK4" s="229"/>
      <c r="AN4" s="229"/>
    </row>
    <row r="5" spans="1:40" x14ac:dyDescent="0.25">
      <c r="B5" s="72"/>
      <c r="C5" s="4"/>
      <c r="D5" s="3"/>
      <c r="E5" s="3"/>
      <c r="F5" s="3"/>
      <c r="G5" s="72"/>
      <c r="H5" s="383"/>
      <c r="I5" s="73"/>
      <c r="J5" s="73"/>
      <c r="K5" s="3"/>
      <c r="L5" s="4"/>
      <c r="M5" s="4"/>
      <c r="O5" s="11" t="s">
        <v>67</v>
      </c>
      <c r="Q5" s="3">
        <f>Q4*Q2</f>
        <v>6735.6</v>
      </c>
      <c r="W5" s="92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3">
        <v>11844900</v>
      </c>
      <c r="AC5" s="10">
        <v>55.66</v>
      </c>
      <c r="AD5" s="2">
        <f t="shared" si="0"/>
        <v>0.56000000000000227</v>
      </c>
      <c r="AE5" s="134">
        <f t="shared" si="1"/>
        <v>-1.0312944523470979E-2</v>
      </c>
      <c r="AK5" s="229"/>
      <c r="AN5" s="229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73"/>
      <c r="L6" s="4"/>
      <c r="M6" s="4"/>
      <c r="O6" s="11" t="s">
        <v>64</v>
      </c>
      <c r="Q6" s="2">
        <f>Q3*Q2</f>
        <v>6366.05</v>
      </c>
      <c r="W6" s="92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3">
        <v>12091200</v>
      </c>
      <c r="AC6" s="10">
        <v>56.24</v>
      </c>
      <c r="AD6" s="2">
        <f t="shared" si="0"/>
        <v>0.82000000000000028</v>
      </c>
      <c r="AE6" s="134">
        <f t="shared" si="1"/>
        <v>1.0238907849829282E-2</v>
      </c>
    </row>
    <row r="7" spans="1:40" x14ac:dyDescent="0.25">
      <c r="B7" s="72"/>
      <c r="C7" s="4"/>
      <c r="D7" s="3"/>
      <c r="E7" s="3"/>
      <c r="F7" s="3"/>
      <c r="G7" s="72"/>
      <c r="H7" s="180"/>
      <c r="I7" s="3"/>
      <c r="J7" s="3"/>
      <c r="K7" s="73"/>
      <c r="L7" s="4"/>
      <c r="M7" s="4"/>
      <c r="O7" s="11" t="s">
        <v>178</v>
      </c>
      <c r="P7"/>
      <c r="Q7" s="2">
        <f>Q10+Q8</f>
        <v>1974.1300000000019</v>
      </c>
      <c r="R7">
        <v>80</v>
      </c>
      <c r="T7" s="83"/>
      <c r="W7" s="92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3">
        <v>10205800</v>
      </c>
      <c r="AC7" s="10">
        <v>55.67</v>
      </c>
      <c r="AD7" s="2">
        <f t="shared" si="0"/>
        <v>0.54000000000000625</v>
      </c>
      <c r="AE7" s="134">
        <f t="shared" si="1"/>
        <v>-5.1822730521801086E-3</v>
      </c>
      <c r="AK7" s="229"/>
      <c r="AN7" s="229"/>
    </row>
    <row r="8" spans="1:40" x14ac:dyDescent="0.25">
      <c r="G8" s="72"/>
      <c r="H8" s="180"/>
      <c r="I8" s="3"/>
      <c r="J8" s="3"/>
      <c r="K8" s="3"/>
      <c r="L8" s="4"/>
      <c r="M8" s="4"/>
      <c r="O8" s="11" t="s">
        <v>180</v>
      </c>
      <c r="Q8" s="2">
        <f>K18+M18-F18+Q2*Q4</f>
        <v>369.55000000000018</v>
      </c>
      <c r="W8" s="92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3">
        <v>14746300</v>
      </c>
      <c r="AC8" s="10">
        <v>55.96</v>
      </c>
      <c r="AD8" s="2">
        <f t="shared" si="0"/>
        <v>1.009999999999998</v>
      </c>
      <c r="AE8" s="134">
        <f t="shared" si="1"/>
        <v>1.0290666185232E-2</v>
      </c>
    </row>
    <row r="9" spans="1:40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P9"/>
      <c r="Q9" s="134">
        <f>IF(Q2=0, 0, Q8/Q6)</f>
        <v>5.805012527391399E-2</v>
      </c>
      <c r="W9" s="92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3">
        <v>16733700</v>
      </c>
      <c r="AC9" s="10">
        <v>55.39</v>
      </c>
      <c r="AD9" s="2">
        <f t="shared" si="0"/>
        <v>1.3399999999999963</v>
      </c>
      <c r="AE9" s="134">
        <f t="shared" si="1"/>
        <v>-7.8810675264194829E-3</v>
      </c>
      <c r="AK9" s="229"/>
      <c r="AN9" s="229"/>
    </row>
    <row r="10" spans="1:40" x14ac:dyDescent="0.25">
      <c r="B10" s="72"/>
      <c r="C10" s="4"/>
      <c r="D10" s="3"/>
      <c r="E10" s="3"/>
      <c r="F10" s="3"/>
      <c r="G10" s="4"/>
      <c r="H10" s="180"/>
      <c r="I10" s="3"/>
      <c r="J10" s="3"/>
      <c r="K10" s="3"/>
      <c r="L10" s="4"/>
      <c r="M10" s="4"/>
      <c r="O10" s="11" t="s">
        <v>209</v>
      </c>
      <c r="Q10" s="2">
        <f>M50</f>
        <v>1604.5800000000017</v>
      </c>
      <c r="W10" s="92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3">
        <v>20962000</v>
      </c>
      <c r="AC10" s="10">
        <v>55.83</v>
      </c>
      <c r="AD10" s="2">
        <f t="shared" si="0"/>
        <v>0.82999999999999829</v>
      </c>
      <c r="AE10" s="134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0"/>
      <c r="I11" s="3"/>
      <c r="J11" s="3"/>
      <c r="K11" s="3"/>
      <c r="L11" s="4"/>
      <c r="M11" s="4"/>
      <c r="O11" s="11" t="s">
        <v>176</v>
      </c>
      <c r="Q11" s="134">
        <f>0.39*4/Q4</f>
        <v>2.7792624265098879E-2</v>
      </c>
      <c r="R11">
        <v>0.39</v>
      </c>
      <c r="W11" s="92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3">
        <v>18288100</v>
      </c>
      <c r="AC11" s="10">
        <v>55.25</v>
      </c>
      <c r="AD11" s="2">
        <f t="shared" si="0"/>
        <v>1.0100000000000051</v>
      </c>
      <c r="AE11" s="134">
        <f t="shared" si="1"/>
        <v>-1.4458702331465734E-3</v>
      </c>
      <c r="AK11" s="229"/>
      <c r="AN11" s="229"/>
    </row>
    <row r="12" spans="1:40" x14ac:dyDescent="0.25">
      <c r="B12" s="4"/>
      <c r="C12" s="4"/>
      <c r="D12" s="3"/>
      <c r="E12" s="3"/>
      <c r="F12" s="3"/>
      <c r="G12" s="4"/>
      <c r="H12" s="180"/>
      <c r="I12" s="3"/>
      <c r="J12" s="3"/>
      <c r="K12" s="3"/>
      <c r="L12" s="4"/>
      <c r="M12" s="4"/>
      <c r="W12" s="92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3">
        <v>27699900</v>
      </c>
      <c r="AC12" s="10">
        <v>55.33</v>
      </c>
      <c r="AD12" s="2">
        <f t="shared" si="0"/>
        <v>0.71999999999999886</v>
      </c>
      <c r="AE12" s="134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0"/>
      <c r="I13" s="3"/>
      <c r="J13" s="3"/>
      <c r="K13" s="3"/>
      <c r="L13" s="4"/>
      <c r="M13" s="4"/>
      <c r="W13" s="92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3">
        <v>31562000</v>
      </c>
      <c r="AC13" s="10">
        <v>55.85</v>
      </c>
      <c r="AD13" s="2">
        <f t="shared" si="0"/>
        <v>2.3299999999999983</v>
      </c>
      <c r="AE13" s="134">
        <f t="shared" si="1"/>
        <v>-3.088669095956964E-2</v>
      </c>
      <c r="AK13" s="229"/>
      <c r="AN13" s="229"/>
    </row>
    <row r="14" spans="1:40" x14ac:dyDescent="0.25">
      <c r="B14" s="4"/>
      <c r="C14" s="4"/>
      <c r="D14" s="3"/>
      <c r="E14" s="3"/>
      <c r="F14" s="3"/>
      <c r="G14" s="4"/>
      <c r="H14" s="180"/>
      <c r="I14" s="3"/>
      <c r="J14" s="3"/>
      <c r="K14" s="3"/>
      <c r="L14" s="4"/>
      <c r="M14" s="4"/>
      <c r="T14" s="82"/>
      <c r="U14" s="11"/>
      <c r="W14" s="92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3">
        <v>17209900</v>
      </c>
      <c r="AC14" s="10">
        <v>57.63</v>
      </c>
      <c r="AD14" s="2">
        <f t="shared" si="0"/>
        <v>0.85000000000000142</v>
      </c>
      <c r="AE14" s="134">
        <f t="shared" si="1"/>
        <v>-1.7726265553093534E-2</v>
      </c>
    </row>
    <row r="15" spans="1:40" x14ac:dyDescent="0.25">
      <c r="H15" s="70"/>
      <c r="W15" s="92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3">
        <v>20669000</v>
      </c>
      <c r="AC15" s="10">
        <v>58.67</v>
      </c>
      <c r="AD15" s="2">
        <f t="shared" si="0"/>
        <v>0.88999999999999346</v>
      </c>
      <c r="AE15" s="134">
        <f t="shared" si="1"/>
        <v>-1.0957518543492917E-2</v>
      </c>
      <c r="AK15" s="229"/>
      <c r="AN15" s="229"/>
    </row>
    <row r="16" spans="1:40" x14ac:dyDescent="0.25">
      <c r="H16" s="70"/>
      <c r="W16" s="92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3">
        <v>18185800</v>
      </c>
      <c r="AC16" s="10">
        <v>59.32</v>
      </c>
      <c r="AD16" s="2">
        <f t="shared" si="0"/>
        <v>0.64999999999999858</v>
      </c>
      <c r="AE16" s="134">
        <f t="shared" si="1"/>
        <v>1.0390052801907634E-2</v>
      </c>
    </row>
    <row r="17" spans="1:40" x14ac:dyDescent="0.25">
      <c r="H17" s="70"/>
      <c r="W17" s="92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3">
        <v>17419100</v>
      </c>
      <c r="AC17" s="10">
        <v>58.71</v>
      </c>
      <c r="AD17" s="2">
        <f t="shared" si="0"/>
        <v>0.95000000000000284</v>
      </c>
      <c r="AE17" s="134">
        <f t="shared" si="1"/>
        <v>-8.509189925118843E-4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160</v>
      </c>
      <c r="D18" s="18"/>
      <c r="E18" s="18"/>
      <c r="F18" s="18">
        <f>SUM(F2:F17)</f>
        <v>8704</v>
      </c>
      <c r="G18" s="14"/>
      <c r="H18" s="71">
        <f>SUM(H2:H17)</f>
        <v>40</v>
      </c>
      <c r="I18" s="18"/>
      <c r="J18" s="18"/>
      <c r="K18" s="18">
        <f>SUM(K2:K17)</f>
        <v>2291.1499999999996</v>
      </c>
      <c r="L18" s="18"/>
      <c r="M18" s="18">
        <f>SUM(M2:M17)</f>
        <v>46.8</v>
      </c>
      <c r="W18" s="92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3">
        <v>10872800</v>
      </c>
      <c r="AC18" s="10">
        <v>58.76</v>
      </c>
      <c r="AD18" s="2">
        <f t="shared" si="0"/>
        <v>0.56000000000000227</v>
      </c>
      <c r="AE18" s="134">
        <f t="shared" si="1"/>
        <v>1.0221465076660774E-3</v>
      </c>
    </row>
    <row r="19" spans="1:40" ht="15.75" thickBot="1" x14ac:dyDescent="0.3">
      <c r="A19" s="347" t="s">
        <v>194</v>
      </c>
      <c r="B19" s="348"/>
      <c r="C19" s="349">
        <f>SumByColor($A$19,C2:C17)</f>
        <v>40</v>
      </c>
      <c r="D19" s="349"/>
      <c r="E19" s="349"/>
      <c r="F19" s="350">
        <f>SumByColor($A$19,F2:F17)</f>
        <v>2151</v>
      </c>
      <c r="G19" s="349"/>
      <c r="H19" s="349">
        <f>SumByColor($A$19,H2:H17)</f>
        <v>40</v>
      </c>
      <c r="I19" s="349"/>
      <c r="J19" s="349"/>
      <c r="K19" s="350">
        <f>SumByColor($A$19,K2:K17)</f>
        <v>2291</v>
      </c>
      <c r="L19" s="349"/>
      <c r="M19" s="350">
        <f>SumByColor($A$19,M2:M17)</f>
        <v>47</v>
      </c>
      <c r="W19" s="92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3">
        <v>12975000</v>
      </c>
      <c r="AC19" s="10">
        <v>58.7</v>
      </c>
      <c r="AD19" s="2">
        <f t="shared" si="0"/>
        <v>0.50999999999999801</v>
      </c>
      <c r="AE19" s="134">
        <f t="shared" si="1"/>
        <v>-2.5488530161427159E-3</v>
      </c>
      <c r="AK19" s="229"/>
      <c r="AN19" s="229"/>
    </row>
    <row r="20" spans="1:40" x14ac:dyDescent="0.25">
      <c r="W20" s="92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3">
        <v>14863600</v>
      </c>
      <c r="AC20" s="10">
        <v>58.85</v>
      </c>
      <c r="AD20" s="2">
        <f t="shared" si="0"/>
        <v>0.65999999999999659</v>
      </c>
      <c r="AE20" s="134">
        <f t="shared" si="1"/>
        <v>2.5553662691653045E-3</v>
      </c>
    </row>
    <row r="21" spans="1:40" x14ac:dyDescent="0.25">
      <c r="W21" s="92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3">
        <v>15719700</v>
      </c>
      <c r="AC21" s="10">
        <v>58.7</v>
      </c>
      <c r="AD21" s="2">
        <f t="shared" si="0"/>
        <v>0.6699999999999946</v>
      </c>
      <c r="AE21" s="134">
        <f t="shared" si="1"/>
        <v>8.4177976292734158E-3</v>
      </c>
      <c r="AK21" s="229"/>
      <c r="AN21" s="229"/>
    </row>
    <row r="22" spans="1:40" x14ac:dyDescent="0.25">
      <c r="W22" s="92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3">
        <v>14436900</v>
      </c>
      <c r="AC22" s="10">
        <v>58.21</v>
      </c>
      <c r="AD22" s="2">
        <f t="shared" si="0"/>
        <v>0.96000000000000085</v>
      </c>
      <c r="AE22" s="134">
        <f t="shared" si="1"/>
        <v>-1.5437392795882854E-3</v>
      </c>
    </row>
    <row r="23" spans="1:40" x14ac:dyDescent="0.25">
      <c r="A23" s="10"/>
      <c r="B23" s="186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K23" s="224" t="s">
        <v>714</v>
      </c>
      <c r="L23" s="10"/>
      <c r="M23" s="10"/>
      <c r="W23" s="92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3">
        <v>13031500</v>
      </c>
      <c r="AC23" s="10">
        <v>58.3</v>
      </c>
      <c r="AD23" s="2">
        <f t="shared" si="0"/>
        <v>0.5</v>
      </c>
      <c r="AE23" s="134">
        <f t="shared" si="1"/>
        <v>-5.2891997952567715E-3</v>
      </c>
      <c r="AK23" s="229"/>
    </row>
    <row r="24" spans="1:40" x14ac:dyDescent="0.25">
      <c r="A24" s="10"/>
      <c r="B24" s="188">
        <v>43014</v>
      </c>
      <c r="C24" s="10">
        <v>40</v>
      </c>
      <c r="D24" s="195">
        <v>53.78</v>
      </c>
      <c r="E24" s="39">
        <v>55.58</v>
      </c>
      <c r="F24" s="39">
        <f t="shared" ref="F24" si="2">C24*(E24-D24)</f>
        <v>71.999999999999886</v>
      </c>
      <c r="G24" s="39">
        <f t="shared" ref="G24" si="3">D24*C24</f>
        <v>2151.1999999999998</v>
      </c>
      <c r="H24" s="226">
        <f t="shared" ref="H24" si="4">(E24-D24)/D24</f>
        <v>3.3469691335068746E-2</v>
      </c>
      <c r="I24" s="39"/>
      <c r="J24" s="39"/>
      <c r="K24" s="39"/>
      <c r="L24" s="10"/>
      <c r="M24" s="10"/>
      <c r="W24" s="92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3">
        <v>13205900</v>
      </c>
      <c r="AC24" s="10">
        <v>58.61</v>
      </c>
      <c r="AD24" s="2">
        <f t="shared" si="0"/>
        <v>0.70000000000000284</v>
      </c>
      <c r="AE24" s="134">
        <f t="shared" si="1"/>
        <v>-4.7546272711835869E-3</v>
      </c>
    </row>
    <row r="25" spans="1:40" x14ac:dyDescent="0.25">
      <c r="A25" s="10"/>
      <c r="B25" s="188">
        <v>43021</v>
      </c>
      <c r="C25" s="7">
        <v>120</v>
      </c>
      <c r="D25" s="43">
        <v>53.2667</v>
      </c>
      <c r="E25" s="39">
        <v>53.39</v>
      </c>
      <c r="F25" s="39">
        <f t="shared" ref="F25" si="5">C25*(E25-D25)</f>
        <v>14.796000000000049</v>
      </c>
      <c r="G25" s="39">
        <f t="shared" ref="G25" si="6">D25*C25</f>
        <v>6392.0039999999999</v>
      </c>
      <c r="H25" s="226">
        <f t="shared" ref="H25" si="7">(E25-D25)/D25</f>
        <v>2.3147670120356699E-3</v>
      </c>
      <c r="I25" s="39">
        <v>53</v>
      </c>
      <c r="J25" s="39"/>
      <c r="K25" s="39"/>
      <c r="L25" s="10"/>
      <c r="M25" s="10"/>
      <c r="W25" s="92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3">
        <v>14740000</v>
      </c>
      <c r="AC25" s="10">
        <v>58.89</v>
      </c>
      <c r="AD25" s="2">
        <f t="shared" si="0"/>
        <v>0.57000000000000028</v>
      </c>
      <c r="AE25" s="134">
        <f t="shared" si="1"/>
        <v>3.0659172202349705E-3</v>
      </c>
    </row>
    <row r="26" spans="1:40" x14ac:dyDescent="0.25">
      <c r="A26" s="10"/>
      <c r="B26" s="188">
        <v>43031</v>
      </c>
      <c r="C26" s="10">
        <v>120</v>
      </c>
      <c r="D26" s="39">
        <v>53.2667</v>
      </c>
      <c r="E26" s="39">
        <v>54.91</v>
      </c>
      <c r="F26" s="39">
        <f t="shared" ref="F26" si="8">C26*(E26-D26)</f>
        <v>197.19599999999957</v>
      </c>
      <c r="G26" s="39">
        <f t="shared" ref="G26" si="9">D26*C26</f>
        <v>6392.0039999999999</v>
      </c>
      <c r="H26" s="226">
        <f t="shared" ref="H26" si="10">(E26-D26)/D26</f>
        <v>3.0850418741915613E-2</v>
      </c>
      <c r="I26" s="39"/>
      <c r="J26" s="39"/>
      <c r="K26" s="39"/>
      <c r="L26" s="10"/>
      <c r="M26" s="10"/>
      <c r="W26" s="92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3">
        <v>17528000</v>
      </c>
      <c r="AC26" s="10">
        <v>58.71</v>
      </c>
      <c r="AD26" s="2">
        <f t="shared" si="0"/>
        <v>1.2199999999999989</v>
      </c>
      <c r="AE26" s="134">
        <f t="shared" si="1"/>
        <v>-1.7076845806127561E-2</v>
      </c>
    </row>
    <row r="27" spans="1:40" x14ac:dyDescent="0.25">
      <c r="A27" s="10">
        <v>80</v>
      </c>
      <c r="B27" s="188">
        <v>43069</v>
      </c>
      <c r="C27" s="10">
        <v>80</v>
      </c>
      <c r="D27" s="39">
        <v>51.259399999999999</v>
      </c>
      <c r="E27" s="39">
        <v>57.28</v>
      </c>
      <c r="F27" s="39">
        <f t="shared" ref="F27" si="11">C27*(E27-D27)</f>
        <v>481.64800000000014</v>
      </c>
      <c r="G27" s="39">
        <f t="shared" ref="G27" si="12">D27*C27</f>
        <v>4100.7520000000004</v>
      </c>
      <c r="H27" s="226">
        <f t="shared" ref="H27" si="13">(E27-D27)/D27</f>
        <v>0.11745357924595297</v>
      </c>
      <c r="I27" s="39">
        <v>50.8</v>
      </c>
      <c r="J27" s="39">
        <v>2086</v>
      </c>
      <c r="K27" s="39"/>
      <c r="L27" s="10"/>
      <c r="M27" s="10"/>
      <c r="W27" s="92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3">
        <v>25824300</v>
      </c>
      <c r="AC27" s="10">
        <v>59.73</v>
      </c>
      <c r="AD27" s="2">
        <f t="shared" si="0"/>
        <v>0.89999999999999858</v>
      </c>
      <c r="AE27" s="134">
        <f t="shared" si="1"/>
        <v>3.1962681409813287E-2</v>
      </c>
    </row>
    <row r="28" spans="1:40" x14ac:dyDescent="0.25">
      <c r="A28" s="10">
        <v>80</v>
      </c>
      <c r="B28" s="188">
        <v>43072</v>
      </c>
      <c r="C28" s="10">
        <v>80</v>
      </c>
      <c r="D28" s="39">
        <v>50.675600000000003</v>
      </c>
      <c r="E28" s="39">
        <v>56.2</v>
      </c>
      <c r="F28" s="39">
        <f t="shared" ref="F28" si="14">C28*(E28-D28)</f>
        <v>441.952</v>
      </c>
      <c r="G28" s="39">
        <f t="shared" ref="G28" si="15">D28*C28</f>
        <v>4054.0480000000002</v>
      </c>
      <c r="H28" s="226">
        <f t="shared" ref="H28" si="16">(E28-D28)/D28</f>
        <v>0.10901498946238426</v>
      </c>
      <c r="I28" s="39" t="s">
        <v>825</v>
      </c>
      <c r="J28" s="39">
        <v>2047</v>
      </c>
      <c r="K28" s="39"/>
      <c r="L28" s="10"/>
      <c r="M28" s="10"/>
      <c r="W28" s="92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3">
        <v>15459100</v>
      </c>
      <c r="AC28" s="10">
        <v>57.88</v>
      </c>
      <c r="AD28" s="2">
        <f t="shared" si="0"/>
        <v>0.59000000000000341</v>
      </c>
      <c r="AE28" s="134">
        <f t="shared" si="1"/>
        <v>-3.1002411298656218E-3</v>
      </c>
    </row>
    <row r="29" spans="1:40" x14ac:dyDescent="0.25">
      <c r="A29" s="10">
        <v>80</v>
      </c>
      <c r="B29" s="188">
        <v>43108</v>
      </c>
      <c r="C29" s="10">
        <v>80</v>
      </c>
      <c r="D29" s="39">
        <v>50.675600000000003</v>
      </c>
      <c r="E29" s="39">
        <v>62.04</v>
      </c>
      <c r="F29" s="39">
        <f t="shared" ref="F29" si="17">C29*(E29-D29)</f>
        <v>909.1519999999997</v>
      </c>
      <c r="G29" s="39">
        <f t="shared" ref="G29" si="18">D29*C29</f>
        <v>4054.0480000000002</v>
      </c>
      <c r="H29" s="226">
        <f t="shared" ref="H29" si="19">(E29-D29)/D29</f>
        <v>0.22425782822502341</v>
      </c>
      <c r="I29" s="39" t="s">
        <v>914</v>
      </c>
      <c r="J29" s="39">
        <v>2514</v>
      </c>
      <c r="K29" s="39"/>
      <c r="L29" s="10"/>
      <c r="M29" s="10"/>
      <c r="W29" s="92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3">
        <v>10075400</v>
      </c>
      <c r="AC29" s="10">
        <v>58.06</v>
      </c>
      <c r="AD29" s="2">
        <f t="shared" si="0"/>
        <v>0.53999999999999915</v>
      </c>
      <c r="AE29" s="134">
        <f t="shared" si="1"/>
        <v>4.3245113302197158E-3</v>
      </c>
    </row>
    <row r="30" spans="1:40" x14ac:dyDescent="0.25">
      <c r="A30" s="10">
        <v>80</v>
      </c>
      <c r="B30" s="188">
        <v>43117</v>
      </c>
      <c r="C30" s="10">
        <v>80</v>
      </c>
      <c r="D30" s="39">
        <v>50.675600000000003</v>
      </c>
      <c r="E30" s="39">
        <v>63.88</v>
      </c>
      <c r="F30" s="39">
        <f t="shared" ref="F30" si="20">C30*(E30-D30)</f>
        <v>1056.3519999999999</v>
      </c>
      <c r="G30" s="39">
        <f t="shared" ref="G30" si="21">D30*C30</f>
        <v>4054.0480000000002</v>
      </c>
      <c r="H30" s="226">
        <f t="shared" ref="H30" si="22">(E30-D30)/D30</f>
        <v>0.26056721578037556</v>
      </c>
      <c r="I30" s="39"/>
      <c r="J30" s="39">
        <v>2661</v>
      </c>
      <c r="K30" s="39"/>
      <c r="L30" s="10"/>
      <c r="M30" s="10"/>
      <c r="W30" s="92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3">
        <v>16261900</v>
      </c>
      <c r="AC30" s="10">
        <v>57.81</v>
      </c>
      <c r="AD30" s="2">
        <f t="shared" si="0"/>
        <v>0.58999999999999631</v>
      </c>
      <c r="AE30" s="134">
        <f t="shared" si="1"/>
        <v>-1.1625918960506021E-2</v>
      </c>
    </row>
    <row r="31" spans="1:40" x14ac:dyDescent="0.25">
      <c r="A31" s="10">
        <v>80</v>
      </c>
      <c r="B31" s="188">
        <v>43136</v>
      </c>
      <c r="C31" s="10">
        <v>120</v>
      </c>
      <c r="D31" s="39">
        <v>53.050400000000003</v>
      </c>
      <c r="E31" s="39">
        <v>58.16</v>
      </c>
      <c r="F31" s="39">
        <f t="shared" ref="F31" si="23">C31*(E31-D31)</f>
        <v>613.15199999999913</v>
      </c>
      <c r="G31" s="39">
        <f t="shared" ref="G31" si="24">D31*C31</f>
        <v>6366.0480000000007</v>
      </c>
      <c r="H31" s="226">
        <f t="shared" ref="H31" si="25">(E31-D31)/D31</f>
        <v>9.6315956147361617E-2</v>
      </c>
      <c r="I31" s="39"/>
      <c r="J31" s="39">
        <v>2218</v>
      </c>
      <c r="K31" s="39"/>
      <c r="L31" s="10"/>
      <c r="M31" s="10"/>
      <c r="W31" s="92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3">
        <v>13807900</v>
      </c>
      <c r="AC31" s="10">
        <v>58.49</v>
      </c>
      <c r="AD31" s="2">
        <f t="shared" si="0"/>
        <v>0.53000000000000114</v>
      </c>
      <c r="AE31" s="134">
        <f t="shared" si="1"/>
        <v>2.2275531185744768E-3</v>
      </c>
    </row>
    <row r="32" spans="1:40" x14ac:dyDescent="0.25">
      <c r="A32" s="10"/>
      <c r="B32" s="10"/>
      <c r="C32" s="10"/>
      <c r="D32" s="39"/>
      <c r="E32" s="39"/>
      <c r="F32" s="39"/>
      <c r="G32" s="10"/>
      <c r="H32" s="10"/>
      <c r="I32" s="39"/>
      <c r="J32" s="39"/>
      <c r="K32" s="39"/>
      <c r="L32" s="10"/>
      <c r="M32" s="10"/>
      <c r="W32" s="92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3">
        <v>12323900</v>
      </c>
      <c r="AC32" s="10">
        <v>58.36</v>
      </c>
      <c r="AD32" s="2">
        <f t="shared" si="0"/>
        <v>0.59000000000000341</v>
      </c>
      <c r="AE32" s="134">
        <f t="shared" si="1"/>
        <v>1.8884120171673846E-3</v>
      </c>
    </row>
    <row r="33" spans="1:31" x14ac:dyDescent="0.25">
      <c r="A33" s="10"/>
      <c r="B33" s="10"/>
      <c r="C33" s="10"/>
      <c r="D33" s="39"/>
      <c r="E33" s="39"/>
      <c r="F33" s="39"/>
      <c r="G33" s="10"/>
      <c r="H33" s="10"/>
      <c r="I33" s="39"/>
      <c r="J33" s="39"/>
      <c r="K33" s="39"/>
      <c r="L33" s="10"/>
      <c r="M33" s="10"/>
      <c r="W33" s="92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3">
        <v>16329300</v>
      </c>
      <c r="AC33" s="10">
        <v>58.25</v>
      </c>
      <c r="AD33" s="2">
        <f t="shared" si="0"/>
        <v>0.73000000000000398</v>
      </c>
      <c r="AE33" s="134">
        <f t="shared" si="1"/>
        <v>2.7543467033912528E-3</v>
      </c>
    </row>
    <row r="34" spans="1:31" x14ac:dyDescent="0.25">
      <c r="A34" s="10"/>
      <c r="B34" s="10"/>
      <c r="C34" s="10"/>
      <c r="D34" s="39"/>
      <c r="E34" s="39"/>
      <c r="F34" s="39"/>
      <c r="G34" s="10"/>
      <c r="H34" s="10"/>
      <c r="I34" s="39"/>
      <c r="J34" s="39"/>
      <c r="K34" s="39"/>
      <c r="L34" s="10"/>
      <c r="M34" s="10"/>
      <c r="W34" s="92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3">
        <v>15765900</v>
      </c>
      <c r="AC34" s="10">
        <v>58.09</v>
      </c>
      <c r="AD34" s="2">
        <f t="shared" si="0"/>
        <v>0.64999999999999858</v>
      </c>
      <c r="AE34" s="134">
        <f t="shared" si="1"/>
        <v>-5.1617343427379225E-4</v>
      </c>
    </row>
    <row r="35" spans="1:31" x14ac:dyDescent="0.25">
      <c r="A35" s="10"/>
      <c r="B35" s="10"/>
      <c r="C35" s="10"/>
      <c r="D35" s="39"/>
      <c r="E35" s="39"/>
      <c r="F35" s="39"/>
      <c r="G35" s="10"/>
      <c r="H35" s="10"/>
      <c r="I35" s="39"/>
      <c r="J35" s="39"/>
      <c r="K35" s="39"/>
      <c r="L35" s="10"/>
      <c r="M35" s="10"/>
      <c r="W35" s="92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3">
        <v>14626300</v>
      </c>
      <c r="AC35" s="10">
        <v>58.12</v>
      </c>
      <c r="AD35" s="2">
        <f t="shared" si="0"/>
        <v>0.85000000000000142</v>
      </c>
      <c r="AE35" s="134">
        <f t="shared" si="1"/>
        <v>-7.3441502988897955E-3</v>
      </c>
    </row>
    <row r="36" spans="1:31" x14ac:dyDescent="0.25">
      <c r="A36" s="10"/>
      <c r="B36" s="10"/>
      <c r="C36" s="10"/>
      <c r="D36" s="39"/>
      <c r="E36" s="39"/>
      <c r="F36" s="39"/>
      <c r="G36" s="10"/>
      <c r="H36" s="10"/>
      <c r="I36" s="39"/>
      <c r="J36" s="39"/>
      <c r="K36" s="39"/>
      <c r="L36" s="10"/>
      <c r="M36" s="10"/>
      <c r="W36" s="92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3">
        <v>25281300</v>
      </c>
      <c r="AC36" s="10">
        <v>58.55</v>
      </c>
      <c r="AD36" s="2">
        <f t="shared" si="0"/>
        <v>1.1199999999999974</v>
      </c>
      <c r="AE36" s="134">
        <f t="shared" si="1"/>
        <v>9.830976198689223E-3</v>
      </c>
    </row>
    <row r="37" spans="1:31" x14ac:dyDescent="0.25">
      <c r="A37" s="10"/>
      <c r="B37" s="10"/>
      <c r="C37" s="10"/>
      <c r="D37" s="39"/>
      <c r="E37" s="39"/>
      <c r="F37" s="39"/>
      <c r="G37" s="10"/>
      <c r="H37" s="10"/>
      <c r="I37" s="39"/>
      <c r="J37" s="39"/>
      <c r="K37" s="39"/>
      <c r="L37" s="10"/>
      <c r="M37" s="10"/>
      <c r="W37" s="92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3">
        <v>16268200</v>
      </c>
      <c r="AC37" s="10">
        <v>57.98</v>
      </c>
      <c r="AD37" s="2">
        <f t="shared" si="0"/>
        <v>1.009999999999998</v>
      </c>
      <c r="AE37" s="134">
        <f t="shared" si="1"/>
        <v>1.5767344078486234E-2</v>
      </c>
    </row>
    <row r="38" spans="1:31" x14ac:dyDescent="0.25">
      <c r="A38" s="10"/>
      <c r="B38" s="10"/>
      <c r="C38" s="10"/>
      <c r="D38" s="39"/>
      <c r="E38" s="39"/>
      <c r="F38" s="39"/>
      <c r="G38" s="10"/>
      <c r="H38" s="10"/>
      <c r="I38" s="39"/>
      <c r="J38" s="39"/>
      <c r="K38" s="39"/>
      <c r="L38" s="10"/>
      <c r="M38" s="10"/>
      <c r="W38" s="92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3">
        <v>15325300</v>
      </c>
      <c r="AC38" s="10">
        <v>57.08</v>
      </c>
      <c r="AD38" s="2">
        <f t="shared" si="0"/>
        <v>0.61999999999999744</v>
      </c>
      <c r="AE38" s="134">
        <f t="shared" si="1"/>
        <v>3.8691523039042774E-3</v>
      </c>
    </row>
    <row r="39" spans="1:31" ht="20.25" thickBot="1" x14ac:dyDescent="0.35">
      <c r="A39" s="10"/>
      <c r="B39" s="10"/>
      <c r="C39" s="10"/>
      <c r="D39" s="39"/>
      <c r="E39" s="39"/>
      <c r="F39" s="39"/>
      <c r="G39" s="10"/>
      <c r="H39" s="10"/>
      <c r="I39" s="39"/>
      <c r="J39" s="39"/>
      <c r="K39" s="39"/>
      <c r="L39" s="10"/>
      <c r="M39" s="10"/>
      <c r="O39" s="11"/>
      <c r="P39" s="804" t="s">
        <v>78</v>
      </c>
      <c r="Q39" s="804"/>
      <c r="R39" s="33"/>
      <c r="W39" s="92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3">
        <v>12268100</v>
      </c>
      <c r="AC39" s="10">
        <v>56.86</v>
      </c>
      <c r="AD39" s="2">
        <f t="shared" si="0"/>
        <v>0.38000000000000256</v>
      </c>
      <c r="AE39" s="134">
        <f t="shared" si="1"/>
        <v>2.2915564956813572E-3</v>
      </c>
    </row>
    <row r="40" spans="1:31" ht="15.75" thickTop="1" x14ac:dyDescent="0.25">
      <c r="A40" s="10"/>
      <c r="B40" s="10"/>
      <c r="C40" s="10"/>
      <c r="D40" s="39"/>
      <c r="E40" s="39"/>
      <c r="F40" s="39"/>
      <c r="G40" s="10"/>
      <c r="H40" s="10"/>
      <c r="I40" s="39"/>
      <c r="J40" s="39"/>
      <c r="K40" s="39"/>
      <c r="L40" s="10"/>
      <c r="M40" s="10"/>
      <c r="O40" s="2"/>
      <c r="P40" s="81">
        <v>1.1000000000000001</v>
      </c>
      <c r="Q40" s="81">
        <f>P40*$Q$4</f>
        <v>61.743000000000009</v>
      </c>
      <c r="R40" s="33"/>
      <c r="W40" s="92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3">
        <v>15907800</v>
      </c>
      <c r="AC40" s="10">
        <v>56.73</v>
      </c>
      <c r="AD40" s="2">
        <f t="shared" si="0"/>
        <v>1.1400000000000006</v>
      </c>
      <c r="AE40" s="134">
        <f t="shared" si="1"/>
        <v>1.9773503505302825E-2</v>
      </c>
    </row>
    <row r="41" spans="1:31" x14ac:dyDescent="0.25">
      <c r="A41" s="10"/>
      <c r="B41" s="10"/>
      <c r="C41" s="10"/>
      <c r="D41" s="39"/>
      <c r="E41" s="39"/>
      <c r="F41" s="39"/>
      <c r="G41" s="10"/>
      <c r="H41" s="10"/>
      <c r="I41" s="39"/>
      <c r="J41" s="39"/>
      <c r="K41" s="39"/>
      <c r="L41" s="10"/>
      <c r="M41" s="10"/>
      <c r="O41" s="2"/>
      <c r="P41" s="81">
        <v>1.0900000000000001</v>
      </c>
      <c r="Q41" s="81">
        <f t="shared" ref="Q41:Q60" si="26">P41*$Q$4</f>
        <v>61.181700000000006</v>
      </c>
      <c r="R41" s="33"/>
      <c r="W41" s="92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3">
        <v>18592200</v>
      </c>
      <c r="AC41" s="10">
        <v>55.63</v>
      </c>
      <c r="AD41" s="2">
        <f t="shared" si="0"/>
        <v>1.0399999999999991</v>
      </c>
      <c r="AE41" s="134">
        <f t="shared" si="1"/>
        <v>-1.2602058927937532E-2</v>
      </c>
    </row>
    <row r="42" spans="1:31" ht="20.25" thickBot="1" x14ac:dyDescent="0.35">
      <c r="A42" s="10"/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10"/>
      <c r="M42" s="10"/>
      <c r="O42" s="2"/>
      <c r="P42" s="81">
        <v>1.08</v>
      </c>
      <c r="Q42" s="81">
        <f t="shared" si="26"/>
        <v>60.620400000000004</v>
      </c>
      <c r="R42" s="33"/>
      <c r="T42" s="89" t="s">
        <v>112</v>
      </c>
      <c r="W42" s="92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3">
        <v>14937400</v>
      </c>
      <c r="AC42" s="10">
        <v>56.34</v>
      </c>
      <c r="AD42" s="2">
        <f t="shared" si="0"/>
        <v>0.9199999999999946</v>
      </c>
      <c r="AE42" s="134">
        <f t="shared" si="1"/>
        <v>-3.7135278514587311E-3</v>
      </c>
    </row>
    <row r="43" spans="1:31" ht="15.75" thickTop="1" x14ac:dyDescent="0.25">
      <c r="A43" s="10"/>
      <c r="B43" s="10"/>
      <c r="C43" s="10"/>
      <c r="D43" s="39"/>
      <c r="E43" s="39"/>
      <c r="F43" s="39"/>
      <c r="G43" s="10"/>
      <c r="H43" s="10"/>
      <c r="I43" s="39"/>
      <c r="J43" s="39"/>
      <c r="K43" s="39"/>
      <c r="L43" s="10"/>
      <c r="M43" s="10"/>
      <c r="O43" s="2"/>
      <c r="P43" s="81">
        <v>1.07</v>
      </c>
      <c r="Q43" s="81">
        <f t="shared" si="26"/>
        <v>60.059100000000008</v>
      </c>
      <c r="R43" s="81"/>
      <c r="T43" s="95" t="s">
        <v>97</v>
      </c>
      <c r="U43" s="96">
        <v>55.2</v>
      </c>
      <c r="W43" s="92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3">
        <v>13940200</v>
      </c>
      <c r="AC43" s="10">
        <v>56.55</v>
      </c>
      <c r="AD43" s="2">
        <f t="shared" si="0"/>
        <v>0.9199999999999946</v>
      </c>
      <c r="AE43" s="134">
        <f t="shared" si="1"/>
        <v>-1.2572027239392436E-2</v>
      </c>
    </row>
    <row r="44" spans="1:31" x14ac:dyDescent="0.25">
      <c r="O44" s="2"/>
      <c r="P44" s="81">
        <v>1.06</v>
      </c>
      <c r="Q44" s="81">
        <f t="shared" si="26"/>
        <v>59.497800000000005</v>
      </c>
      <c r="R44" s="81"/>
      <c r="T44" s="85" t="s">
        <v>98</v>
      </c>
      <c r="U44" s="86">
        <v>55.79</v>
      </c>
      <c r="W44" s="92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3">
        <v>19879800</v>
      </c>
      <c r="AC44" s="10">
        <v>57.27</v>
      </c>
      <c r="AD44" s="2">
        <f t="shared" si="0"/>
        <v>0.85999999999999943</v>
      </c>
      <c r="AE44" s="134">
        <f t="shared" si="1"/>
        <v>2.7264573991031549E-2</v>
      </c>
    </row>
    <row r="45" spans="1:31" x14ac:dyDescent="0.25">
      <c r="O45" s="2"/>
      <c r="P45" s="81">
        <v>1.05</v>
      </c>
      <c r="Q45" s="81">
        <f t="shared" si="26"/>
        <v>58.936500000000002</v>
      </c>
      <c r="R45" s="81"/>
      <c r="T45" s="85" t="s">
        <v>99</v>
      </c>
      <c r="U45" s="86" t="s">
        <v>128</v>
      </c>
      <c r="W45" s="92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3">
        <v>13044400</v>
      </c>
      <c r="AC45" s="10">
        <v>55.75</v>
      </c>
      <c r="AD45" s="2">
        <f t="shared" si="0"/>
        <v>0.56000000000000227</v>
      </c>
      <c r="AE45" s="134">
        <f t="shared" si="1"/>
        <v>-2.8617420854945008E-3</v>
      </c>
    </row>
    <row r="46" spans="1:31" x14ac:dyDescent="0.25">
      <c r="O46" s="2"/>
      <c r="P46" s="81">
        <v>1.04</v>
      </c>
      <c r="Q46" s="81">
        <f t="shared" si="26"/>
        <v>58.375200000000007</v>
      </c>
      <c r="R46" s="81"/>
      <c r="T46" s="85" t="s">
        <v>100</v>
      </c>
      <c r="U46" s="86" t="s">
        <v>128</v>
      </c>
      <c r="W46" s="92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3">
        <v>21157700</v>
      </c>
      <c r="AC46" s="10">
        <v>55.91</v>
      </c>
      <c r="AD46" s="2">
        <f t="shared" si="0"/>
        <v>1.2999999999999972</v>
      </c>
      <c r="AE46" s="134" t="e">
        <f t="shared" si="1"/>
        <v>#DIV/0!</v>
      </c>
    </row>
    <row r="47" spans="1:31" x14ac:dyDescent="0.25">
      <c r="O47" s="2"/>
      <c r="P47" s="81">
        <v>1.03</v>
      </c>
      <c r="Q47" s="81">
        <f t="shared" si="26"/>
        <v>57.813900000000004</v>
      </c>
      <c r="R47" s="81"/>
      <c r="T47" s="85" t="s">
        <v>101</v>
      </c>
      <c r="U47" s="86">
        <v>59.02</v>
      </c>
      <c r="W47" s="92">
        <v>42767</v>
      </c>
      <c r="X47" s="10" t="s">
        <v>184</v>
      </c>
      <c r="Y47" s="10"/>
      <c r="Z47" s="10"/>
      <c r="AA47" s="10"/>
      <c r="AB47" s="93"/>
      <c r="AC47" s="10"/>
      <c r="AD47" s="2">
        <f t="shared" si="0"/>
        <v>0</v>
      </c>
      <c r="AE47" s="134">
        <f t="shared" si="1"/>
        <v>-1</v>
      </c>
    </row>
    <row r="48" spans="1:31" x14ac:dyDescent="0.25">
      <c r="O48" s="2"/>
      <c r="P48" s="81">
        <v>1.02</v>
      </c>
      <c r="Q48" s="81">
        <f t="shared" si="26"/>
        <v>57.252600000000001</v>
      </c>
      <c r="R48" s="81"/>
      <c r="T48" s="85" t="s">
        <v>102</v>
      </c>
      <c r="U48" s="86">
        <v>1.02257</v>
      </c>
      <c r="W48" s="92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3">
        <v>22409100</v>
      </c>
      <c r="AC48" s="10">
        <v>55.95</v>
      </c>
      <c r="AD48" s="2">
        <f t="shared" si="0"/>
        <v>0.5800000000000054</v>
      </c>
      <c r="AE48" s="134">
        <f t="shared" si="1"/>
        <v>4.4883303411131781E-3</v>
      </c>
    </row>
    <row r="49" spans="1:31" x14ac:dyDescent="0.25">
      <c r="O49" s="2"/>
      <c r="P49" s="81">
        <v>1.01</v>
      </c>
      <c r="Q49" s="81">
        <f t="shared" si="26"/>
        <v>56.691300000000005</v>
      </c>
      <c r="R49" s="81"/>
      <c r="T49" s="85" t="s">
        <v>103</v>
      </c>
      <c r="U49" s="87" t="s">
        <v>340</v>
      </c>
      <c r="W49" s="92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3">
        <v>15961400</v>
      </c>
      <c r="AC49" s="10">
        <v>55.7</v>
      </c>
      <c r="AD49" s="2">
        <f t="shared" si="0"/>
        <v>0.57000000000000028</v>
      </c>
      <c r="AE49" s="134">
        <f t="shared" si="1"/>
        <v>-9.0731186621597626E-3</v>
      </c>
    </row>
    <row r="50" spans="1:31" x14ac:dyDescent="0.25">
      <c r="L50" t="s">
        <v>65</v>
      </c>
      <c r="M50" s="39">
        <f>M91+K91-F91</f>
        <v>1604.5800000000017</v>
      </c>
      <c r="O50" s="2"/>
      <c r="P50" s="81">
        <v>1</v>
      </c>
      <c r="Q50" s="81">
        <f t="shared" si="26"/>
        <v>56.13</v>
      </c>
      <c r="R50" s="81"/>
      <c r="T50" s="85"/>
      <c r="U50" s="86"/>
      <c r="W50" s="92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3">
        <v>17186200</v>
      </c>
      <c r="AC50" s="10">
        <v>56.21</v>
      </c>
      <c r="AD50" s="2">
        <f t="shared" si="0"/>
        <v>0.70000000000000284</v>
      </c>
      <c r="AE50" s="134">
        <f t="shared" si="1"/>
        <v>-1.021306568057756E-2</v>
      </c>
    </row>
    <row r="51" spans="1:31" x14ac:dyDescent="0.25">
      <c r="A51" s="256" t="s">
        <v>1</v>
      </c>
      <c r="B51" s="256" t="s">
        <v>2</v>
      </c>
      <c r="C51" s="256" t="s">
        <v>4</v>
      </c>
      <c r="D51" s="257" t="s">
        <v>5</v>
      </c>
      <c r="E51" s="257" t="s">
        <v>90</v>
      </c>
      <c r="F51" s="257" t="s">
        <v>60</v>
      </c>
      <c r="G51" s="256" t="s">
        <v>3</v>
      </c>
      <c r="H51" s="256" t="s">
        <v>6</v>
      </c>
      <c r="I51" s="257" t="s">
        <v>7</v>
      </c>
      <c r="J51" s="257" t="s">
        <v>89</v>
      </c>
      <c r="K51" s="257" t="s">
        <v>61</v>
      </c>
      <c r="L51" s="256" t="s">
        <v>77</v>
      </c>
      <c r="M51" s="256" t="s">
        <v>38</v>
      </c>
      <c r="O51" s="2"/>
      <c r="P51" s="81">
        <v>0.99</v>
      </c>
      <c r="Q51" s="81">
        <f t="shared" si="26"/>
        <v>55.5687</v>
      </c>
      <c r="R51" s="81"/>
      <c r="T51" s="85" t="s">
        <v>104</v>
      </c>
      <c r="U51" s="86" t="s">
        <v>661</v>
      </c>
      <c r="W51" s="92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3">
        <v>23769800</v>
      </c>
      <c r="AC51" s="10">
        <v>56.79</v>
      </c>
      <c r="AD51" s="2">
        <f t="shared" si="0"/>
        <v>0.73999999999999488</v>
      </c>
      <c r="AE51" s="134">
        <f t="shared" si="1"/>
        <v>9.7795163584637468E-3</v>
      </c>
    </row>
    <row r="52" spans="1:31" x14ac:dyDescent="0.25">
      <c r="A52" s="258" t="s">
        <v>173</v>
      </c>
      <c r="B52" s="259">
        <v>42376</v>
      </c>
      <c r="C52" s="254">
        <v>40</v>
      </c>
      <c r="D52" s="255">
        <v>50.5</v>
      </c>
      <c r="E52" s="255">
        <v>0</v>
      </c>
      <c r="F52" s="255">
        <f t="shared" ref="F52:F60" si="27">C52*D52+E52</f>
        <v>2020</v>
      </c>
      <c r="G52" s="254"/>
      <c r="H52" s="254"/>
      <c r="I52" s="255"/>
      <c r="J52" s="255"/>
      <c r="K52" s="255"/>
      <c r="L52" s="259">
        <v>42430</v>
      </c>
      <c r="M52" s="255">
        <v>15</v>
      </c>
      <c r="O52" s="2"/>
      <c r="P52" s="81">
        <v>0.98</v>
      </c>
      <c r="Q52" s="81">
        <f t="shared" si="26"/>
        <v>55.007400000000004</v>
      </c>
      <c r="R52" s="81"/>
      <c r="T52" s="85" t="s">
        <v>105</v>
      </c>
      <c r="U52" s="86" t="s">
        <v>490</v>
      </c>
      <c r="W52" s="92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3">
        <v>32252100</v>
      </c>
      <c r="AC52" s="10">
        <v>56.24</v>
      </c>
      <c r="AD52" s="2">
        <f t="shared" si="0"/>
        <v>1.5499999999999972</v>
      </c>
      <c r="AE52" s="134">
        <f t="shared" si="1"/>
        <v>3.5155531014172681E-2</v>
      </c>
    </row>
    <row r="53" spans="1:31" x14ac:dyDescent="0.25">
      <c r="A53" s="261" t="s">
        <v>71</v>
      </c>
      <c r="B53" s="259">
        <v>42466</v>
      </c>
      <c r="C53" s="254">
        <v>40</v>
      </c>
      <c r="D53" s="255">
        <v>47.38</v>
      </c>
      <c r="E53" s="255">
        <v>0</v>
      </c>
      <c r="F53" s="255">
        <f t="shared" si="27"/>
        <v>1895.2</v>
      </c>
      <c r="G53" s="259">
        <v>42473</v>
      </c>
      <c r="H53" s="260">
        <v>40</v>
      </c>
      <c r="I53" s="255">
        <v>48.91</v>
      </c>
      <c r="J53" s="255">
        <v>0.04</v>
      </c>
      <c r="K53" s="255">
        <f t="shared" ref="K53:K59" si="28">I53*H53-J53</f>
        <v>1956.36</v>
      </c>
      <c r="L53" s="259">
        <v>42522</v>
      </c>
      <c r="M53" s="255">
        <v>30.4</v>
      </c>
      <c r="O53" s="2"/>
      <c r="P53" s="81">
        <v>0.97</v>
      </c>
      <c r="Q53" s="81">
        <f t="shared" si="26"/>
        <v>54.446100000000001</v>
      </c>
      <c r="R53" s="81"/>
      <c r="T53" s="85" t="s">
        <v>106</v>
      </c>
      <c r="U53" s="88">
        <v>17411708</v>
      </c>
      <c r="W53" s="92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3">
        <v>18523300</v>
      </c>
      <c r="AC53" s="10">
        <v>54.33</v>
      </c>
      <c r="AD53" s="2">
        <f t="shared" si="0"/>
        <v>0.93999999999999773</v>
      </c>
      <c r="AE53" s="134">
        <f t="shared" si="1"/>
        <v>8.3518930957682258E-3</v>
      </c>
    </row>
    <row r="54" spans="1:31" x14ac:dyDescent="0.25">
      <c r="A54" s="254"/>
      <c r="B54" s="259">
        <v>42474</v>
      </c>
      <c r="C54" s="254">
        <v>40</v>
      </c>
      <c r="D54" s="255">
        <v>48.55</v>
      </c>
      <c r="E54" s="255">
        <v>0</v>
      </c>
      <c r="F54" s="255">
        <f t="shared" si="27"/>
        <v>1942</v>
      </c>
      <c r="G54" s="259">
        <v>42487</v>
      </c>
      <c r="H54" s="260">
        <v>40</v>
      </c>
      <c r="I54" s="255">
        <v>50.97</v>
      </c>
      <c r="J54" s="255">
        <v>0.04</v>
      </c>
      <c r="K54" s="255">
        <f t="shared" si="28"/>
        <v>2038.76</v>
      </c>
      <c r="L54" s="259">
        <v>42614</v>
      </c>
      <c r="M54" s="255">
        <v>41.8</v>
      </c>
      <c r="O54" s="2"/>
      <c r="P54" s="81">
        <v>0.96</v>
      </c>
      <c r="Q54" s="81">
        <f t="shared" si="26"/>
        <v>53.884799999999998</v>
      </c>
      <c r="R54" s="81"/>
      <c r="T54" s="85" t="s">
        <v>109</v>
      </c>
      <c r="U54" s="88">
        <v>18059400</v>
      </c>
      <c r="W54" s="92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3">
        <v>17227400</v>
      </c>
      <c r="AC54" s="10">
        <v>53.88</v>
      </c>
      <c r="AD54" s="2">
        <f t="shared" si="0"/>
        <v>0.85000000000000142</v>
      </c>
      <c r="AE54" s="134">
        <f t="shared" si="1"/>
        <v>-1.4990859232175469E-2</v>
      </c>
    </row>
    <row r="55" spans="1:31" x14ac:dyDescent="0.25">
      <c r="A55" s="254"/>
      <c r="B55" s="259">
        <v>42489</v>
      </c>
      <c r="C55" s="254">
        <v>40</v>
      </c>
      <c r="D55" s="255">
        <v>50.01</v>
      </c>
      <c r="E55" s="255">
        <v>0</v>
      </c>
      <c r="F55" s="255">
        <f t="shared" si="27"/>
        <v>2000.3999999999999</v>
      </c>
      <c r="G55" s="259">
        <v>42514</v>
      </c>
      <c r="H55" s="401">
        <v>40</v>
      </c>
      <c r="I55" s="361">
        <v>49.29</v>
      </c>
      <c r="J55" s="361">
        <v>0.04</v>
      </c>
      <c r="K55" s="361">
        <f t="shared" si="28"/>
        <v>1971.56</v>
      </c>
      <c r="L55" s="254"/>
      <c r="M55" s="254"/>
      <c r="O55" s="2"/>
      <c r="P55" s="81">
        <v>0.95</v>
      </c>
      <c r="Q55" s="81">
        <f t="shared" si="26"/>
        <v>53.323500000000003</v>
      </c>
      <c r="R55" s="81"/>
      <c r="T55" s="85" t="s">
        <v>107</v>
      </c>
      <c r="U55" s="86" t="s">
        <v>662</v>
      </c>
      <c r="W55" s="92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3">
        <v>24160800</v>
      </c>
      <c r="AC55" s="10">
        <v>54.7</v>
      </c>
      <c r="AD55" s="2">
        <f t="shared" si="0"/>
        <v>0.49000000000000199</v>
      </c>
      <c r="AE55" s="134">
        <f>AC55/AC56-1</f>
        <v>9.0389227079874512E-3</v>
      </c>
    </row>
    <row r="56" spans="1:31" x14ac:dyDescent="0.25">
      <c r="A56" s="254"/>
      <c r="B56" s="259">
        <v>42503</v>
      </c>
      <c r="C56" s="254">
        <v>10</v>
      </c>
      <c r="D56" s="255">
        <v>48.2</v>
      </c>
      <c r="E56" s="255">
        <v>0</v>
      </c>
      <c r="F56" s="255">
        <f t="shared" si="27"/>
        <v>482</v>
      </c>
      <c r="G56" s="259">
        <v>42517</v>
      </c>
      <c r="H56" s="260">
        <v>20</v>
      </c>
      <c r="I56" s="255">
        <v>50.72</v>
      </c>
      <c r="J56" s="255">
        <v>0.02</v>
      </c>
      <c r="K56" s="361">
        <f t="shared" si="28"/>
        <v>1014.38</v>
      </c>
      <c r="L56" s="254"/>
      <c r="M56" s="254"/>
      <c r="O56" s="2"/>
      <c r="P56" s="81">
        <v>0.94</v>
      </c>
      <c r="Q56" s="81">
        <f t="shared" si="26"/>
        <v>52.7622</v>
      </c>
      <c r="R56" s="81"/>
      <c r="T56" s="85" t="s">
        <v>110</v>
      </c>
      <c r="U56" s="86">
        <v>13.78</v>
      </c>
      <c r="W56" s="92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3">
        <v>20906900</v>
      </c>
      <c r="AC56" s="10">
        <v>54.21</v>
      </c>
      <c r="AD56" s="2">
        <f t="shared" si="0"/>
        <v>0.91000000000000369</v>
      </c>
      <c r="AE56" s="134">
        <f t="shared" si="1"/>
        <v>5.7513914656772691E-3</v>
      </c>
    </row>
    <row r="57" spans="1:31" x14ac:dyDescent="0.25">
      <c r="A57" s="254"/>
      <c r="B57" s="259">
        <v>42503</v>
      </c>
      <c r="C57" s="254">
        <v>20</v>
      </c>
      <c r="D57" s="255">
        <v>48.2</v>
      </c>
      <c r="E57" s="255">
        <v>0</v>
      </c>
      <c r="F57" s="255">
        <f t="shared" si="27"/>
        <v>964</v>
      </c>
      <c r="G57" s="259">
        <v>42527</v>
      </c>
      <c r="H57" s="260">
        <v>30</v>
      </c>
      <c r="I57" s="255">
        <v>50.59</v>
      </c>
      <c r="J57" s="255">
        <v>0.03</v>
      </c>
      <c r="K57" s="361">
        <f t="shared" si="28"/>
        <v>1517.67</v>
      </c>
      <c r="L57" s="254"/>
      <c r="M57" s="254"/>
      <c r="O57" s="2"/>
      <c r="P57" s="81">
        <v>0.93</v>
      </c>
      <c r="Q57" s="81">
        <f t="shared" si="26"/>
        <v>52.200900000000004</v>
      </c>
      <c r="R57" s="81"/>
      <c r="T57" s="85" t="s">
        <v>111</v>
      </c>
      <c r="U57" s="86">
        <v>3.99</v>
      </c>
      <c r="W57" s="92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3">
        <v>21186700</v>
      </c>
      <c r="AC57" s="10">
        <v>53.9</v>
      </c>
      <c r="AD57" s="2">
        <f t="shared" si="0"/>
        <v>0.94999999999999574</v>
      </c>
      <c r="AE57" s="134">
        <f t="shared" si="1"/>
        <v>8.9853987270684943E-3</v>
      </c>
    </row>
    <row r="58" spans="1:31" x14ac:dyDescent="0.25">
      <c r="A58" s="254"/>
      <c r="B58" s="259">
        <v>42524</v>
      </c>
      <c r="C58" s="254">
        <v>30</v>
      </c>
      <c r="D58" s="255">
        <v>50.01</v>
      </c>
      <c r="E58" s="255">
        <v>0</v>
      </c>
      <c r="F58" s="255">
        <f t="shared" si="27"/>
        <v>1500.3</v>
      </c>
      <c r="G58" s="259">
        <v>42587</v>
      </c>
      <c r="H58" s="260">
        <v>30</v>
      </c>
      <c r="I58" s="255">
        <v>48.68</v>
      </c>
      <c r="J58" s="255">
        <v>0.03</v>
      </c>
      <c r="K58" s="255">
        <f t="shared" si="28"/>
        <v>1460.3700000000001</v>
      </c>
      <c r="L58" s="254"/>
      <c r="M58" s="254"/>
      <c r="O58" s="2"/>
      <c r="P58" s="81">
        <v>0.92</v>
      </c>
      <c r="Q58" s="81">
        <f t="shared" si="26"/>
        <v>51.639600000000002</v>
      </c>
      <c r="R58" s="81"/>
      <c r="T58" s="85" t="s">
        <v>108</v>
      </c>
      <c r="U58" s="86" t="s">
        <v>568</v>
      </c>
      <c r="W58" s="92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3">
        <v>26974400</v>
      </c>
      <c r="AC58" s="10">
        <v>53.42</v>
      </c>
      <c r="AD58" s="2">
        <f t="shared" si="0"/>
        <v>1.3800000000000026</v>
      </c>
      <c r="AE58" s="134">
        <f t="shared" si="1"/>
        <v>-2.7666545322169611E-2</v>
      </c>
    </row>
    <row r="59" spans="1:31" x14ac:dyDescent="0.25">
      <c r="A59" s="254"/>
      <c r="B59" s="259">
        <v>42531</v>
      </c>
      <c r="C59" s="254">
        <v>30</v>
      </c>
      <c r="D59" s="255">
        <v>48.51</v>
      </c>
      <c r="E59" s="255">
        <v>0</v>
      </c>
      <c r="F59" s="255">
        <f t="shared" si="27"/>
        <v>1455.3</v>
      </c>
      <c r="G59" s="259">
        <v>42611</v>
      </c>
      <c r="H59" s="260">
        <v>80</v>
      </c>
      <c r="I59" s="255">
        <v>49.71</v>
      </c>
      <c r="J59" s="255">
        <v>0.09</v>
      </c>
      <c r="K59" s="255">
        <f t="shared" si="28"/>
        <v>3976.71</v>
      </c>
      <c r="L59" s="254"/>
      <c r="M59" s="254"/>
      <c r="O59" s="2"/>
      <c r="P59" s="81">
        <v>0.91</v>
      </c>
      <c r="Q59" s="81">
        <f t="shared" si="26"/>
        <v>51.078300000000006</v>
      </c>
      <c r="R59" s="81"/>
      <c r="W59" s="92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3">
        <v>37231600</v>
      </c>
      <c r="AC59" s="10">
        <v>54.94</v>
      </c>
      <c r="AD59" s="2">
        <f t="shared" si="0"/>
        <v>1.5500000000000043</v>
      </c>
      <c r="AE59" s="134">
        <f t="shared" si="1"/>
        <v>1.4963975614261882E-2</v>
      </c>
    </row>
    <row r="60" spans="1:31" x14ac:dyDescent="0.25">
      <c r="A60" s="254"/>
      <c r="B60" s="259">
        <v>42566</v>
      </c>
      <c r="C60" s="254">
        <v>30</v>
      </c>
      <c r="D60" s="255">
        <v>47.58</v>
      </c>
      <c r="E60" s="255">
        <v>0</v>
      </c>
      <c r="F60" s="255">
        <f t="shared" si="27"/>
        <v>1427.3999999999999</v>
      </c>
      <c r="G60" s="254"/>
      <c r="H60" s="254"/>
      <c r="I60" s="255"/>
      <c r="J60" s="255"/>
      <c r="K60" s="255"/>
      <c r="L60" s="254"/>
      <c r="M60" s="254"/>
      <c r="O60" s="2"/>
      <c r="P60" s="81">
        <v>0.9</v>
      </c>
      <c r="Q60" s="81">
        <f t="shared" si="26"/>
        <v>50.517000000000003</v>
      </c>
      <c r="R60" s="81"/>
      <c r="W60" s="92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3">
        <v>20566600</v>
      </c>
      <c r="AC60" s="10">
        <v>54.13</v>
      </c>
      <c r="AD60" s="2">
        <f t="shared" si="0"/>
        <v>0.88000000000000256</v>
      </c>
      <c r="AE60" s="134">
        <f t="shared" si="1"/>
        <v>-5.5116663604629634E-3</v>
      </c>
    </row>
    <row r="61" spans="1:31" x14ac:dyDescent="0.25">
      <c r="A61" s="254"/>
      <c r="B61" s="259">
        <v>42627</v>
      </c>
      <c r="C61" s="254">
        <v>40</v>
      </c>
      <c r="D61" s="255">
        <v>46.47</v>
      </c>
      <c r="E61" s="255">
        <v>0</v>
      </c>
      <c r="F61" s="255">
        <f>D61*C61+E61</f>
        <v>1858.8</v>
      </c>
      <c r="G61" s="259">
        <v>42670</v>
      </c>
      <c r="H61" s="260">
        <v>40</v>
      </c>
      <c r="I61" s="255">
        <v>46.48</v>
      </c>
      <c r="J61" s="255">
        <v>0.04</v>
      </c>
      <c r="K61" s="255">
        <f>I61*H61-J61</f>
        <v>1859.1599999999999</v>
      </c>
      <c r="L61" s="259">
        <v>42705</v>
      </c>
      <c r="M61" s="255">
        <v>15.2</v>
      </c>
      <c r="W61" s="92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3">
        <v>21100600</v>
      </c>
      <c r="AC61" s="10">
        <v>54.43</v>
      </c>
      <c r="AD61" s="2">
        <f t="shared" si="0"/>
        <v>1.0799999999999983</v>
      </c>
      <c r="AE61" s="134">
        <f t="shared" si="1"/>
        <v>3.3179723502303471E-3</v>
      </c>
    </row>
    <row r="62" spans="1:31" x14ac:dyDescent="0.25">
      <c r="A62" s="254"/>
      <c r="B62" s="259">
        <v>42639</v>
      </c>
      <c r="C62" s="254">
        <v>40</v>
      </c>
      <c r="D62" s="255">
        <v>44.8</v>
      </c>
      <c r="E62" s="255">
        <v>0</v>
      </c>
      <c r="F62" s="255">
        <f>D62*C62+E62</f>
        <v>1792</v>
      </c>
      <c r="G62" s="259">
        <v>42683</v>
      </c>
      <c r="H62" s="260">
        <v>40</v>
      </c>
      <c r="I62" s="255">
        <v>46.58</v>
      </c>
      <c r="J62" s="255">
        <v>0.04</v>
      </c>
      <c r="K62" s="255">
        <f>I62*H62-J62</f>
        <v>1863.1599999999999</v>
      </c>
      <c r="L62" s="259"/>
      <c r="M62" s="255"/>
      <c r="W62" s="92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3">
        <v>17978200</v>
      </c>
      <c r="AC62" s="10">
        <v>54.25</v>
      </c>
      <c r="AD62" s="2">
        <f t="shared" si="0"/>
        <v>0.92000000000000171</v>
      </c>
      <c r="AE62" s="134">
        <f t="shared" si="1"/>
        <v>7.054018934471884E-3</v>
      </c>
    </row>
    <row r="63" spans="1:31" x14ac:dyDescent="0.25">
      <c r="A63" s="254"/>
      <c r="B63" s="259">
        <v>42678</v>
      </c>
      <c r="C63" s="254">
        <v>40</v>
      </c>
      <c r="D63" s="255">
        <v>44.95</v>
      </c>
      <c r="E63" s="255">
        <v>0</v>
      </c>
      <c r="F63" s="255">
        <f>D63*C63+E63</f>
        <v>1798</v>
      </c>
      <c r="G63" s="259">
        <v>42710</v>
      </c>
      <c r="H63" s="260">
        <v>40</v>
      </c>
      <c r="I63" s="255">
        <v>55.08</v>
      </c>
      <c r="J63" s="255">
        <v>0.05</v>
      </c>
      <c r="K63" s="255">
        <f>I63*H63-J63</f>
        <v>2203.1499999999996</v>
      </c>
      <c r="L63" s="259"/>
      <c r="M63" s="254"/>
      <c r="W63" s="92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3">
        <v>21665600</v>
      </c>
      <c r="AC63" s="10">
        <v>53.87</v>
      </c>
      <c r="AD63" s="2">
        <f t="shared" si="0"/>
        <v>0.63000000000000256</v>
      </c>
      <c r="AE63" s="134">
        <f t="shared" si="1"/>
        <v>-1.4633254069873813E-2</v>
      </c>
    </row>
    <row r="64" spans="1:31" x14ac:dyDescent="0.25">
      <c r="A64" s="254"/>
      <c r="B64" s="259"/>
      <c r="C64" s="254"/>
      <c r="D64" s="255"/>
      <c r="E64" s="255"/>
      <c r="F64" s="255"/>
      <c r="G64" s="259"/>
      <c r="H64" s="401"/>
      <c r="I64" s="361"/>
      <c r="J64" s="361"/>
      <c r="K64" s="361"/>
      <c r="L64" s="254"/>
      <c r="M64" s="254"/>
      <c r="W64" s="92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3">
        <v>18715900</v>
      </c>
      <c r="AC64" s="10">
        <v>54.67</v>
      </c>
      <c r="AD64" s="2">
        <f t="shared" si="0"/>
        <v>0.86999999999999744</v>
      </c>
      <c r="AE64" s="134">
        <f t="shared" si="1"/>
        <v>-2.5542784163473664E-3</v>
      </c>
    </row>
    <row r="65" spans="1:31" x14ac:dyDescent="0.25">
      <c r="A65" s="254"/>
      <c r="B65" s="445">
        <v>42718</v>
      </c>
      <c r="C65" s="7">
        <v>40</v>
      </c>
      <c r="D65" s="43">
        <v>54.28</v>
      </c>
      <c r="E65" s="43">
        <v>0</v>
      </c>
      <c r="F65" s="43">
        <f>C65*D65+E65</f>
        <v>2171.1999999999998</v>
      </c>
      <c r="G65" s="445">
        <v>42759</v>
      </c>
      <c r="H65" s="80">
        <v>40</v>
      </c>
      <c r="I65" s="43">
        <v>54.92</v>
      </c>
      <c r="J65" s="43">
        <v>0.05</v>
      </c>
      <c r="K65" s="43">
        <f>H65*I65-J65</f>
        <v>2196.75</v>
      </c>
      <c r="L65" s="254"/>
      <c r="M65" s="254"/>
      <c r="W65" s="92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3">
        <v>18831600</v>
      </c>
      <c r="AC65" s="10">
        <v>54.81</v>
      </c>
      <c r="AD65" s="2">
        <f t="shared" si="0"/>
        <v>1.3400000000000034</v>
      </c>
      <c r="AE65" s="134">
        <f t="shared" si="1"/>
        <v>-1.5448176755882836E-2</v>
      </c>
    </row>
    <row r="66" spans="1:31" x14ac:dyDescent="0.25">
      <c r="A66" s="254"/>
      <c r="B66" s="445">
        <v>42733</v>
      </c>
      <c r="C66" s="7">
        <v>40</v>
      </c>
      <c r="D66" s="43">
        <v>54.58</v>
      </c>
      <c r="E66" s="43">
        <v>0</v>
      </c>
      <c r="F66" s="43">
        <f>C66*D66+E66</f>
        <v>2183.1999999999998</v>
      </c>
      <c r="G66" s="586">
        <v>42767</v>
      </c>
      <c r="H66" s="80">
        <v>40</v>
      </c>
      <c r="I66" s="43">
        <v>57.05</v>
      </c>
      <c r="J66" s="43">
        <v>0.05</v>
      </c>
      <c r="K66" s="43">
        <f>H66*I66-J66</f>
        <v>2281.9499999999998</v>
      </c>
      <c r="L66" s="254"/>
      <c r="M66" s="254"/>
      <c r="W66" s="92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3">
        <v>15036100</v>
      </c>
      <c r="AC66" s="10">
        <v>55.67</v>
      </c>
      <c r="AD66" s="2">
        <f t="shared" si="0"/>
        <v>0.70000000000000284</v>
      </c>
      <c r="AE66" s="134">
        <f t="shared" si="1"/>
        <v>8.9895720963695247E-4</v>
      </c>
    </row>
    <row r="67" spans="1:31" x14ac:dyDescent="0.25">
      <c r="A67" s="254"/>
      <c r="B67" s="445">
        <v>42740</v>
      </c>
      <c r="C67" s="7">
        <v>40</v>
      </c>
      <c r="D67" s="43">
        <v>54.9</v>
      </c>
      <c r="E67" s="43">
        <v>0</v>
      </c>
      <c r="F67" s="43">
        <f>C67*D67+E67</f>
        <v>2196</v>
      </c>
      <c r="G67" s="445">
        <v>42781</v>
      </c>
      <c r="H67" s="80">
        <v>40</v>
      </c>
      <c r="I67" s="43">
        <v>58.48</v>
      </c>
      <c r="J67" s="43">
        <v>0.05</v>
      </c>
      <c r="K67" s="43">
        <f>H67*I67-J67</f>
        <v>2339.1499999999996</v>
      </c>
      <c r="L67" s="254"/>
      <c r="M67" s="254"/>
      <c r="W67" s="92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3">
        <v>22063800</v>
      </c>
      <c r="AC67" s="10">
        <v>55.62</v>
      </c>
      <c r="AD67" s="2">
        <f t="shared" si="0"/>
        <v>0.89000000000000057</v>
      </c>
      <c r="AE67" s="134" t="e">
        <f>AC67/#REF!-1</f>
        <v>#REF!</v>
      </c>
    </row>
    <row r="68" spans="1:31" x14ac:dyDescent="0.25">
      <c r="A68" s="254"/>
      <c r="B68" s="259"/>
      <c r="C68" s="254"/>
      <c r="D68" s="255"/>
      <c r="E68" s="255"/>
      <c r="F68" s="255"/>
      <c r="G68" s="259"/>
      <c r="H68" s="260"/>
      <c r="I68" s="255"/>
      <c r="J68" s="255"/>
      <c r="K68" s="361"/>
      <c r="L68" s="254"/>
      <c r="M68" s="254"/>
      <c r="W68" s="92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3">
        <v>15095500</v>
      </c>
      <c r="AC68" s="10">
        <v>54.74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4"/>
      <c r="B69" s="445">
        <v>42767</v>
      </c>
      <c r="C69" s="7">
        <v>40</v>
      </c>
      <c r="D69" s="43">
        <v>56.68</v>
      </c>
      <c r="E69" s="43">
        <v>0</v>
      </c>
      <c r="F69" s="43">
        <f>C69*D69+E69</f>
        <v>2267.1999999999998</v>
      </c>
      <c r="G69" s="445">
        <v>42803</v>
      </c>
      <c r="H69" s="7">
        <v>40</v>
      </c>
      <c r="I69" s="43">
        <v>58.65</v>
      </c>
      <c r="J69" s="43">
        <v>0.05</v>
      </c>
      <c r="K69" s="43">
        <f>H69*I69-J69</f>
        <v>2345.9499999999998</v>
      </c>
      <c r="L69" s="72">
        <v>42795</v>
      </c>
      <c r="M69" s="43">
        <v>30.4</v>
      </c>
      <c r="W69" s="92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4"/>
      <c r="B70" s="259"/>
      <c r="C70" s="254"/>
      <c r="D70" s="255"/>
      <c r="E70" s="255"/>
      <c r="F70" s="255"/>
      <c r="G70" s="259"/>
      <c r="H70" s="260"/>
      <c r="I70" s="255"/>
      <c r="J70" s="255"/>
      <c r="K70" s="361"/>
      <c r="L70" s="254"/>
      <c r="M70" s="254"/>
    </row>
    <row r="71" spans="1:31" x14ac:dyDescent="0.25">
      <c r="A71" s="254"/>
      <c r="B71" s="445">
        <v>42782</v>
      </c>
      <c r="C71" s="7">
        <v>40</v>
      </c>
      <c r="D71" s="43">
        <v>57.85</v>
      </c>
      <c r="E71" s="43">
        <v>0</v>
      </c>
      <c r="F71" s="43">
        <f t="shared" ref="F71:F76" si="29">C71*D71+E71</f>
        <v>2314</v>
      </c>
      <c r="G71" s="445">
        <v>42915</v>
      </c>
      <c r="H71" s="7">
        <v>80</v>
      </c>
      <c r="I71" s="43">
        <v>55.8</v>
      </c>
      <c r="J71" s="43">
        <v>0.1</v>
      </c>
      <c r="K71" s="43">
        <f>H71*I71-J71</f>
        <v>4463.8999999999996</v>
      </c>
      <c r="L71" s="72">
        <v>42888</v>
      </c>
      <c r="M71" s="43">
        <v>45.6</v>
      </c>
    </row>
    <row r="72" spans="1:31" x14ac:dyDescent="0.25">
      <c r="A72" s="254"/>
      <c r="B72" s="445">
        <v>42815</v>
      </c>
      <c r="C72" s="7">
        <v>40</v>
      </c>
      <c r="D72" s="43">
        <v>57.28</v>
      </c>
      <c r="E72" s="43">
        <v>0</v>
      </c>
      <c r="F72" s="43">
        <f t="shared" si="29"/>
        <v>2291.1999999999998</v>
      </c>
      <c r="G72" s="445">
        <v>42997</v>
      </c>
      <c r="H72" s="80">
        <v>80</v>
      </c>
      <c r="I72" s="43">
        <v>53.18</v>
      </c>
      <c r="J72" s="43">
        <v>0.1</v>
      </c>
      <c r="K72" s="43">
        <f>H72*I72-J72</f>
        <v>4254.2999999999993</v>
      </c>
      <c r="L72" s="1">
        <v>42979</v>
      </c>
      <c r="M72" s="43">
        <v>62.4</v>
      </c>
    </row>
    <row r="73" spans="1:31" x14ac:dyDescent="0.25">
      <c r="A73" s="254"/>
      <c r="B73" s="445">
        <v>42836</v>
      </c>
      <c r="C73" s="7">
        <v>40</v>
      </c>
      <c r="D73" s="43">
        <v>53.6</v>
      </c>
      <c r="E73" s="43">
        <v>0</v>
      </c>
      <c r="F73" s="43">
        <f t="shared" si="29"/>
        <v>2144</v>
      </c>
      <c r="G73" s="445">
        <v>43005</v>
      </c>
      <c r="H73" s="80">
        <v>40</v>
      </c>
      <c r="I73" s="43">
        <v>54.42</v>
      </c>
      <c r="J73" s="43">
        <v>0.05</v>
      </c>
      <c r="K73" s="43">
        <f>H73*I73-J73</f>
        <v>2176.75</v>
      </c>
      <c r="L73" s="72"/>
      <c r="M73" s="4"/>
    </row>
    <row r="74" spans="1:31" x14ac:dyDescent="0.25">
      <c r="A74" s="254"/>
      <c r="B74" s="445">
        <v>42886</v>
      </c>
      <c r="C74" s="7">
        <v>80</v>
      </c>
      <c r="D74" s="43">
        <v>50.88</v>
      </c>
      <c r="E74" s="43">
        <v>0</v>
      </c>
      <c r="F74" s="43">
        <f t="shared" si="29"/>
        <v>4070.4</v>
      </c>
      <c r="G74" s="445">
        <v>43006</v>
      </c>
      <c r="H74" s="743">
        <v>40</v>
      </c>
      <c r="I74" s="45">
        <v>54.3</v>
      </c>
      <c r="J74" s="45">
        <v>0.05</v>
      </c>
      <c r="K74" s="43">
        <f>H74*I74-J74</f>
        <v>2171.9499999999998</v>
      </c>
      <c r="L74" s="4"/>
      <c r="M74" s="4"/>
    </row>
    <row r="75" spans="1:31" x14ac:dyDescent="0.25">
      <c r="A75" s="254"/>
      <c r="B75" s="445">
        <v>42944</v>
      </c>
      <c r="C75" s="7">
        <v>40</v>
      </c>
      <c r="D75" s="43">
        <v>53.37</v>
      </c>
      <c r="E75" s="43">
        <v>-0.1</v>
      </c>
      <c r="F75" s="43">
        <f t="shared" si="29"/>
        <v>2134.6999999999998</v>
      </c>
      <c r="G75" s="445">
        <v>43007</v>
      </c>
      <c r="H75" s="80">
        <v>80</v>
      </c>
      <c r="I75" s="43">
        <v>54.85</v>
      </c>
      <c r="J75" s="43">
        <v>0.1</v>
      </c>
      <c r="K75" s="45">
        <f>H75*I75-J75</f>
        <v>4387.8999999999996</v>
      </c>
      <c r="L75" s="4"/>
      <c r="M75" s="4"/>
    </row>
    <row r="76" spans="1:31" x14ac:dyDescent="0.25">
      <c r="A76" s="254"/>
      <c r="B76" s="445">
        <v>42951</v>
      </c>
      <c r="C76" s="7">
        <v>80</v>
      </c>
      <c r="D76" s="43">
        <v>52.61</v>
      </c>
      <c r="E76" s="43">
        <v>0</v>
      </c>
      <c r="F76" s="43">
        <f t="shared" si="29"/>
        <v>4208.8</v>
      </c>
      <c r="G76" s="72"/>
      <c r="H76" s="180"/>
      <c r="I76" s="3"/>
      <c r="J76" s="3"/>
      <c r="K76" s="73"/>
      <c r="L76" s="4"/>
      <c r="M76" s="4"/>
    </row>
    <row r="77" spans="1:31" x14ac:dyDescent="0.25">
      <c r="A77" s="254"/>
      <c r="B77" s="259"/>
      <c r="C77" s="254"/>
      <c r="D77" s="255"/>
      <c r="E77" s="255"/>
      <c r="F77" s="255"/>
      <c r="G77" s="259"/>
      <c r="H77" s="260"/>
      <c r="I77" s="255"/>
      <c r="J77" s="255"/>
      <c r="K77" s="361"/>
      <c r="L77" s="254"/>
      <c r="M77" s="254"/>
    </row>
    <row r="78" spans="1:31" x14ac:dyDescent="0.25">
      <c r="A78" s="254"/>
      <c r="B78" s="259"/>
      <c r="C78" s="254"/>
      <c r="D78" s="255"/>
      <c r="E78" s="255"/>
      <c r="F78" s="255"/>
      <c r="G78" s="259"/>
      <c r="H78" s="260"/>
      <c r="I78" s="255"/>
      <c r="J78" s="255"/>
      <c r="K78" s="361"/>
      <c r="L78" s="254"/>
      <c r="M78" s="254"/>
    </row>
    <row r="79" spans="1:31" x14ac:dyDescent="0.25">
      <c r="A79" s="254"/>
      <c r="B79" s="259"/>
      <c r="C79" s="254"/>
      <c r="D79" s="255"/>
      <c r="E79" s="255"/>
      <c r="F79" s="255"/>
      <c r="G79" s="259"/>
      <c r="H79" s="260"/>
      <c r="I79" s="255"/>
      <c r="J79" s="255"/>
      <c r="K79" s="361"/>
      <c r="L79" s="254"/>
      <c r="M79" s="254"/>
    </row>
    <row r="80" spans="1:31" x14ac:dyDescent="0.25">
      <c r="A80" s="254"/>
      <c r="B80" s="259"/>
      <c r="C80" s="254"/>
      <c r="D80" s="255"/>
      <c r="E80" s="255"/>
      <c r="F80" s="255"/>
      <c r="G80" s="259"/>
      <c r="H80" s="260"/>
      <c r="I80" s="255"/>
      <c r="J80" s="255"/>
      <c r="K80" s="361"/>
      <c r="L80" s="254"/>
      <c r="M80" s="254"/>
    </row>
    <row r="81" spans="1:13" x14ac:dyDescent="0.25">
      <c r="A81" s="254"/>
      <c r="B81" s="259"/>
      <c r="C81" s="254"/>
      <c r="D81" s="255"/>
      <c r="E81" s="255"/>
      <c r="F81" s="255"/>
      <c r="G81" s="259"/>
      <c r="H81" s="260"/>
      <c r="I81" s="255"/>
      <c r="J81" s="255"/>
      <c r="K81" s="361"/>
      <c r="L81" s="254"/>
      <c r="M81" s="254"/>
    </row>
    <row r="82" spans="1:13" x14ac:dyDescent="0.25">
      <c r="A82" s="254"/>
      <c r="B82" s="259"/>
      <c r="C82" s="254"/>
      <c r="D82" s="255"/>
      <c r="E82" s="255"/>
      <c r="F82" s="255"/>
      <c r="G82" s="259"/>
      <c r="H82" s="260"/>
      <c r="I82" s="255"/>
      <c r="J82" s="255"/>
      <c r="K82" s="361"/>
      <c r="L82" s="254"/>
      <c r="M82" s="254"/>
    </row>
    <row r="83" spans="1:13" x14ac:dyDescent="0.25">
      <c r="A83" s="254"/>
      <c r="B83" s="259"/>
      <c r="C83" s="254"/>
      <c r="D83" s="255"/>
      <c r="E83" s="255"/>
      <c r="F83" s="255"/>
      <c r="G83" s="259"/>
      <c r="H83" s="260"/>
      <c r="I83" s="255"/>
      <c r="J83" s="255"/>
      <c r="K83" s="361"/>
      <c r="L83" s="254"/>
      <c r="M83" s="254"/>
    </row>
    <row r="84" spans="1:13" x14ac:dyDescent="0.25">
      <c r="A84" s="254"/>
      <c r="B84" s="259"/>
      <c r="C84" s="254"/>
      <c r="D84" s="255"/>
      <c r="E84" s="255"/>
      <c r="F84" s="255"/>
      <c r="G84" s="259"/>
      <c r="H84" s="260"/>
      <c r="I84" s="255"/>
      <c r="J84" s="255"/>
      <c r="K84" s="361"/>
      <c r="L84" s="254"/>
      <c r="M84" s="254"/>
    </row>
    <row r="85" spans="1:13" x14ac:dyDescent="0.25">
      <c r="A85" s="254"/>
      <c r="B85" s="259"/>
      <c r="C85" s="254"/>
      <c r="D85" s="255"/>
      <c r="E85" s="255"/>
      <c r="F85" s="255"/>
      <c r="G85" s="259"/>
      <c r="H85" s="260"/>
      <c r="I85" s="255"/>
      <c r="J85" s="255"/>
      <c r="K85" s="361"/>
      <c r="L85" s="254"/>
      <c r="M85" s="254"/>
    </row>
    <row r="86" spans="1:13" x14ac:dyDescent="0.25">
      <c r="A86" s="254"/>
      <c r="B86" s="259"/>
      <c r="C86" s="254"/>
      <c r="D86" s="255"/>
      <c r="E86" s="255"/>
      <c r="F86" s="255"/>
      <c r="G86" s="259"/>
      <c r="H86" s="260"/>
      <c r="I86" s="255"/>
      <c r="J86" s="255"/>
      <c r="K86" s="361"/>
      <c r="L86" s="254"/>
      <c r="M86" s="254"/>
    </row>
    <row r="87" spans="1:13" x14ac:dyDescent="0.25">
      <c r="A87" s="254"/>
      <c r="B87" s="259"/>
      <c r="C87" s="254"/>
      <c r="D87" s="255"/>
      <c r="E87" s="255"/>
      <c r="F87" s="255"/>
      <c r="G87" s="259"/>
      <c r="H87" s="260"/>
      <c r="I87" s="255"/>
      <c r="J87" s="255"/>
      <c r="K87" s="361"/>
      <c r="L87" s="254"/>
      <c r="M87" s="254"/>
    </row>
    <row r="88" spans="1:13" x14ac:dyDescent="0.25">
      <c r="A88" s="254"/>
      <c r="B88" s="259"/>
      <c r="C88" s="254"/>
      <c r="D88" s="255"/>
      <c r="E88" s="255"/>
      <c r="F88" s="255"/>
      <c r="G88" s="259"/>
      <c r="H88" s="260"/>
      <c r="I88" s="255"/>
      <c r="J88" s="255"/>
      <c r="K88" s="361"/>
      <c r="L88" s="254"/>
      <c r="M88" s="254"/>
    </row>
    <row r="89" spans="1:13" x14ac:dyDescent="0.25">
      <c r="A89" s="254"/>
      <c r="B89" s="259"/>
      <c r="C89" s="254"/>
      <c r="D89" s="255"/>
      <c r="E89" s="255"/>
      <c r="F89" s="255"/>
      <c r="G89" s="259"/>
      <c r="H89" s="260"/>
      <c r="I89" s="255"/>
      <c r="J89" s="255"/>
      <c r="K89" s="361"/>
      <c r="L89" s="254"/>
      <c r="M89" s="254"/>
    </row>
    <row r="90" spans="1:13" x14ac:dyDescent="0.25">
      <c r="A90" s="254"/>
      <c r="B90" s="254"/>
      <c r="C90" s="254"/>
      <c r="D90" s="255"/>
      <c r="E90" s="255"/>
      <c r="F90" s="255"/>
      <c r="G90" s="254"/>
      <c r="H90" s="260"/>
      <c r="I90" s="255"/>
      <c r="J90" s="255"/>
      <c r="K90" s="255"/>
      <c r="L90" s="254"/>
      <c r="M90" s="254"/>
    </row>
    <row r="91" spans="1:13" x14ac:dyDescent="0.25">
      <c r="A91" s="31" t="s">
        <v>81</v>
      </c>
      <c r="B91" s="14"/>
      <c r="C91" s="14">
        <f>SUM(C52:C90)</f>
        <v>880</v>
      </c>
      <c r="D91" s="18"/>
      <c r="E91" s="18"/>
      <c r="F91" s="18">
        <f>SUM(F52:F90)</f>
        <v>45116.1</v>
      </c>
      <c r="G91" s="14"/>
      <c r="H91" s="71">
        <f>SUM(H53:H90)</f>
        <v>880</v>
      </c>
      <c r="I91" s="18"/>
      <c r="J91" s="18"/>
      <c r="K91" s="18">
        <f>SUM(K53:K90)</f>
        <v>46479.88</v>
      </c>
      <c r="L91" s="18"/>
      <c r="M91" s="18">
        <f>SUM(M52:M90)</f>
        <v>240.79999999999998</v>
      </c>
    </row>
    <row r="92" spans="1:13" ht="15.75" thickBot="1" x14ac:dyDescent="0.3">
      <c r="A92" s="450" t="s">
        <v>194</v>
      </c>
      <c r="B92" s="451"/>
      <c r="C92" s="452">
        <f>SumByColor($A$19,C52:C90)</f>
        <v>480</v>
      </c>
      <c r="D92" s="452"/>
      <c r="E92" s="452"/>
      <c r="F92" s="453">
        <f>SumByColor($A$19,F52:F90)</f>
        <v>25980</v>
      </c>
      <c r="G92" s="452"/>
      <c r="H92" s="452">
        <f>SumByColor($A$19,H52:H90)</f>
        <v>480</v>
      </c>
      <c r="I92" s="452"/>
      <c r="J92" s="452"/>
      <c r="K92" s="453">
        <f>SumByColor($A$19,K52:K90)</f>
        <v>26619</v>
      </c>
      <c r="L92" s="452"/>
      <c r="M92" s="453">
        <f>SumByColor($A$19,M52:M90)</f>
        <v>138</v>
      </c>
    </row>
  </sheetData>
  <mergeCells count="1">
    <mergeCell ref="P39:Q39"/>
  </mergeCells>
  <conditionalFormatting sqref="P40:P60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8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03" priority="55">
      <formula>Q8&gt;0</formula>
    </cfRule>
    <cfRule type="expression" dxfId="602" priority="56">
      <formula>Q8&lt;0</formula>
    </cfRule>
  </conditionalFormatting>
  <conditionalFormatting sqref="Q7">
    <cfRule type="expression" dxfId="601" priority="57">
      <formula>Q7&gt;0</formula>
    </cfRule>
    <cfRule type="expression" dxfId="600" priority="58">
      <formula>Q7&lt;0</formula>
    </cfRule>
  </conditionalFormatting>
  <conditionalFormatting sqref="M50">
    <cfRule type="expression" dxfId="599" priority="45">
      <formula>M50&gt;0</formula>
    </cfRule>
    <cfRule type="expression" dxfId="598" priority="46">
      <formula>M50&lt;0</formula>
    </cfRule>
  </conditionalFormatting>
  <conditionalFormatting sqref="M50">
    <cfRule type="expression" dxfId="597" priority="47">
      <formula>M50&gt;0</formula>
    </cfRule>
    <cfRule type="expression" dxfId="596" priority="48">
      <formula>M50&lt;0</formula>
    </cfRule>
  </conditionalFormatting>
  <conditionalFormatting sqref="F24:F31">
    <cfRule type="expression" dxfId="595" priority="33">
      <formula>F24&gt;0</formula>
    </cfRule>
    <cfRule type="expression" dxfId="594" priority="34">
      <formula>F24&lt;0</formula>
    </cfRule>
  </conditionalFormatting>
  <conditionalFormatting sqref="F24:F31">
    <cfRule type="expression" dxfId="593" priority="35">
      <formula>F24&gt;0</formula>
    </cfRule>
    <cfRule type="expression" dxfId="592" priority="36">
      <formula>F24&lt;0</formula>
    </cfRule>
  </conditionalFormatting>
  <conditionalFormatting sqref="H24:H31">
    <cfRule type="expression" dxfId="591" priority="31">
      <formula>H24&gt;0</formula>
    </cfRule>
    <cfRule type="expression" dxfId="590" priority="32">
      <formula>H24&lt;0</formula>
    </cfRule>
  </conditionalFormatting>
  <conditionalFormatting sqref="J27:J34">
    <cfRule type="expression" dxfId="589" priority="1">
      <formula>J27&gt;0</formula>
    </cfRule>
    <cfRule type="expression" dxfId="588" priority="2">
      <formula>J27&lt;0</formula>
    </cfRule>
  </conditionalFormatting>
  <conditionalFormatting sqref="J27:J34">
    <cfRule type="expression" dxfId="587" priority="3">
      <formula>J27&gt;0</formula>
    </cfRule>
    <cfRule type="expression" dxfId="586" priority="4">
      <formula>J27&lt;0</formula>
    </cfRule>
  </conditionalFormatting>
  <hyperlinks>
    <hyperlink ref="A3" location="ACTIVE!A1" display="Back"/>
    <hyperlink ref="A5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Q2" sqref="Q2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80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234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51"/>
      <c r="C3" s="270"/>
      <c r="D3" s="271"/>
      <c r="E3" s="271"/>
      <c r="F3" s="73"/>
      <c r="G3" s="1"/>
      <c r="H3" s="180"/>
      <c r="I3" s="3"/>
      <c r="J3" s="3"/>
      <c r="K3" s="3"/>
      <c r="L3" s="251"/>
      <c r="M3" s="3"/>
      <c r="O3" s="11" t="s">
        <v>58</v>
      </c>
      <c r="Q3" s="225">
        <f>IF(Q2=0, Q4, (F18-K18-M18)/Q2)</f>
        <v>45.92</v>
      </c>
      <c r="T3" s="118">
        <v>42568</v>
      </c>
      <c r="U3" t="s">
        <v>239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9"/>
    </row>
    <row r="4" spans="1:40" x14ac:dyDescent="0.25">
      <c r="B4" s="251"/>
      <c r="C4" s="270"/>
      <c r="D4" s="271"/>
      <c r="E4" s="271"/>
      <c r="F4" s="73"/>
      <c r="G4" s="251"/>
      <c r="H4" s="272"/>
      <c r="I4" s="271"/>
      <c r="J4" s="271"/>
      <c r="K4" s="271"/>
      <c r="L4" s="270"/>
      <c r="O4" s="11" t="s">
        <v>66</v>
      </c>
      <c r="Q4" s="196">
        <v>45.92</v>
      </c>
      <c r="R4" s="487">
        <v>-1.2999999999999999E-3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9"/>
      <c r="AN4" s="229"/>
    </row>
    <row r="5" spans="1:40" x14ac:dyDescent="0.25">
      <c r="B5" s="251"/>
      <c r="C5" s="270"/>
      <c r="D5" s="271"/>
      <c r="E5" s="271"/>
      <c r="F5" s="271"/>
      <c r="G5" s="251"/>
      <c r="H5" s="272"/>
      <c r="I5" s="271"/>
      <c r="J5" s="271"/>
      <c r="K5" s="271"/>
      <c r="L5" s="270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9"/>
      <c r="AN5" s="229"/>
    </row>
    <row r="6" spans="1:40" x14ac:dyDescent="0.25">
      <c r="B6" s="251"/>
      <c r="C6" s="270"/>
      <c r="D6" s="271"/>
      <c r="E6" s="271"/>
      <c r="F6" s="271"/>
      <c r="G6" s="251"/>
      <c r="H6" s="272"/>
      <c r="I6" s="271"/>
      <c r="J6" s="271"/>
      <c r="K6" s="271"/>
      <c r="L6" s="270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51"/>
      <c r="C7" s="270"/>
      <c r="D7" s="271"/>
      <c r="E7" s="271"/>
      <c r="F7" s="271"/>
      <c r="G7" s="251"/>
      <c r="H7" s="272"/>
      <c r="I7" s="271"/>
      <c r="J7" s="271"/>
      <c r="K7" s="271"/>
      <c r="L7" s="270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9"/>
      <c r="AN7" s="229"/>
    </row>
    <row r="8" spans="1:40" x14ac:dyDescent="0.25">
      <c r="B8" s="251"/>
      <c r="C8" s="270"/>
      <c r="D8" s="271"/>
      <c r="E8" s="271"/>
      <c r="F8" s="271"/>
      <c r="G8" s="251"/>
      <c r="H8" s="272"/>
      <c r="I8" s="271"/>
      <c r="J8" s="271"/>
      <c r="K8" s="271"/>
      <c r="L8" s="270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210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9"/>
      <c r="AN9" s="229"/>
    </row>
    <row r="10" spans="1:40" x14ac:dyDescent="0.25">
      <c r="O10" s="11" t="s">
        <v>209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9"/>
      <c r="AN11" s="229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9"/>
      <c r="AN13" s="229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9"/>
      <c r="AN15" s="229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9"/>
      <c r="AN17" s="229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9"/>
      <c r="AN19" s="229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9"/>
      <c r="AN21" s="229"/>
    </row>
    <row r="22" spans="1:40" x14ac:dyDescent="0.25">
      <c r="B22" s="188"/>
      <c r="C22" s="10"/>
      <c r="D22" s="39"/>
      <c r="E22" s="39"/>
      <c r="F22" s="39"/>
      <c r="G22" s="39"/>
      <c r="H22" s="226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8"/>
      <c r="C23" s="10"/>
      <c r="D23" s="39"/>
      <c r="E23" s="39"/>
      <c r="F23" s="39"/>
      <c r="G23" s="39"/>
      <c r="H23" s="226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9"/>
    </row>
    <row r="24" spans="1:40" x14ac:dyDescent="0.25">
      <c r="B24" s="188"/>
      <c r="C24" s="10"/>
      <c r="D24" s="39"/>
      <c r="E24" s="39"/>
      <c r="F24" s="39"/>
      <c r="G24" s="39"/>
      <c r="H24" s="226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8"/>
      <c r="C25" s="10"/>
      <c r="D25" s="39"/>
      <c r="E25" s="39"/>
      <c r="F25" s="39"/>
      <c r="G25" s="39"/>
      <c r="H25" s="226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8"/>
      <c r="C26" s="10"/>
      <c r="D26" s="39"/>
      <c r="E26" s="39"/>
      <c r="F26" s="39"/>
      <c r="G26" s="39"/>
      <c r="H26" s="226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8"/>
      <c r="C27" s="10"/>
      <c r="D27" s="39"/>
      <c r="E27" s="39"/>
      <c r="F27" s="39"/>
      <c r="G27" s="39"/>
      <c r="H27" s="226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8"/>
      <c r="C28" s="10"/>
      <c r="D28" s="39"/>
      <c r="E28" s="39"/>
      <c r="F28" s="39"/>
      <c r="G28" s="39"/>
      <c r="H28" s="226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8"/>
      <c r="C29" s="10"/>
      <c r="D29" s="39"/>
      <c r="E29" s="39"/>
      <c r="F29" s="39"/>
      <c r="G29" s="39"/>
      <c r="H29" s="226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8"/>
      <c r="C30" s="10"/>
      <c r="D30" s="39"/>
      <c r="E30" s="39"/>
      <c r="F30" s="39"/>
      <c r="G30" s="39"/>
      <c r="H30" s="226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8"/>
      <c r="C31" s="10"/>
      <c r="D31" s="39"/>
      <c r="E31" s="39"/>
      <c r="F31" s="39"/>
      <c r="G31" s="39"/>
      <c r="H31" s="226"/>
      <c r="I31" s="231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8"/>
      <c r="C32" s="10"/>
      <c r="D32" s="39"/>
      <c r="E32" s="39"/>
      <c r="F32" s="39"/>
      <c r="G32" s="39"/>
      <c r="H32" s="226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8"/>
      <c r="C33" s="10"/>
      <c r="D33" s="39"/>
      <c r="E33" s="39"/>
      <c r="F33" s="39"/>
      <c r="G33" s="39"/>
      <c r="H33" s="226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8"/>
      <c r="C34" s="10"/>
      <c r="D34" s="39"/>
      <c r="E34" s="39"/>
      <c r="F34" s="39"/>
      <c r="G34" s="39"/>
      <c r="H34" s="226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8"/>
      <c r="C35" s="10"/>
      <c r="D35" s="39"/>
      <c r="E35" s="39"/>
      <c r="F35" s="39"/>
      <c r="G35" s="39"/>
      <c r="H35" s="226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8"/>
      <c r="C36" s="10"/>
      <c r="D36" s="39"/>
      <c r="E36" s="39"/>
      <c r="F36" s="39"/>
      <c r="G36" s="39"/>
      <c r="H36" s="226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8"/>
      <c r="C37" s="10"/>
      <c r="D37" s="39"/>
      <c r="E37" s="39"/>
      <c r="F37" s="39"/>
      <c r="G37" s="39"/>
      <c r="H37" s="226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8"/>
      <c r="C38" s="10"/>
      <c r="D38" s="39"/>
      <c r="E38" s="39"/>
      <c r="F38" s="39"/>
      <c r="G38" s="39"/>
      <c r="H38" s="226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8"/>
      <c r="C39" s="10"/>
      <c r="D39" s="39"/>
      <c r="E39" s="39"/>
      <c r="F39" s="39"/>
      <c r="G39" s="39"/>
      <c r="H39" s="226"/>
      <c r="I39" s="39"/>
      <c r="O39" s="11"/>
      <c r="P39" s="804" t="s">
        <v>78</v>
      </c>
      <c r="Q39" s="80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51"/>
      <c r="C40" s="272"/>
      <c r="D40" s="271"/>
      <c r="E40" s="271"/>
      <c r="F40" s="271"/>
      <c r="G40" s="251"/>
      <c r="H40" s="272"/>
      <c r="I40" s="271"/>
      <c r="J40" s="271"/>
      <c r="K40" s="271"/>
      <c r="L40" s="270"/>
      <c r="O40" s="2"/>
      <c r="P40" s="81">
        <v>1.1000000000000001</v>
      </c>
      <c r="Q40" s="81">
        <f>P40*$Q$4</f>
        <v>50.512000000000008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73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50.052800000000005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4"/>
      <c r="B42" s="254"/>
      <c r="C42" s="254"/>
      <c r="D42" s="255"/>
      <c r="E42" s="255"/>
      <c r="F42" s="255"/>
      <c r="G42" s="254"/>
      <c r="H42" s="254"/>
      <c r="I42" s="255"/>
      <c r="J42" s="255"/>
      <c r="K42" s="256" t="s">
        <v>130</v>
      </c>
      <c r="L42" s="254"/>
      <c r="M42" s="255">
        <f>K85+M85-F85</f>
        <v>1128.3800000000047</v>
      </c>
      <c r="N42" s="254"/>
      <c r="O42" s="2"/>
      <c r="P42" s="81">
        <v>1.08</v>
      </c>
      <c r="Q42" s="81">
        <f t="shared" si="2"/>
        <v>49.593600000000002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6" t="s">
        <v>1</v>
      </c>
      <c r="B43" s="256" t="s">
        <v>2</v>
      </c>
      <c r="C43" s="256" t="s">
        <v>4</v>
      </c>
      <c r="D43" s="257" t="s">
        <v>5</v>
      </c>
      <c r="E43" s="257" t="s">
        <v>90</v>
      </c>
      <c r="F43" s="257" t="s">
        <v>60</v>
      </c>
      <c r="G43" s="256" t="s">
        <v>3</v>
      </c>
      <c r="H43" s="256" t="s">
        <v>6</v>
      </c>
      <c r="I43" s="257" t="s">
        <v>7</v>
      </c>
      <c r="J43" s="257" t="s">
        <v>89</v>
      </c>
      <c r="K43" s="257" t="s">
        <v>61</v>
      </c>
      <c r="L43" s="256" t="s">
        <v>77</v>
      </c>
      <c r="M43" s="256" t="s">
        <v>38</v>
      </c>
      <c r="N43" s="256"/>
      <c r="O43" s="2"/>
      <c r="P43" s="81">
        <v>1.07</v>
      </c>
      <c r="Q43" s="81">
        <f t="shared" si="2"/>
        <v>49.134400000000007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8" t="s">
        <v>10</v>
      </c>
      <c r="B44" s="259">
        <v>42146</v>
      </c>
      <c r="C44" s="254">
        <v>100</v>
      </c>
      <c r="D44" s="255">
        <v>13.1</v>
      </c>
      <c r="E44" s="255">
        <v>0</v>
      </c>
      <c r="F44" s="255">
        <f>C44*D44+E44</f>
        <v>1310</v>
      </c>
      <c r="G44" s="259">
        <v>42199</v>
      </c>
      <c r="H44" s="254">
        <v>52</v>
      </c>
      <c r="I44" s="255">
        <v>10.7</v>
      </c>
      <c r="J44" s="255">
        <v>0.01</v>
      </c>
      <c r="K44" s="255">
        <f t="shared" ref="K44:K67" si="3">H44*I44-J44</f>
        <v>556.39</v>
      </c>
      <c r="L44" s="259">
        <v>42241</v>
      </c>
      <c r="M44" s="255">
        <v>12</v>
      </c>
      <c r="N44" s="254"/>
      <c r="O44" s="2"/>
      <c r="P44" s="81">
        <v>1.06</v>
      </c>
      <c r="Q44" s="81">
        <f t="shared" si="2"/>
        <v>48.675200000000004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61" t="s">
        <v>71</v>
      </c>
      <c r="B45" s="259">
        <v>42151</v>
      </c>
      <c r="C45" s="254">
        <v>102</v>
      </c>
      <c r="D45" s="255">
        <v>12.99</v>
      </c>
      <c r="E45" s="255">
        <v>0</v>
      </c>
      <c r="F45" s="255">
        <f t="shared" ref="F45:F79" si="4">C45*D45+E45</f>
        <v>1324.98</v>
      </c>
      <c r="G45" s="259">
        <v>42235</v>
      </c>
      <c r="H45" s="254">
        <v>150</v>
      </c>
      <c r="I45" s="255">
        <v>9.41</v>
      </c>
      <c r="J45" s="255">
        <v>0.03</v>
      </c>
      <c r="K45" s="255">
        <f t="shared" si="3"/>
        <v>1411.47</v>
      </c>
      <c r="L45" s="259">
        <v>42333</v>
      </c>
      <c r="M45" s="255">
        <v>111</v>
      </c>
      <c r="N45" s="254"/>
      <c r="O45" s="2"/>
      <c r="P45" s="81">
        <v>1.05</v>
      </c>
      <c r="Q45" s="81">
        <f t="shared" si="2"/>
        <v>48.216000000000001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4"/>
      <c r="B46" s="259">
        <v>42152</v>
      </c>
      <c r="C46" s="254">
        <v>50</v>
      </c>
      <c r="D46" s="255">
        <v>12.94</v>
      </c>
      <c r="E46" s="255">
        <v>0</v>
      </c>
      <c r="F46" s="255">
        <f t="shared" si="4"/>
        <v>647</v>
      </c>
      <c r="G46" s="259">
        <v>42256</v>
      </c>
      <c r="H46" s="260">
        <v>300</v>
      </c>
      <c r="I46" s="255">
        <v>9.6999999999999993</v>
      </c>
      <c r="J46" s="255">
        <v>0.05</v>
      </c>
      <c r="K46" s="255">
        <f t="shared" si="3"/>
        <v>2909.95</v>
      </c>
      <c r="L46" s="259">
        <v>42425</v>
      </c>
      <c r="M46" s="255">
        <v>15</v>
      </c>
      <c r="N46" s="254"/>
      <c r="O46" s="2"/>
      <c r="P46" s="81">
        <v>1.04</v>
      </c>
      <c r="Q46" s="81">
        <f t="shared" si="2"/>
        <v>47.756800000000005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4"/>
      <c r="B47" s="259">
        <v>42166</v>
      </c>
      <c r="C47" s="254">
        <v>48</v>
      </c>
      <c r="D47" s="255">
        <v>12.3</v>
      </c>
      <c r="E47" s="255">
        <v>0</v>
      </c>
      <c r="F47" s="255">
        <f t="shared" si="4"/>
        <v>590.40000000000009</v>
      </c>
      <c r="G47" s="259">
        <v>42285</v>
      </c>
      <c r="H47" s="260">
        <v>300</v>
      </c>
      <c r="I47" s="255">
        <v>9.85</v>
      </c>
      <c r="J47" s="255">
        <v>0.05</v>
      </c>
      <c r="K47" s="255">
        <f t="shared" si="3"/>
        <v>2954.95</v>
      </c>
      <c r="L47" s="254"/>
      <c r="M47" s="255"/>
      <c r="N47" s="254"/>
      <c r="O47" s="2"/>
      <c r="P47" s="81">
        <v>1.03</v>
      </c>
      <c r="Q47" s="81">
        <f t="shared" si="2"/>
        <v>47.297600000000003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4"/>
      <c r="B48" s="259">
        <v>42180</v>
      </c>
      <c r="C48" s="254">
        <v>50</v>
      </c>
      <c r="D48" s="255">
        <v>11.7</v>
      </c>
      <c r="E48" s="255">
        <v>0</v>
      </c>
      <c r="F48" s="255">
        <f t="shared" si="4"/>
        <v>585</v>
      </c>
      <c r="G48" s="259">
        <v>42285</v>
      </c>
      <c r="H48" s="260">
        <v>100</v>
      </c>
      <c r="I48" s="255">
        <v>9.98</v>
      </c>
      <c r="J48" s="255">
        <v>0.02</v>
      </c>
      <c r="K48" s="255">
        <f t="shared" si="3"/>
        <v>997.98</v>
      </c>
      <c r="L48" s="254"/>
      <c r="M48" s="255"/>
      <c r="N48" s="254"/>
      <c r="O48" s="2"/>
      <c r="P48" s="81">
        <v>1.02</v>
      </c>
      <c r="Q48" s="81">
        <f t="shared" si="2"/>
        <v>46.8384</v>
      </c>
      <c r="R48" s="81"/>
      <c r="T48" s="85" t="s">
        <v>104</v>
      </c>
      <c r="U48" s="86" t="s">
        <v>663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4"/>
      <c r="B49" s="259">
        <v>42198</v>
      </c>
      <c r="C49" s="254">
        <v>50</v>
      </c>
      <c r="D49" s="255">
        <v>10.5</v>
      </c>
      <c r="E49" s="255">
        <v>0</v>
      </c>
      <c r="F49" s="255">
        <f t="shared" si="4"/>
        <v>525</v>
      </c>
      <c r="G49" s="259">
        <v>42304</v>
      </c>
      <c r="H49" s="260">
        <v>1400</v>
      </c>
      <c r="I49" s="255">
        <v>9.4600000000000009</v>
      </c>
      <c r="J49" s="255">
        <v>0.24</v>
      </c>
      <c r="K49" s="255">
        <f t="shared" si="3"/>
        <v>13243.760000000002</v>
      </c>
      <c r="L49" s="254"/>
      <c r="M49" s="255"/>
      <c r="N49" s="254"/>
      <c r="O49" s="2"/>
      <c r="P49" s="81">
        <v>1.01</v>
      </c>
      <c r="Q49" s="81">
        <f t="shared" si="2"/>
        <v>46.379200000000004</v>
      </c>
      <c r="R49" s="81"/>
      <c r="T49" s="85" t="s">
        <v>105</v>
      </c>
      <c r="U49" s="86" t="s">
        <v>438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4"/>
      <c r="B50" s="259">
        <v>42205</v>
      </c>
      <c r="C50" s="254">
        <v>20</v>
      </c>
      <c r="D50" s="255">
        <v>10.56</v>
      </c>
      <c r="E50" s="255">
        <v>0</v>
      </c>
      <c r="F50" s="255">
        <f t="shared" si="4"/>
        <v>211.20000000000002</v>
      </c>
      <c r="G50" s="259">
        <v>42310</v>
      </c>
      <c r="H50" s="260">
        <v>3400</v>
      </c>
      <c r="I50" s="255">
        <v>9.1199999999999992</v>
      </c>
      <c r="J50" s="255">
        <v>7.52</v>
      </c>
      <c r="K50" s="255">
        <f t="shared" si="3"/>
        <v>31000.479999999996</v>
      </c>
      <c r="L50" s="254"/>
      <c r="M50" s="255"/>
      <c r="N50" s="254"/>
      <c r="O50" s="2"/>
      <c r="P50" s="81">
        <v>1</v>
      </c>
      <c r="Q50" s="81">
        <f t="shared" si="2"/>
        <v>45.92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4"/>
      <c r="B51" s="259">
        <v>42208</v>
      </c>
      <c r="C51" s="254">
        <v>32</v>
      </c>
      <c r="D51" s="255">
        <v>10.220000000000001</v>
      </c>
      <c r="E51" s="255">
        <v>0</v>
      </c>
      <c r="F51" s="255">
        <f t="shared" si="4"/>
        <v>327.04000000000002</v>
      </c>
      <c r="G51" s="259">
        <v>42314</v>
      </c>
      <c r="H51" s="260">
        <v>1400</v>
      </c>
      <c r="I51" s="255">
        <v>9.42</v>
      </c>
      <c r="J51" s="255">
        <v>0.24</v>
      </c>
      <c r="K51" s="255">
        <f t="shared" si="3"/>
        <v>13187.76</v>
      </c>
      <c r="L51" s="254"/>
      <c r="M51" s="255"/>
      <c r="N51" s="254"/>
      <c r="O51" s="2"/>
      <c r="P51" s="81">
        <v>0.99</v>
      </c>
      <c r="Q51" s="81">
        <f t="shared" si="2"/>
        <v>45.460799999999999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4"/>
      <c r="B52" s="259">
        <v>42230</v>
      </c>
      <c r="C52" s="254">
        <v>100</v>
      </c>
      <c r="D52" s="255">
        <v>9.58</v>
      </c>
      <c r="E52" s="255">
        <v>0</v>
      </c>
      <c r="F52" s="255">
        <f t="shared" si="4"/>
        <v>958</v>
      </c>
      <c r="G52" s="259">
        <v>42331</v>
      </c>
      <c r="H52" s="260">
        <v>1400</v>
      </c>
      <c r="I52" s="255">
        <v>8.41</v>
      </c>
      <c r="J52" s="255">
        <v>0.22</v>
      </c>
      <c r="K52" s="255">
        <f t="shared" si="3"/>
        <v>11773.78</v>
      </c>
      <c r="L52" s="255"/>
      <c r="M52" s="255"/>
      <c r="N52" s="254"/>
      <c r="O52" s="2"/>
      <c r="P52" s="81">
        <v>0.98</v>
      </c>
      <c r="Q52" s="81">
        <f t="shared" si="2"/>
        <v>45.001600000000003</v>
      </c>
      <c r="R52" s="81"/>
      <c r="T52" s="85" t="s">
        <v>107</v>
      </c>
      <c r="U52" s="86" t="s">
        <v>664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4"/>
      <c r="B53" s="259">
        <v>42233</v>
      </c>
      <c r="C53" s="254">
        <v>150</v>
      </c>
      <c r="D53" s="255">
        <v>9.3000000000000007</v>
      </c>
      <c r="E53" s="255">
        <v>0</v>
      </c>
      <c r="F53" s="255">
        <f t="shared" si="4"/>
        <v>1395</v>
      </c>
      <c r="G53" s="259">
        <v>42331</v>
      </c>
      <c r="H53" s="260">
        <v>65</v>
      </c>
      <c r="I53" s="255">
        <v>8.41</v>
      </c>
      <c r="J53" s="255">
        <v>0.01</v>
      </c>
      <c r="K53" s="255">
        <f t="shared" si="3"/>
        <v>546.64</v>
      </c>
      <c r="L53" s="254"/>
      <c r="M53" s="254"/>
      <c r="N53" s="254"/>
      <c r="O53" s="2"/>
      <c r="P53" s="81">
        <v>0.97</v>
      </c>
      <c r="Q53" s="81">
        <f t="shared" si="2"/>
        <v>44.542400000000001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4"/>
      <c r="B54" s="259">
        <v>42240</v>
      </c>
      <c r="C54" s="254">
        <v>200</v>
      </c>
      <c r="D54" s="255">
        <v>9.2100000000000009</v>
      </c>
      <c r="E54" s="255">
        <v>0</v>
      </c>
      <c r="F54" s="255">
        <f t="shared" si="4"/>
        <v>1842.0000000000002</v>
      </c>
      <c r="G54" s="259">
        <v>42332</v>
      </c>
      <c r="H54" s="260">
        <v>2235</v>
      </c>
      <c r="I54" s="255">
        <v>8.5</v>
      </c>
      <c r="J54" s="255">
        <v>0.35</v>
      </c>
      <c r="K54" s="255">
        <f t="shared" si="3"/>
        <v>18997.150000000001</v>
      </c>
      <c r="L54" s="254"/>
      <c r="M54" s="254"/>
      <c r="N54" s="254"/>
      <c r="O54" s="2"/>
      <c r="P54" s="81">
        <v>0.96</v>
      </c>
      <c r="Q54" s="81">
        <f t="shared" si="2"/>
        <v>44.083199999999998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4"/>
      <c r="B55" s="259">
        <v>42272</v>
      </c>
      <c r="C55" s="254">
        <v>100</v>
      </c>
      <c r="D55" s="255">
        <v>9.4499999999999993</v>
      </c>
      <c r="E55" s="255">
        <v>0</v>
      </c>
      <c r="F55" s="255">
        <f t="shared" si="4"/>
        <v>944.99999999999989</v>
      </c>
      <c r="G55" s="259">
        <v>42332</v>
      </c>
      <c r="H55" s="260">
        <v>600</v>
      </c>
      <c r="I55" s="255">
        <v>8.75</v>
      </c>
      <c r="J55" s="255">
        <v>0.1</v>
      </c>
      <c r="K55" s="255">
        <f t="shared" si="3"/>
        <v>5249.9</v>
      </c>
      <c r="L55" s="254"/>
      <c r="M55" s="254"/>
      <c r="N55" s="254"/>
      <c r="O55" s="2"/>
      <c r="P55" s="81">
        <v>0.95</v>
      </c>
      <c r="Q55" s="81">
        <f t="shared" si="2"/>
        <v>43.624000000000002</v>
      </c>
      <c r="R55" s="81"/>
      <c r="T55" s="85" t="s">
        <v>108</v>
      </c>
      <c r="U55" s="86" t="s">
        <v>526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4"/>
      <c r="B56" s="259">
        <v>42275</v>
      </c>
      <c r="C56" s="254">
        <v>100</v>
      </c>
      <c r="D56" s="255">
        <v>9.3000000000000007</v>
      </c>
      <c r="E56" s="255">
        <v>0</v>
      </c>
      <c r="F56" s="255">
        <f t="shared" si="4"/>
        <v>930.00000000000011</v>
      </c>
      <c r="G56" s="259">
        <v>42335</v>
      </c>
      <c r="H56" s="260">
        <v>500</v>
      </c>
      <c r="I56" s="255">
        <v>9.1</v>
      </c>
      <c r="J56" s="255">
        <v>0.08</v>
      </c>
      <c r="K56" s="255">
        <f t="shared" si="3"/>
        <v>4549.92</v>
      </c>
      <c r="L56" s="254"/>
      <c r="M56" s="254"/>
      <c r="N56" s="254"/>
      <c r="O56" s="2"/>
      <c r="P56" s="81">
        <v>0.94</v>
      </c>
      <c r="Q56" s="81">
        <f t="shared" si="2"/>
        <v>43.1648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4"/>
      <c r="B57" s="259">
        <v>42290</v>
      </c>
      <c r="C57" s="254">
        <v>400</v>
      </c>
      <c r="D57" s="255">
        <v>10.79</v>
      </c>
      <c r="E57" s="255">
        <v>0</v>
      </c>
      <c r="F57" s="255">
        <f t="shared" si="4"/>
        <v>4316</v>
      </c>
      <c r="G57" s="259">
        <v>42339</v>
      </c>
      <c r="H57" s="260">
        <v>400</v>
      </c>
      <c r="I57" s="255">
        <v>9.35</v>
      </c>
      <c r="J57" s="255">
        <v>7.0000000000000007E-2</v>
      </c>
      <c r="K57" s="255">
        <f t="shared" si="3"/>
        <v>3739.93</v>
      </c>
      <c r="L57" s="254"/>
      <c r="M57" s="254"/>
      <c r="N57" s="254"/>
      <c r="O57" s="2"/>
      <c r="P57" s="81">
        <v>0.93</v>
      </c>
      <c r="Q57" s="81">
        <f t="shared" si="2"/>
        <v>42.705600000000004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4"/>
      <c r="B58" s="259">
        <v>42291</v>
      </c>
      <c r="C58" s="254">
        <v>150</v>
      </c>
      <c r="D58" s="255">
        <v>10.46</v>
      </c>
      <c r="E58" s="255">
        <v>0</v>
      </c>
      <c r="F58" s="255">
        <f t="shared" si="4"/>
        <v>1569.0000000000002</v>
      </c>
      <c r="G58" s="259">
        <v>42342</v>
      </c>
      <c r="H58" s="260">
        <v>500</v>
      </c>
      <c r="I58" s="255">
        <v>9.52</v>
      </c>
      <c r="J58" s="255">
        <v>0.09</v>
      </c>
      <c r="K58" s="255">
        <f t="shared" si="3"/>
        <v>4759.91</v>
      </c>
      <c r="L58" s="254"/>
      <c r="M58" s="254"/>
      <c r="N58" s="254"/>
      <c r="O58" s="2"/>
      <c r="P58" s="81">
        <v>0.92</v>
      </c>
      <c r="Q58" s="81">
        <f t="shared" si="2"/>
        <v>42.246400000000001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4"/>
      <c r="B59" s="259">
        <v>42292</v>
      </c>
      <c r="C59" s="254">
        <v>150</v>
      </c>
      <c r="D59" s="255">
        <v>10.3</v>
      </c>
      <c r="E59" s="255">
        <v>0</v>
      </c>
      <c r="F59" s="255">
        <f t="shared" si="4"/>
        <v>1545</v>
      </c>
      <c r="G59" s="259">
        <v>42347</v>
      </c>
      <c r="H59" s="260">
        <v>1500</v>
      </c>
      <c r="I59" s="255">
        <v>9.31</v>
      </c>
      <c r="J59" s="255">
        <v>0.26</v>
      </c>
      <c r="K59" s="255">
        <f t="shared" si="3"/>
        <v>13964.74</v>
      </c>
      <c r="L59" s="254"/>
      <c r="M59" s="254"/>
      <c r="N59" s="254"/>
      <c r="O59" s="2"/>
      <c r="P59" s="81">
        <v>0.91</v>
      </c>
      <c r="Q59" s="81">
        <f t="shared" si="2"/>
        <v>41.787200000000006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4"/>
      <c r="B60" s="259">
        <v>42297</v>
      </c>
      <c r="C60" s="260">
        <v>200</v>
      </c>
      <c r="D60" s="255">
        <v>9.8000000000000007</v>
      </c>
      <c r="E60" s="255">
        <v>0</v>
      </c>
      <c r="F60" s="255">
        <f t="shared" si="4"/>
        <v>1960.0000000000002</v>
      </c>
      <c r="G60" s="259">
        <v>42353</v>
      </c>
      <c r="H60" s="260">
        <v>200</v>
      </c>
      <c r="I60" s="255">
        <v>9.2899999999999991</v>
      </c>
      <c r="J60" s="255">
        <v>0.03</v>
      </c>
      <c r="K60" s="255">
        <f t="shared" si="3"/>
        <v>1857.9699999999998</v>
      </c>
      <c r="L60" s="254"/>
      <c r="M60" s="254"/>
      <c r="N60" s="254"/>
      <c r="O60" s="2"/>
      <c r="P60" s="81">
        <v>0.9</v>
      </c>
      <c r="Q60" s="81">
        <f t="shared" si="2"/>
        <v>41.328000000000003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4"/>
      <c r="B61" s="259">
        <v>42297</v>
      </c>
      <c r="C61" s="260">
        <v>900</v>
      </c>
      <c r="D61" s="255">
        <v>9.74</v>
      </c>
      <c r="E61" s="255">
        <v>0</v>
      </c>
      <c r="F61" s="255">
        <f t="shared" si="4"/>
        <v>8766</v>
      </c>
      <c r="G61" s="259">
        <v>42354</v>
      </c>
      <c r="H61" s="260">
        <v>500</v>
      </c>
      <c r="I61" s="255">
        <v>8.93</v>
      </c>
      <c r="J61" s="255">
        <v>0.08</v>
      </c>
      <c r="K61" s="255">
        <f t="shared" si="3"/>
        <v>4464.92</v>
      </c>
      <c r="L61" s="254"/>
      <c r="M61" s="254"/>
      <c r="N61" s="254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4"/>
      <c r="B62" s="259">
        <v>42299</v>
      </c>
      <c r="C62" s="254">
        <v>1000</v>
      </c>
      <c r="D62" s="255">
        <v>9.3800000000000008</v>
      </c>
      <c r="E62" s="255">
        <v>0</v>
      </c>
      <c r="F62" s="255">
        <f t="shared" si="4"/>
        <v>9380</v>
      </c>
      <c r="G62" s="259">
        <v>42366</v>
      </c>
      <c r="H62" s="260">
        <v>2000</v>
      </c>
      <c r="I62" s="255">
        <v>9.4499999999999993</v>
      </c>
      <c r="J62" s="255">
        <v>0.35</v>
      </c>
      <c r="K62" s="255">
        <f t="shared" si="3"/>
        <v>18899.650000000001</v>
      </c>
      <c r="L62" s="254"/>
      <c r="M62" s="254"/>
      <c r="N62" s="254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4"/>
      <c r="B63" s="259">
        <v>42303</v>
      </c>
      <c r="C63" s="254">
        <v>400</v>
      </c>
      <c r="D63" s="255">
        <v>9.1999999999999993</v>
      </c>
      <c r="E63" s="255">
        <v>0</v>
      </c>
      <c r="F63" s="255">
        <f t="shared" si="4"/>
        <v>3679.9999999999995</v>
      </c>
      <c r="G63" s="259">
        <v>42367</v>
      </c>
      <c r="H63" s="260">
        <v>1000</v>
      </c>
      <c r="I63" s="255">
        <v>9.89</v>
      </c>
      <c r="J63" s="255">
        <v>0.18</v>
      </c>
      <c r="K63" s="255">
        <f t="shared" si="3"/>
        <v>9889.82</v>
      </c>
      <c r="L63" s="254"/>
      <c r="M63" s="254"/>
      <c r="N63" s="254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4"/>
      <c r="B64" s="274">
        <v>42304</v>
      </c>
      <c r="C64" s="254">
        <v>900</v>
      </c>
      <c r="D64" s="255">
        <v>9.32</v>
      </c>
      <c r="E64" s="255">
        <v>0</v>
      </c>
      <c r="F64" s="255">
        <f t="shared" si="4"/>
        <v>8388</v>
      </c>
      <c r="G64" s="259">
        <v>42398</v>
      </c>
      <c r="H64" s="260">
        <v>100</v>
      </c>
      <c r="I64" s="255">
        <v>7.21</v>
      </c>
      <c r="J64" s="255">
        <v>0.01</v>
      </c>
      <c r="K64" s="255">
        <f t="shared" si="3"/>
        <v>720.99</v>
      </c>
      <c r="L64" s="254"/>
      <c r="M64" s="254"/>
      <c r="N64" s="254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4"/>
      <c r="B65" s="274"/>
      <c r="C65" s="254">
        <v>500</v>
      </c>
      <c r="D65" s="255">
        <v>9.32</v>
      </c>
      <c r="E65" s="255">
        <v>0</v>
      </c>
      <c r="F65" s="255">
        <f t="shared" si="4"/>
        <v>4660</v>
      </c>
      <c r="G65" s="259">
        <v>42403</v>
      </c>
      <c r="H65" s="260">
        <v>100</v>
      </c>
      <c r="I65" s="255">
        <v>7.42</v>
      </c>
      <c r="J65" s="255">
        <v>0.01</v>
      </c>
      <c r="K65" s="255">
        <f t="shared" si="3"/>
        <v>741.99</v>
      </c>
      <c r="L65" s="255"/>
      <c r="M65" s="254"/>
      <c r="N65" s="254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4"/>
      <c r="B66" s="259">
        <v>42306</v>
      </c>
      <c r="C66" s="254">
        <v>300</v>
      </c>
      <c r="D66" s="255">
        <v>8.7200000000000006</v>
      </c>
      <c r="E66" s="255">
        <v>6.95</v>
      </c>
      <c r="F66" s="255">
        <f t="shared" si="4"/>
        <v>2622.95</v>
      </c>
      <c r="G66" s="259">
        <v>42404</v>
      </c>
      <c r="H66" s="260">
        <v>100</v>
      </c>
      <c r="I66" s="255">
        <v>8.02</v>
      </c>
      <c r="J66" s="255">
        <v>0.01</v>
      </c>
      <c r="K66" s="255">
        <f t="shared" si="3"/>
        <v>801.99</v>
      </c>
      <c r="L66" s="254"/>
      <c r="M66" s="254"/>
      <c r="N66" s="254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4"/>
      <c r="B67" s="259">
        <v>42310</v>
      </c>
      <c r="C67" s="254">
        <v>3400</v>
      </c>
      <c r="D67" s="255">
        <v>9.0299999999999994</v>
      </c>
      <c r="E67" s="255">
        <v>6.95</v>
      </c>
      <c r="F67" s="255">
        <f t="shared" si="4"/>
        <v>30708.949999999997</v>
      </c>
      <c r="G67" s="259">
        <v>42416</v>
      </c>
      <c r="H67" s="260">
        <v>300</v>
      </c>
      <c r="I67" s="255">
        <v>7.98</v>
      </c>
      <c r="J67" s="255">
        <v>0.05</v>
      </c>
      <c r="K67" s="255">
        <f t="shared" si="3"/>
        <v>2393.9499999999998</v>
      </c>
      <c r="L67" s="254"/>
      <c r="M67" s="254"/>
      <c r="N67" s="254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4"/>
      <c r="B68" s="259">
        <v>42314</v>
      </c>
      <c r="C68" s="254">
        <v>1400</v>
      </c>
      <c r="D68" s="255">
        <v>9.35</v>
      </c>
      <c r="E68" s="255">
        <v>0</v>
      </c>
      <c r="F68" s="255">
        <f t="shared" si="4"/>
        <v>13090</v>
      </c>
      <c r="G68" s="259">
        <v>42444</v>
      </c>
      <c r="H68" s="254">
        <v>200</v>
      </c>
      <c r="I68" s="255">
        <v>9.49</v>
      </c>
      <c r="J68" s="255">
        <v>0.04</v>
      </c>
      <c r="K68" s="255">
        <v>1897.96</v>
      </c>
      <c r="L68" s="254"/>
      <c r="M68" s="254"/>
      <c r="N68" s="254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4"/>
      <c r="B69" s="259">
        <v>42324</v>
      </c>
      <c r="C69" s="268">
        <v>3700</v>
      </c>
      <c r="D69" s="255">
        <v>8.2899999999999991</v>
      </c>
      <c r="E69" s="255">
        <v>0</v>
      </c>
      <c r="F69" s="255">
        <f t="shared" si="4"/>
        <v>30672.999999999996</v>
      </c>
      <c r="G69" s="259"/>
      <c r="H69" s="260"/>
      <c r="I69" s="255"/>
      <c r="J69" s="255"/>
      <c r="K69" s="255"/>
      <c r="L69" s="254"/>
      <c r="M69" s="254"/>
      <c r="N69" s="254"/>
      <c r="AD69" s="2"/>
      <c r="AE69" s="134"/>
    </row>
    <row r="70" spans="1:31" x14ac:dyDescent="0.25">
      <c r="A70" s="254"/>
      <c r="B70" s="259">
        <v>42324</v>
      </c>
      <c r="C70" s="268">
        <v>600</v>
      </c>
      <c r="D70" s="255">
        <v>8.14</v>
      </c>
      <c r="E70" s="255">
        <v>0</v>
      </c>
      <c r="F70" s="255">
        <f t="shared" si="4"/>
        <v>4884</v>
      </c>
      <c r="G70" s="259"/>
      <c r="H70" s="260"/>
      <c r="I70" s="255"/>
      <c r="J70" s="255"/>
      <c r="K70" s="255"/>
      <c r="L70" s="254"/>
      <c r="M70" s="254"/>
      <c r="N70" s="254"/>
    </row>
    <row r="71" spans="1:31" x14ac:dyDescent="0.25">
      <c r="A71" s="254"/>
      <c r="B71" s="259">
        <v>42335</v>
      </c>
      <c r="C71" s="254">
        <v>500</v>
      </c>
      <c r="D71" s="255">
        <v>9.06</v>
      </c>
      <c r="E71" s="255">
        <v>0</v>
      </c>
      <c r="F71" s="255">
        <f t="shared" si="4"/>
        <v>4530</v>
      </c>
      <c r="G71" s="254"/>
      <c r="H71" s="260"/>
      <c r="I71" s="255"/>
      <c r="J71" s="255"/>
      <c r="K71" s="255"/>
      <c r="L71" s="254"/>
      <c r="M71" s="254"/>
      <c r="N71" s="254"/>
    </row>
    <row r="72" spans="1:31" x14ac:dyDescent="0.25">
      <c r="A72" s="254"/>
      <c r="B72" s="259">
        <v>42345</v>
      </c>
      <c r="C72" s="254">
        <v>200</v>
      </c>
      <c r="D72" s="255">
        <v>9.35</v>
      </c>
      <c r="E72" s="255">
        <v>0</v>
      </c>
      <c r="F72" s="255">
        <f t="shared" si="4"/>
        <v>1870</v>
      </c>
      <c r="G72" s="254"/>
      <c r="H72" s="260"/>
      <c r="I72" s="255"/>
      <c r="J72" s="255"/>
      <c r="K72" s="255"/>
      <c r="L72" s="254"/>
      <c r="M72" s="254"/>
      <c r="N72" s="254"/>
    </row>
    <row r="73" spans="1:31" x14ac:dyDescent="0.25">
      <c r="A73" s="254"/>
      <c r="B73" s="259">
        <v>42347</v>
      </c>
      <c r="C73" s="254">
        <v>1500</v>
      </c>
      <c r="D73" s="255">
        <v>9.2759999999999998</v>
      </c>
      <c r="E73" s="255">
        <v>0</v>
      </c>
      <c r="F73" s="255">
        <f t="shared" si="4"/>
        <v>13914</v>
      </c>
      <c r="G73" s="254"/>
      <c r="H73" s="260"/>
      <c r="I73" s="255"/>
      <c r="J73" s="255"/>
      <c r="K73" s="255"/>
      <c r="L73" s="254"/>
      <c r="M73" s="254"/>
      <c r="N73" s="254"/>
    </row>
    <row r="74" spans="1:31" x14ac:dyDescent="0.25">
      <c r="A74" s="254"/>
      <c r="B74" s="259">
        <v>42348</v>
      </c>
      <c r="C74" s="254">
        <v>100</v>
      </c>
      <c r="D74" s="255">
        <v>8.9499999999999993</v>
      </c>
      <c r="E74" s="255">
        <v>0</v>
      </c>
      <c r="F74" s="255">
        <f t="shared" si="4"/>
        <v>894.99999999999989</v>
      </c>
      <c r="G74" s="254"/>
      <c r="H74" s="260"/>
      <c r="I74" s="255"/>
      <c r="J74" s="255"/>
      <c r="K74" s="255"/>
      <c r="L74" s="254"/>
      <c r="M74" s="254"/>
      <c r="N74" s="254"/>
    </row>
    <row r="75" spans="1:31" x14ac:dyDescent="0.25">
      <c r="A75" s="254"/>
      <c r="B75" s="259">
        <v>42353</v>
      </c>
      <c r="C75" s="254">
        <v>100</v>
      </c>
      <c r="D75" s="255">
        <v>9.2200000000000006</v>
      </c>
      <c r="E75" s="255">
        <v>0</v>
      </c>
      <c r="F75" s="255">
        <f t="shared" si="4"/>
        <v>922.00000000000011</v>
      </c>
      <c r="G75" s="254"/>
      <c r="H75" s="260"/>
      <c r="I75" s="255"/>
      <c r="J75" s="255"/>
      <c r="K75" s="255"/>
      <c r="L75" s="254"/>
      <c r="M75" s="254"/>
      <c r="N75" s="254"/>
    </row>
    <row r="76" spans="1:31" x14ac:dyDescent="0.25">
      <c r="A76" s="254"/>
      <c r="B76" s="259">
        <v>42354</v>
      </c>
      <c r="C76" s="254">
        <v>500</v>
      </c>
      <c r="D76" s="255">
        <v>8.85</v>
      </c>
      <c r="E76" s="255">
        <v>0</v>
      </c>
      <c r="F76" s="255">
        <f t="shared" si="4"/>
        <v>4425</v>
      </c>
      <c r="G76" s="254"/>
      <c r="H76" s="260"/>
      <c r="I76" s="255"/>
      <c r="J76" s="255"/>
      <c r="K76" s="255"/>
      <c r="L76" s="254"/>
      <c r="M76" s="254"/>
      <c r="N76" s="254"/>
    </row>
    <row r="77" spans="1:31" x14ac:dyDescent="0.25">
      <c r="A77" s="254"/>
      <c r="B77" s="259">
        <v>42377</v>
      </c>
      <c r="C77" s="254">
        <v>400</v>
      </c>
      <c r="D77" s="255">
        <v>8.0399999999999991</v>
      </c>
      <c r="E77" s="255">
        <v>0</v>
      </c>
      <c r="F77" s="255">
        <f t="shared" si="4"/>
        <v>3215.9999999999995</v>
      </c>
      <c r="G77" s="254"/>
      <c r="H77" s="254"/>
      <c r="I77" s="255"/>
      <c r="J77" s="255"/>
      <c r="K77" s="255"/>
      <c r="L77" s="254"/>
      <c r="M77" s="254"/>
      <c r="N77" s="254"/>
    </row>
    <row r="78" spans="1:31" x14ac:dyDescent="0.25">
      <c r="A78" s="254"/>
      <c r="B78" s="259">
        <v>42389</v>
      </c>
      <c r="C78" s="254">
        <v>100</v>
      </c>
      <c r="D78" s="255">
        <v>6.45</v>
      </c>
      <c r="E78" s="255">
        <v>0</v>
      </c>
      <c r="F78" s="255">
        <f t="shared" si="4"/>
        <v>645</v>
      </c>
      <c r="G78" s="254"/>
      <c r="H78" s="254"/>
      <c r="I78" s="255"/>
      <c r="J78" s="255"/>
      <c r="K78" s="255"/>
      <c r="L78" s="254"/>
      <c r="M78" s="254"/>
      <c r="N78" s="254"/>
    </row>
    <row r="79" spans="1:31" x14ac:dyDescent="0.25">
      <c r="A79" s="254"/>
      <c r="B79" s="259">
        <v>42402</v>
      </c>
      <c r="C79" s="254">
        <v>100</v>
      </c>
      <c r="D79" s="255">
        <v>6.95</v>
      </c>
      <c r="E79" s="255">
        <v>0</v>
      </c>
      <c r="F79" s="255">
        <f t="shared" si="4"/>
        <v>695</v>
      </c>
      <c r="G79" s="254"/>
      <c r="H79" s="254"/>
      <c r="I79" s="255"/>
      <c r="J79" s="255"/>
      <c r="K79" s="255"/>
      <c r="L79" s="254"/>
      <c r="M79" s="254"/>
      <c r="N79" s="254"/>
    </row>
    <row r="80" spans="1:31" x14ac:dyDescent="0.25">
      <c r="A80" s="254"/>
      <c r="B80" s="259">
        <v>42444</v>
      </c>
      <c r="C80" s="254">
        <v>200</v>
      </c>
      <c r="D80" s="255">
        <v>9.4499999999999993</v>
      </c>
      <c r="E80" s="255">
        <v>0</v>
      </c>
      <c r="F80" s="255">
        <v>1889.9999999999998</v>
      </c>
      <c r="G80" s="254"/>
      <c r="H80" s="254"/>
      <c r="I80" s="255"/>
      <c r="J80" s="255"/>
      <c r="K80" s="255"/>
      <c r="L80" s="254"/>
      <c r="M80" s="254"/>
      <c r="N80" s="254"/>
    </row>
    <row r="81" spans="1:14" x14ac:dyDescent="0.25">
      <c r="A81" s="371"/>
      <c r="B81" s="371"/>
      <c r="C81" s="371"/>
      <c r="D81" s="372"/>
      <c r="E81" s="372"/>
      <c r="F81" s="372"/>
      <c r="G81" s="371"/>
      <c r="H81" s="371"/>
      <c r="I81" s="372"/>
      <c r="J81" s="372"/>
      <c r="K81" s="372"/>
      <c r="L81" s="371"/>
      <c r="M81" s="371"/>
      <c r="N81" s="371"/>
    </row>
    <row r="82" spans="1:14" x14ac:dyDescent="0.25">
      <c r="A82" s="371"/>
      <c r="B82" s="370">
        <v>42545</v>
      </c>
      <c r="C82" s="371">
        <v>250</v>
      </c>
      <c r="D82" s="372">
        <v>9.36</v>
      </c>
      <c r="E82" s="372">
        <v>0</v>
      </c>
      <c r="F82" s="372">
        <f>D82*C82+E82</f>
        <v>2340</v>
      </c>
      <c r="G82" s="371">
        <v>42577</v>
      </c>
      <c r="H82" s="375">
        <v>150</v>
      </c>
      <c r="I82" s="372">
        <v>10.58</v>
      </c>
      <c r="J82" s="372">
        <v>0.03</v>
      </c>
      <c r="K82" s="372">
        <f>H82*I82-J82</f>
        <v>1586.97</v>
      </c>
      <c r="L82" s="371"/>
      <c r="M82" s="371"/>
      <c r="N82" s="371"/>
    </row>
    <row r="83" spans="1:14" x14ac:dyDescent="0.25">
      <c r="A83" s="371"/>
      <c r="B83" s="370"/>
      <c r="C83" s="371"/>
      <c r="D83" s="372"/>
      <c r="E83" s="372"/>
      <c r="F83" s="372"/>
      <c r="G83" s="371">
        <v>42577</v>
      </c>
      <c r="H83" s="375">
        <v>100</v>
      </c>
      <c r="I83" s="372">
        <v>10.65</v>
      </c>
      <c r="J83" s="372">
        <v>0.02</v>
      </c>
      <c r="K83" s="372">
        <f>H83*I83-J83</f>
        <v>1064.98</v>
      </c>
      <c r="L83" s="371"/>
      <c r="M83" s="371"/>
      <c r="N83" s="371"/>
    </row>
    <row r="84" spans="1:14" x14ac:dyDescent="0.25">
      <c r="A84" s="371"/>
      <c r="B84" s="371"/>
      <c r="C84" s="371"/>
      <c r="D84" s="372"/>
      <c r="E84" s="372"/>
      <c r="F84" s="372"/>
      <c r="G84" s="371"/>
      <c r="H84" s="371"/>
      <c r="I84" s="372"/>
      <c r="J84" s="372"/>
      <c r="K84" s="372"/>
      <c r="L84" s="371"/>
      <c r="M84" s="371"/>
      <c r="N84" s="371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4"/>
    </row>
    <row r="86" spans="1:14" x14ac:dyDescent="0.25">
      <c r="A86" s="254"/>
      <c r="B86" s="254"/>
      <c r="C86" s="254"/>
      <c r="D86" s="255"/>
      <c r="E86" s="255"/>
      <c r="F86" s="255"/>
      <c r="G86" s="254"/>
      <c r="H86" s="254"/>
      <c r="I86" s="255"/>
      <c r="J86" s="255"/>
      <c r="K86" s="255"/>
      <c r="L86" s="254"/>
      <c r="M86" s="254"/>
      <c r="N86" s="254"/>
    </row>
    <row r="87" spans="1:14" x14ac:dyDescent="0.25">
      <c r="A87" s="254"/>
      <c r="B87" s="254"/>
      <c r="C87" s="254"/>
      <c r="D87" s="255"/>
      <c r="E87" s="255"/>
      <c r="F87" s="255"/>
      <c r="G87" s="254"/>
      <c r="H87" s="254"/>
      <c r="I87" s="255"/>
      <c r="J87" s="255"/>
      <c r="K87" s="255"/>
      <c r="L87" s="254"/>
      <c r="M87" s="254"/>
      <c r="N87" s="254"/>
    </row>
    <row r="88" spans="1:14" x14ac:dyDescent="0.25">
      <c r="A88" s="254"/>
      <c r="B88" s="262" t="s">
        <v>113</v>
      </c>
      <c r="C88" s="262" t="s">
        <v>146</v>
      </c>
      <c r="D88" s="263" t="s">
        <v>145</v>
      </c>
      <c r="E88" s="264" t="s">
        <v>147</v>
      </c>
      <c r="F88" s="264" t="s">
        <v>65</v>
      </c>
      <c r="G88" s="266" t="s">
        <v>151</v>
      </c>
      <c r="H88" s="266" t="s">
        <v>88</v>
      </c>
      <c r="I88" s="266" t="s">
        <v>154</v>
      </c>
      <c r="J88" s="255"/>
      <c r="K88" s="255"/>
      <c r="L88" s="254"/>
      <c r="M88" s="254"/>
      <c r="N88" s="254"/>
    </row>
    <row r="89" spans="1:14" x14ac:dyDescent="0.25">
      <c r="A89" s="254"/>
      <c r="B89" s="259">
        <v>42304</v>
      </c>
      <c r="C89" s="254">
        <v>3700</v>
      </c>
      <c r="D89" s="255">
        <v>9.84</v>
      </c>
      <c r="E89" s="255">
        <v>8.73</v>
      </c>
      <c r="F89" s="255">
        <f>C89*(E89-D89)</f>
        <v>-4106.9999999999982</v>
      </c>
      <c r="G89" s="255">
        <f>D89*C89</f>
        <v>36408</v>
      </c>
      <c r="H89" s="269">
        <f>(E89-D89)/D89</f>
        <v>-0.11280487804878044</v>
      </c>
      <c r="I89" s="255"/>
      <c r="J89" s="255"/>
      <c r="K89" s="255"/>
      <c r="L89" s="254"/>
      <c r="M89" s="254"/>
      <c r="N89" s="254"/>
    </row>
    <row r="90" spans="1:14" x14ac:dyDescent="0.25">
      <c r="A90" s="254"/>
      <c r="B90" s="259">
        <v>42305</v>
      </c>
      <c r="C90" s="254">
        <v>3700</v>
      </c>
      <c r="D90" s="255">
        <v>9.76</v>
      </c>
      <c r="E90" s="255">
        <v>8.99</v>
      </c>
      <c r="F90" s="255">
        <f t="shared" ref="F90:F107" si="5">C90*(E90-D90)</f>
        <v>-2848.9999999999986</v>
      </c>
      <c r="G90" s="255">
        <f t="shared" ref="G90:G107" si="6">D90*C90</f>
        <v>36112</v>
      </c>
      <c r="H90" s="269">
        <f t="shared" ref="H90:H96" si="7">(E90-D90)/D90</f>
        <v>-7.8893442622950782E-2</v>
      </c>
      <c r="I90" s="255"/>
      <c r="J90" s="255"/>
      <c r="K90" s="255"/>
      <c r="L90" s="254"/>
      <c r="M90" s="254"/>
      <c r="N90" s="254"/>
    </row>
    <row r="91" spans="1:14" x14ac:dyDescent="0.25">
      <c r="A91" s="254"/>
      <c r="B91" s="259">
        <v>42311</v>
      </c>
      <c r="C91" s="254">
        <v>3700</v>
      </c>
      <c r="D91" s="255">
        <v>9.73</v>
      </c>
      <c r="E91" s="255">
        <v>9.3800000000000008</v>
      </c>
      <c r="F91" s="255">
        <f t="shared" si="5"/>
        <v>-1294.9999999999986</v>
      </c>
      <c r="G91" s="255">
        <f t="shared" si="6"/>
        <v>36001</v>
      </c>
      <c r="H91" s="269">
        <f t="shared" si="7"/>
        <v>-3.5971223021582698E-2</v>
      </c>
      <c r="I91" s="255"/>
      <c r="J91" s="255"/>
      <c r="K91" s="255"/>
      <c r="L91" s="254"/>
      <c r="M91" s="254"/>
      <c r="N91" s="254"/>
    </row>
    <row r="92" spans="1:14" x14ac:dyDescent="0.25">
      <c r="A92" s="254"/>
      <c r="B92" s="259">
        <v>42320</v>
      </c>
      <c r="C92" s="254">
        <v>7400</v>
      </c>
      <c r="D92" s="255">
        <v>9.01</v>
      </c>
      <c r="E92" s="255">
        <v>7.82</v>
      </c>
      <c r="F92" s="255">
        <f t="shared" si="5"/>
        <v>-8805.9999999999964</v>
      </c>
      <c r="G92" s="255">
        <f t="shared" si="6"/>
        <v>66674</v>
      </c>
      <c r="H92" s="269">
        <f t="shared" si="7"/>
        <v>-0.13207547169811315</v>
      </c>
      <c r="I92" s="255"/>
      <c r="J92" s="255"/>
      <c r="K92" s="255"/>
      <c r="L92" s="254"/>
      <c r="M92" s="254"/>
      <c r="N92" s="254"/>
    </row>
    <row r="93" spans="1:14" x14ac:dyDescent="0.25">
      <c r="A93" s="254"/>
      <c r="B93" s="259">
        <v>42320</v>
      </c>
      <c r="C93" s="254">
        <v>8000</v>
      </c>
      <c r="D93" s="255">
        <v>8.94</v>
      </c>
      <c r="E93" s="255">
        <v>7.82</v>
      </c>
      <c r="F93" s="255">
        <f t="shared" si="5"/>
        <v>-8959.9999999999945</v>
      </c>
      <c r="G93" s="255">
        <f t="shared" si="6"/>
        <v>71520</v>
      </c>
      <c r="H93" s="269">
        <f t="shared" si="7"/>
        <v>-0.12527964205816547</v>
      </c>
      <c r="I93" s="255"/>
      <c r="J93" s="255"/>
      <c r="K93" s="255"/>
      <c r="L93" s="254"/>
      <c r="M93" s="254"/>
      <c r="N93" s="254"/>
    </row>
    <row r="94" spans="1:14" x14ac:dyDescent="0.25">
      <c r="A94" s="254"/>
      <c r="B94" s="259">
        <v>42326</v>
      </c>
      <c r="C94" s="254">
        <v>6600</v>
      </c>
      <c r="D94" s="255">
        <v>9.0582999999999991</v>
      </c>
      <c r="E94" s="255">
        <v>8.41</v>
      </c>
      <c r="F94" s="255">
        <f t="shared" si="5"/>
        <v>-4278.7799999999934</v>
      </c>
      <c r="G94" s="255">
        <f t="shared" si="6"/>
        <v>59784.779999999992</v>
      </c>
      <c r="H94" s="269">
        <f t="shared" si="7"/>
        <v>-7.1569720587748145E-2</v>
      </c>
      <c r="I94" s="255"/>
      <c r="J94" s="255"/>
      <c r="K94" s="255"/>
      <c r="L94" s="254"/>
      <c r="M94" s="254"/>
      <c r="N94" s="254"/>
    </row>
    <row r="95" spans="1:14" x14ac:dyDescent="0.25">
      <c r="A95" s="254"/>
      <c r="B95" s="259">
        <v>42326</v>
      </c>
      <c r="C95" s="254">
        <v>6535</v>
      </c>
      <c r="D95" s="255">
        <v>9.0648</v>
      </c>
      <c r="E95" s="255">
        <v>8.41</v>
      </c>
      <c r="F95" s="255">
        <f t="shared" si="5"/>
        <v>-4279.1179999999986</v>
      </c>
      <c r="G95" s="255">
        <f t="shared" si="6"/>
        <v>59238.468000000001</v>
      </c>
      <c r="H95" s="269">
        <f t="shared" si="7"/>
        <v>-7.2235460241814473E-2</v>
      </c>
      <c r="I95" s="255"/>
      <c r="J95" s="255"/>
      <c r="K95" s="255"/>
      <c r="L95" s="254"/>
      <c r="M95" s="254"/>
      <c r="N95" s="254"/>
    </row>
    <row r="96" spans="1:14" x14ac:dyDescent="0.25">
      <c r="A96" s="254"/>
      <c r="B96" s="259">
        <v>42327</v>
      </c>
      <c r="C96" s="254">
        <v>4300</v>
      </c>
      <c r="D96" s="255">
        <v>9.3583999999999996</v>
      </c>
      <c r="E96" s="255">
        <v>8.76</v>
      </c>
      <c r="F96" s="255">
        <f t="shared" si="5"/>
        <v>-2573.1199999999994</v>
      </c>
      <c r="G96" s="255">
        <f t="shared" si="6"/>
        <v>40241.119999999995</v>
      </c>
      <c r="H96" s="269">
        <f t="shared" si="7"/>
        <v>-6.3942554282783365E-2</v>
      </c>
      <c r="I96" s="255"/>
      <c r="J96" s="255"/>
      <c r="K96" s="255"/>
      <c r="L96" s="254"/>
      <c r="M96" s="254"/>
      <c r="N96" s="254"/>
    </row>
    <row r="97" spans="1:14" x14ac:dyDescent="0.25">
      <c r="A97" s="254"/>
      <c r="B97" s="259">
        <v>42327</v>
      </c>
      <c r="C97" s="254">
        <v>3700</v>
      </c>
      <c r="D97" s="255">
        <v>9.4571000000000005</v>
      </c>
      <c r="E97" s="255">
        <v>8.76</v>
      </c>
      <c r="F97" s="255">
        <f t="shared" si="5"/>
        <v>-2579.2700000000027</v>
      </c>
      <c r="G97" s="255">
        <f t="shared" si="6"/>
        <v>34991.270000000004</v>
      </c>
      <c r="H97" s="269">
        <f>(E97-D97)/D97</f>
        <v>-7.371181440399284E-2</v>
      </c>
      <c r="I97" s="255"/>
      <c r="J97" s="255"/>
      <c r="K97" s="255"/>
      <c r="L97" s="254"/>
      <c r="M97" s="254"/>
      <c r="N97" s="254"/>
    </row>
    <row r="98" spans="1:14" x14ac:dyDescent="0.25">
      <c r="A98" s="254"/>
      <c r="B98" s="259">
        <v>42331</v>
      </c>
      <c r="C98" s="254">
        <v>3700</v>
      </c>
      <c r="D98" s="255">
        <v>9.4499999999999993</v>
      </c>
      <c r="E98" s="255">
        <v>9.07</v>
      </c>
      <c r="F98" s="255">
        <f t="shared" si="5"/>
        <v>-1405.9999999999964</v>
      </c>
      <c r="G98" s="255">
        <f t="shared" si="6"/>
        <v>34965</v>
      </c>
      <c r="H98" s="269">
        <f t="shared" ref="H98:H107" si="8">(E98-D98)/D98</f>
        <v>-4.0211640211640108E-2</v>
      </c>
      <c r="I98" s="255"/>
      <c r="J98" s="255"/>
      <c r="K98" s="255"/>
      <c r="L98" s="254"/>
      <c r="M98" s="254"/>
      <c r="N98" s="254"/>
    </row>
    <row r="99" spans="1:14" x14ac:dyDescent="0.25">
      <c r="A99" s="254"/>
      <c r="B99" s="259">
        <v>42333</v>
      </c>
      <c r="C99" s="254">
        <v>3300</v>
      </c>
      <c r="D99" s="255">
        <v>9.4304000000000006</v>
      </c>
      <c r="E99" s="255">
        <v>9.41</v>
      </c>
      <c r="F99" s="255">
        <f t="shared" si="5"/>
        <v>-67.320000000001386</v>
      </c>
      <c r="G99" s="255">
        <f t="shared" si="6"/>
        <v>31120.320000000003</v>
      </c>
      <c r="H99" s="269">
        <f t="shared" si="8"/>
        <v>-2.1632168306753071E-3</v>
      </c>
      <c r="I99" s="255"/>
      <c r="J99" s="255"/>
      <c r="K99" s="255"/>
      <c r="L99" s="254"/>
      <c r="M99" s="254"/>
      <c r="N99" s="254"/>
    </row>
    <row r="100" spans="1:14" x14ac:dyDescent="0.25">
      <c r="A100" s="254"/>
      <c r="B100" s="259">
        <v>42339</v>
      </c>
      <c r="C100" s="254">
        <v>2800</v>
      </c>
      <c r="D100" s="255">
        <v>9.4145000000000003</v>
      </c>
      <c r="E100" s="255">
        <v>9.48</v>
      </c>
      <c r="F100" s="255">
        <f t="shared" si="5"/>
        <v>183.40000000000032</v>
      </c>
      <c r="G100" s="255">
        <f t="shared" si="6"/>
        <v>26360.600000000002</v>
      </c>
      <c r="H100" s="269">
        <f t="shared" si="8"/>
        <v>6.9573530192787838E-3</v>
      </c>
      <c r="I100" s="255"/>
      <c r="J100" s="255"/>
      <c r="K100" s="255"/>
      <c r="L100" s="254"/>
      <c r="M100" s="254"/>
      <c r="N100" s="254"/>
    </row>
    <row r="101" spans="1:14" x14ac:dyDescent="0.25">
      <c r="A101" s="254"/>
      <c r="B101" s="259">
        <v>42340</v>
      </c>
      <c r="C101" s="254">
        <v>3000</v>
      </c>
      <c r="D101" s="255">
        <v>9.41</v>
      </c>
      <c r="E101" s="255">
        <v>9.35</v>
      </c>
      <c r="F101" s="255">
        <f t="shared" si="5"/>
        <v>-180.00000000000148</v>
      </c>
      <c r="G101" s="255">
        <f t="shared" si="6"/>
        <v>28230</v>
      </c>
      <c r="H101" s="269">
        <f t="shared" si="8"/>
        <v>-6.3761955366631769E-3</v>
      </c>
      <c r="I101" s="255"/>
      <c r="J101" s="255"/>
      <c r="K101" s="255"/>
      <c r="L101" s="254"/>
      <c r="M101" s="254"/>
      <c r="N101" s="254"/>
    </row>
    <row r="102" spans="1:14" x14ac:dyDescent="0.25">
      <c r="A102" s="254"/>
      <c r="B102" s="259">
        <v>42342</v>
      </c>
      <c r="C102" s="254">
        <v>1500</v>
      </c>
      <c r="D102" s="255">
        <v>9.51</v>
      </c>
      <c r="E102" s="255">
        <v>9.34</v>
      </c>
      <c r="F102" s="255">
        <f t="shared" si="5"/>
        <v>-254.99999999999989</v>
      </c>
      <c r="G102" s="255">
        <f t="shared" si="6"/>
        <v>14265</v>
      </c>
      <c r="H102" s="269">
        <f t="shared" si="8"/>
        <v>-1.787592008412197E-2</v>
      </c>
      <c r="I102" s="255"/>
      <c r="J102" s="255"/>
      <c r="K102" s="255"/>
      <c r="L102" s="254"/>
      <c r="M102" s="254"/>
      <c r="N102" s="254"/>
    </row>
    <row r="103" spans="1:14" x14ac:dyDescent="0.25">
      <c r="A103" s="254"/>
      <c r="B103" s="259">
        <v>42342</v>
      </c>
      <c r="C103" s="254">
        <v>3000</v>
      </c>
      <c r="D103" s="255">
        <v>9.3933</v>
      </c>
      <c r="E103" s="255">
        <v>9.34</v>
      </c>
      <c r="F103" s="255">
        <f t="shared" si="5"/>
        <v>-159.90000000000038</v>
      </c>
      <c r="G103" s="255">
        <f t="shared" si="6"/>
        <v>28179.9</v>
      </c>
      <c r="H103" s="269">
        <f t="shared" si="8"/>
        <v>-5.6742571833115225E-3</v>
      </c>
      <c r="I103" s="255"/>
      <c r="J103" s="255"/>
      <c r="K103" s="255"/>
      <c r="L103" s="254"/>
      <c r="M103" s="254"/>
      <c r="N103" s="254"/>
    </row>
    <row r="104" spans="1:14" x14ac:dyDescent="0.25">
      <c r="A104" s="254"/>
      <c r="B104" s="259">
        <v>42345</v>
      </c>
      <c r="C104" s="254">
        <v>3100</v>
      </c>
      <c r="D104" s="255">
        <v>9.3789999999999996</v>
      </c>
      <c r="E104" s="255">
        <v>9.0399999999999991</v>
      </c>
      <c r="F104" s="255">
        <f t="shared" si="5"/>
        <v>-1050.9000000000012</v>
      </c>
      <c r="G104" s="255">
        <f t="shared" si="6"/>
        <v>29074.899999999998</v>
      </c>
      <c r="H104" s="269">
        <f t="shared" si="8"/>
        <v>-3.6144578313253059E-2</v>
      </c>
      <c r="I104" s="255"/>
      <c r="J104" s="255"/>
      <c r="K104" s="255"/>
      <c r="L104" s="254"/>
      <c r="M104" s="254"/>
      <c r="N104" s="254"/>
    </row>
    <row r="105" spans="1:14" x14ac:dyDescent="0.25">
      <c r="A105" s="254"/>
      <c r="B105" s="259">
        <v>42348</v>
      </c>
      <c r="C105" s="254">
        <v>3000</v>
      </c>
      <c r="D105" s="255">
        <v>9.3800000000000008</v>
      </c>
      <c r="E105" s="255">
        <v>9.17</v>
      </c>
      <c r="F105" s="255">
        <f t="shared" si="5"/>
        <v>-630.0000000000025</v>
      </c>
      <c r="G105" s="255">
        <f t="shared" si="6"/>
        <v>28140.000000000004</v>
      </c>
      <c r="H105" s="269">
        <f t="shared" si="8"/>
        <v>-2.2388059701492626E-2</v>
      </c>
      <c r="I105" s="255"/>
      <c r="J105" s="255"/>
      <c r="K105" s="255"/>
      <c r="L105" s="254"/>
      <c r="M105" s="254"/>
      <c r="N105" s="254"/>
    </row>
    <row r="106" spans="1:14" x14ac:dyDescent="0.25">
      <c r="A106" s="254"/>
      <c r="B106" s="259">
        <v>42349</v>
      </c>
      <c r="C106" s="254">
        <v>3000</v>
      </c>
      <c r="D106" s="255">
        <v>9.3659999999999997</v>
      </c>
      <c r="E106" s="255">
        <v>8.86</v>
      </c>
      <c r="F106" s="255">
        <f t="shared" si="5"/>
        <v>-1518.0000000000007</v>
      </c>
      <c r="G106" s="255">
        <f t="shared" si="6"/>
        <v>28098</v>
      </c>
      <c r="H106" s="269">
        <f t="shared" si="8"/>
        <v>-5.4025197522955398E-2</v>
      </c>
      <c r="I106" s="255"/>
      <c r="J106" s="255"/>
      <c r="K106" s="255"/>
      <c r="L106" s="254"/>
      <c r="M106" s="254"/>
      <c r="N106" s="254"/>
    </row>
    <row r="107" spans="1:14" x14ac:dyDescent="0.25">
      <c r="A107" s="254"/>
      <c r="B107" s="259">
        <v>42360</v>
      </c>
      <c r="C107" s="254">
        <v>1000</v>
      </c>
      <c r="D107" s="255">
        <v>9.1999999999999993</v>
      </c>
      <c r="E107" s="255">
        <v>9.56</v>
      </c>
      <c r="F107" s="255">
        <f t="shared" si="5"/>
        <v>360.00000000000119</v>
      </c>
      <c r="G107" s="255">
        <f t="shared" si="6"/>
        <v>9200</v>
      </c>
      <c r="H107" s="269">
        <f t="shared" si="8"/>
        <v>3.9130434782608831E-2</v>
      </c>
      <c r="I107" s="255"/>
      <c r="J107" s="255"/>
      <c r="K107" s="255"/>
      <c r="L107" s="254"/>
      <c r="M107" s="254"/>
      <c r="N107" s="254"/>
    </row>
    <row r="108" spans="1:14" x14ac:dyDescent="0.25">
      <c r="A108" s="254"/>
      <c r="B108" s="259">
        <v>42361</v>
      </c>
      <c r="C108" s="254">
        <v>0</v>
      </c>
      <c r="D108" s="255">
        <v>0</v>
      </c>
      <c r="E108" s="255">
        <v>10.19</v>
      </c>
      <c r="F108" s="255">
        <v>360</v>
      </c>
      <c r="G108" s="255"/>
      <c r="H108" s="269"/>
      <c r="I108" s="255"/>
      <c r="J108" s="255"/>
      <c r="K108" s="255"/>
      <c r="L108" s="254"/>
      <c r="M108" s="254"/>
      <c r="N108" s="254"/>
    </row>
    <row r="109" spans="1:14" x14ac:dyDescent="0.25">
      <c r="A109" s="254"/>
      <c r="B109" s="259">
        <v>42377</v>
      </c>
      <c r="C109" s="254">
        <v>400</v>
      </c>
      <c r="D109" s="255">
        <v>6.31</v>
      </c>
      <c r="E109" s="255">
        <v>8.07</v>
      </c>
      <c r="F109" s="255">
        <f t="shared" ref="F109:F114" si="9">C109*(E109-D109)</f>
        <v>704.00000000000023</v>
      </c>
      <c r="G109" s="255">
        <f t="shared" ref="G109:G114" si="10">D109*C109</f>
        <v>2524</v>
      </c>
      <c r="H109" s="269">
        <f t="shared" ref="H109:H114" si="11">(E109-D109)/D109</f>
        <v>0.27892234548335987</v>
      </c>
      <c r="I109" s="255"/>
      <c r="J109" s="255"/>
      <c r="K109" s="255"/>
      <c r="L109" s="254"/>
      <c r="M109" s="254"/>
      <c r="N109" s="254"/>
    </row>
    <row r="110" spans="1:14" x14ac:dyDescent="0.25">
      <c r="A110" s="254"/>
      <c r="B110" s="259">
        <v>42389</v>
      </c>
      <c r="C110" s="254">
        <v>500</v>
      </c>
      <c r="D110" s="255">
        <v>6.34</v>
      </c>
      <c r="E110" s="255">
        <v>6.74</v>
      </c>
      <c r="F110" s="255">
        <f t="shared" si="9"/>
        <v>200.00000000000017</v>
      </c>
      <c r="G110" s="255">
        <f t="shared" si="10"/>
        <v>3170</v>
      </c>
      <c r="H110" s="269">
        <f t="shared" si="11"/>
        <v>6.3091482649842323E-2</v>
      </c>
      <c r="I110" s="255"/>
      <c r="J110" s="255"/>
      <c r="K110" s="255"/>
      <c r="L110" s="254"/>
      <c r="M110" s="254"/>
      <c r="N110" s="254"/>
    </row>
    <row r="111" spans="1:14" x14ac:dyDescent="0.25">
      <c r="A111" s="254"/>
      <c r="B111" s="259">
        <v>42398</v>
      </c>
      <c r="C111" s="254">
        <v>400</v>
      </c>
      <c r="D111" s="255">
        <v>6.12</v>
      </c>
      <c r="E111" s="255">
        <v>7.14</v>
      </c>
      <c r="F111" s="255">
        <f t="shared" si="9"/>
        <v>407.99999999999983</v>
      </c>
      <c r="G111" s="255">
        <f t="shared" si="10"/>
        <v>2448</v>
      </c>
      <c r="H111" s="269">
        <f t="shared" si="11"/>
        <v>0.1666666666666666</v>
      </c>
      <c r="I111" s="255"/>
      <c r="J111" s="255"/>
      <c r="K111" s="255"/>
      <c r="L111" s="254"/>
      <c r="M111" s="254"/>
      <c r="N111" s="254"/>
    </row>
    <row r="112" spans="1:14" x14ac:dyDescent="0.25">
      <c r="A112" s="254"/>
      <c r="B112" s="259">
        <v>42402</v>
      </c>
      <c r="C112" s="254">
        <v>500</v>
      </c>
      <c r="D112" s="255">
        <v>6.2888999999999999</v>
      </c>
      <c r="E112" s="255">
        <v>6.97</v>
      </c>
      <c r="F112" s="255">
        <f t="shared" si="9"/>
        <v>340.5499999999999</v>
      </c>
      <c r="G112" s="255">
        <f t="shared" si="10"/>
        <v>3144.45</v>
      </c>
      <c r="H112" s="269">
        <f t="shared" si="11"/>
        <v>0.10830192879517878</v>
      </c>
      <c r="I112" s="255"/>
      <c r="J112" s="255"/>
      <c r="K112" s="255"/>
      <c r="L112" s="254"/>
      <c r="M112" s="254"/>
      <c r="N112" s="254"/>
    </row>
    <row r="113" spans="1:14" x14ac:dyDescent="0.25">
      <c r="A113" s="254"/>
      <c r="B113" s="259">
        <v>42403</v>
      </c>
      <c r="C113" s="254">
        <v>400</v>
      </c>
      <c r="D113" s="255">
        <v>6.01</v>
      </c>
      <c r="E113" s="255">
        <v>7.55</v>
      </c>
      <c r="F113" s="255">
        <f t="shared" si="9"/>
        <v>616</v>
      </c>
      <c r="G113" s="255">
        <f t="shared" si="10"/>
        <v>2404</v>
      </c>
      <c r="H113" s="269">
        <f t="shared" si="11"/>
        <v>0.2562396006655574</v>
      </c>
      <c r="I113" s="255"/>
      <c r="J113" s="255"/>
      <c r="K113" s="255"/>
      <c r="L113" s="254"/>
      <c r="M113" s="254"/>
      <c r="N113" s="371"/>
    </row>
    <row r="114" spans="1:14" x14ac:dyDescent="0.25">
      <c r="A114" s="254"/>
      <c r="B114" s="259">
        <v>42404</v>
      </c>
      <c r="C114" s="254">
        <v>300</v>
      </c>
      <c r="D114" s="255">
        <v>5.3349000000000002</v>
      </c>
      <c r="E114" s="255">
        <v>8.31</v>
      </c>
      <c r="F114" s="255">
        <f t="shared" si="9"/>
        <v>892.53000000000009</v>
      </c>
      <c r="G114" s="255">
        <f t="shared" si="10"/>
        <v>1600.47</v>
      </c>
      <c r="H114" s="269">
        <f t="shared" si="11"/>
        <v>0.55766743519091266</v>
      </c>
      <c r="I114" s="255"/>
      <c r="J114" s="255"/>
      <c r="K114" s="255"/>
      <c r="L114" s="254"/>
      <c r="M114" s="254"/>
      <c r="N114" s="371"/>
    </row>
    <row r="115" spans="1:14" x14ac:dyDescent="0.25">
      <c r="A115" s="254"/>
      <c r="B115" s="259">
        <v>42416</v>
      </c>
      <c r="C115" s="254">
        <v>0</v>
      </c>
      <c r="D115" s="255">
        <v>0</v>
      </c>
      <c r="E115" s="255">
        <v>0</v>
      </c>
      <c r="F115" s="255">
        <v>793.47</v>
      </c>
      <c r="G115" s="255"/>
      <c r="H115" s="269"/>
      <c r="I115" s="255"/>
      <c r="J115" s="255"/>
      <c r="K115" s="255"/>
      <c r="L115" s="254"/>
      <c r="M115" s="254"/>
      <c r="N115" s="371"/>
    </row>
    <row r="116" spans="1:14" x14ac:dyDescent="0.25">
      <c r="A116" s="371"/>
      <c r="B116" s="370"/>
      <c r="C116" s="371"/>
      <c r="D116" s="372"/>
      <c r="E116" s="372"/>
      <c r="F116" s="372"/>
      <c r="G116" s="372"/>
      <c r="H116" s="373"/>
      <c r="I116" s="372"/>
      <c r="J116" s="372"/>
      <c r="K116" s="372"/>
      <c r="L116" s="371"/>
      <c r="M116" s="371"/>
      <c r="N116" s="371"/>
    </row>
    <row r="117" spans="1:14" x14ac:dyDescent="0.25">
      <c r="A117" s="371"/>
      <c r="B117" s="370">
        <v>42545</v>
      </c>
      <c r="C117" s="371">
        <v>250</v>
      </c>
      <c r="D117" s="372">
        <v>9.36</v>
      </c>
      <c r="E117" s="372">
        <v>9.3800000000000008</v>
      </c>
      <c r="F117" s="372">
        <f t="shared" ref="F117:F127" si="12">C117*(E117-D117)</f>
        <v>5.0000000000003375</v>
      </c>
      <c r="G117" s="372">
        <f t="shared" ref="G117:G127" si="13">D117*C117</f>
        <v>2340</v>
      </c>
      <c r="H117" s="373">
        <f t="shared" ref="H117:H127" si="14">(E117-D117)/D117</f>
        <v>2.1367521367522809E-3</v>
      </c>
      <c r="I117" s="372"/>
      <c r="J117" s="372"/>
      <c r="K117" s="372"/>
      <c r="L117" s="371"/>
      <c r="M117" s="371"/>
      <c r="N117" s="371"/>
    </row>
    <row r="118" spans="1:14" x14ac:dyDescent="0.25">
      <c r="A118" s="371"/>
      <c r="B118" s="370">
        <v>42548</v>
      </c>
      <c r="C118" s="371">
        <v>250</v>
      </c>
      <c r="D118" s="372">
        <v>9.36</v>
      </c>
      <c r="E118" s="372">
        <v>9.1</v>
      </c>
      <c r="F118" s="372">
        <f t="shared" si="12"/>
        <v>-64.999999999999943</v>
      </c>
      <c r="G118" s="372">
        <f t="shared" si="13"/>
        <v>2340</v>
      </c>
      <c r="H118" s="373">
        <f t="shared" si="14"/>
        <v>-2.7777777777777755E-2</v>
      </c>
      <c r="I118" s="372"/>
      <c r="J118" s="372"/>
      <c r="K118" s="372"/>
      <c r="L118" s="371"/>
      <c r="M118" s="371"/>
      <c r="N118" s="371"/>
    </row>
    <row r="119" spans="1:14" x14ac:dyDescent="0.25">
      <c r="A119" s="371"/>
      <c r="B119" s="370">
        <v>42549</v>
      </c>
      <c r="C119" s="371">
        <v>250</v>
      </c>
      <c r="D119" s="372">
        <v>9.36</v>
      </c>
      <c r="E119" s="372">
        <v>9.33</v>
      </c>
      <c r="F119" s="372">
        <f t="shared" si="12"/>
        <v>-7.4999999999998401</v>
      </c>
      <c r="G119" s="372">
        <f t="shared" si="13"/>
        <v>2340</v>
      </c>
      <c r="H119" s="373">
        <f t="shared" si="14"/>
        <v>-3.2051282051281369E-3</v>
      </c>
      <c r="I119" s="372"/>
      <c r="J119" s="372"/>
      <c r="K119" s="372"/>
      <c r="L119" s="371"/>
      <c r="M119" s="371"/>
      <c r="N119" s="371"/>
    </row>
    <row r="120" spans="1:14" x14ac:dyDescent="0.25">
      <c r="A120" s="371"/>
      <c r="B120" s="370">
        <v>42550</v>
      </c>
      <c r="C120" s="371">
        <v>250</v>
      </c>
      <c r="D120" s="372">
        <v>9.36</v>
      </c>
      <c r="E120" s="372">
        <v>9.1</v>
      </c>
      <c r="F120" s="372">
        <f t="shared" si="12"/>
        <v>-64.999999999999943</v>
      </c>
      <c r="G120" s="372">
        <f t="shared" si="13"/>
        <v>2340</v>
      </c>
      <c r="H120" s="373">
        <f t="shared" si="14"/>
        <v>-2.7777777777777755E-2</v>
      </c>
      <c r="I120" s="372"/>
      <c r="J120" s="372"/>
      <c r="K120" s="372"/>
      <c r="L120" s="371"/>
      <c r="M120" s="371"/>
      <c r="N120" s="371"/>
    </row>
    <row r="121" spans="1:14" x14ac:dyDescent="0.25">
      <c r="A121" s="371"/>
      <c r="B121" s="370">
        <v>42552</v>
      </c>
      <c r="C121" s="371">
        <v>250</v>
      </c>
      <c r="D121" s="372">
        <v>9.36</v>
      </c>
      <c r="E121" s="372">
        <v>9.5500000000000007</v>
      </c>
      <c r="F121" s="372">
        <f t="shared" si="12"/>
        <v>47.50000000000032</v>
      </c>
      <c r="G121" s="372">
        <f t="shared" si="13"/>
        <v>2340</v>
      </c>
      <c r="H121" s="373">
        <f t="shared" si="14"/>
        <v>2.0299145299145439E-2</v>
      </c>
      <c r="I121" s="372"/>
      <c r="J121" s="372"/>
      <c r="K121" s="372"/>
      <c r="L121" s="371"/>
      <c r="M121" s="371"/>
      <c r="N121" s="371"/>
    </row>
    <row r="122" spans="1:14" x14ac:dyDescent="0.25">
      <c r="A122" s="371"/>
      <c r="B122" s="370">
        <v>42556</v>
      </c>
      <c r="C122" s="371">
        <v>250</v>
      </c>
      <c r="D122" s="372">
        <v>9.36</v>
      </c>
      <c r="E122" s="372">
        <v>9.26</v>
      </c>
      <c r="F122" s="372">
        <f t="shared" si="12"/>
        <v>-24.999999999999911</v>
      </c>
      <c r="G122" s="372">
        <f t="shared" si="13"/>
        <v>2340</v>
      </c>
      <c r="H122" s="373">
        <f t="shared" si="14"/>
        <v>-1.0683760683760646E-2</v>
      </c>
      <c r="I122" s="372"/>
      <c r="J122" s="372"/>
      <c r="K122" s="372"/>
      <c r="L122" s="371"/>
      <c r="M122" s="371"/>
      <c r="N122" s="371"/>
    </row>
    <row r="123" spans="1:14" x14ac:dyDescent="0.25">
      <c r="A123" s="371"/>
      <c r="B123" s="370">
        <v>42557</v>
      </c>
      <c r="C123" s="371">
        <v>250</v>
      </c>
      <c r="D123" s="372">
        <v>9.36</v>
      </c>
      <c r="E123" s="372">
        <v>9.19</v>
      </c>
      <c r="F123" s="372">
        <f t="shared" si="12"/>
        <v>-42.499999999999986</v>
      </c>
      <c r="G123" s="372">
        <f t="shared" si="13"/>
        <v>2340</v>
      </c>
      <c r="H123" s="373">
        <f t="shared" si="14"/>
        <v>-1.8162393162393157E-2</v>
      </c>
      <c r="I123" s="372"/>
      <c r="J123" s="372"/>
      <c r="K123" s="372"/>
      <c r="L123" s="371"/>
      <c r="M123" s="371"/>
      <c r="N123" s="371"/>
    </row>
    <row r="124" spans="1:14" x14ac:dyDescent="0.25">
      <c r="A124" s="371"/>
      <c r="B124" s="370">
        <v>42559</v>
      </c>
      <c r="C124" s="371">
        <v>250</v>
      </c>
      <c r="D124" s="372">
        <v>9.36</v>
      </c>
      <c r="E124" s="372">
        <v>9.82</v>
      </c>
      <c r="F124" s="372">
        <f t="shared" si="12"/>
        <v>115.00000000000021</v>
      </c>
      <c r="G124" s="372">
        <f t="shared" si="13"/>
        <v>2340</v>
      </c>
      <c r="H124" s="373">
        <f t="shared" si="14"/>
        <v>4.9145299145299241E-2</v>
      </c>
      <c r="I124" s="372"/>
      <c r="J124" s="372"/>
      <c r="K124" s="372"/>
      <c r="L124" s="371"/>
      <c r="M124" s="371"/>
      <c r="N124" s="371"/>
    </row>
    <row r="125" spans="1:14" x14ac:dyDescent="0.25">
      <c r="A125" s="371"/>
      <c r="B125" s="370">
        <v>42562</v>
      </c>
      <c r="C125" s="371">
        <v>250</v>
      </c>
      <c r="D125" s="372">
        <v>9.36</v>
      </c>
      <c r="E125" s="372">
        <v>10.14</v>
      </c>
      <c r="F125" s="372">
        <f t="shared" si="12"/>
        <v>195.00000000000028</v>
      </c>
      <c r="G125" s="372">
        <f t="shared" si="13"/>
        <v>2340</v>
      </c>
      <c r="H125" s="373">
        <f t="shared" si="14"/>
        <v>8.3333333333333454E-2</v>
      </c>
      <c r="I125" s="372" t="s">
        <v>233</v>
      </c>
      <c r="J125" s="372"/>
      <c r="K125" s="372"/>
      <c r="L125" s="371"/>
      <c r="M125" s="371"/>
      <c r="N125" s="371"/>
    </row>
    <row r="126" spans="1:14" x14ac:dyDescent="0.25">
      <c r="A126" s="371"/>
      <c r="B126" s="370">
        <v>42566</v>
      </c>
      <c r="C126" s="371">
        <v>250</v>
      </c>
      <c r="D126" s="372">
        <v>9.36</v>
      </c>
      <c r="E126" s="372">
        <v>10.92</v>
      </c>
      <c r="F126" s="372">
        <f t="shared" si="12"/>
        <v>390.00000000000011</v>
      </c>
      <c r="G126" s="372">
        <f t="shared" si="13"/>
        <v>2340</v>
      </c>
      <c r="H126" s="373">
        <f t="shared" si="14"/>
        <v>0.16666666666666674</v>
      </c>
      <c r="I126" s="454">
        <v>8.8000000000000007</v>
      </c>
      <c r="J126" s="372"/>
      <c r="K126" s="372"/>
      <c r="L126" s="371"/>
      <c r="M126" s="371"/>
      <c r="N126" s="371"/>
    </row>
    <row r="127" spans="1:14" x14ac:dyDescent="0.25">
      <c r="A127" s="371"/>
      <c r="B127" s="370">
        <v>42570</v>
      </c>
      <c r="C127" s="371">
        <v>250</v>
      </c>
      <c r="D127" s="372">
        <v>9.36</v>
      </c>
      <c r="E127" s="372">
        <v>10.63</v>
      </c>
      <c r="F127" s="372">
        <f t="shared" si="12"/>
        <v>317.50000000000034</v>
      </c>
      <c r="G127" s="372">
        <f t="shared" si="13"/>
        <v>2340</v>
      </c>
      <c r="H127" s="373">
        <f t="shared" si="14"/>
        <v>0.13568376068376084</v>
      </c>
      <c r="I127" s="372"/>
      <c r="J127" s="372"/>
      <c r="K127" s="372"/>
      <c r="L127" s="371"/>
      <c r="M127" s="371"/>
      <c r="N127" s="371"/>
    </row>
    <row r="128" spans="1:14" x14ac:dyDescent="0.25">
      <c r="A128" s="371"/>
      <c r="B128" s="370">
        <v>42577</v>
      </c>
      <c r="C128" s="371">
        <v>0</v>
      </c>
      <c r="D128" s="372"/>
      <c r="E128" s="372"/>
      <c r="F128" s="372">
        <v>311.95</v>
      </c>
      <c r="G128" s="372"/>
      <c r="H128" s="373"/>
      <c r="I128" s="372"/>
      <c r="J128" s="372"/>
      <c r="K128" s="372"/>
      <c r="L128" s="371"/>
      <c r="M128" s="371"/>
    </row>
    <row r="129" spans="1:13" x14ac:dyDescent="0.25">
      <c r="A129" s="371"/>
      <c r="B129" s="370"/>
      <c r="C129" s="371"/>
      <c r="D129" s="372"/>
      <c r="E129" s="372"/>
      <c r="F129" s="372"/>
      <c r="G129" s="372"/>
      <c r="H129" s="373"/>
      <c r="I129" s="372"/>
      <c r="J129" s="372"/>
      <c r="K129" s="372"/>
      <c r="L129" s="371"/>
      <c r="M129" s="371"/>
    </row>
    <row r="130" spans="1:13" x14ac:dyDescent="0.25">
      <c r="A130" s="371"/>
      <c r="B130" s="370"/>
      <c r="C130" s="371"/>
      <c r="D130" s="372"/>
      <c r="E130" s="372"/>
      <c r="F130" s="372"/>
      <c r="G130" s="372"/>
      <c r="H130" s="373"/>
      <c r="I130" s="372"/>
      <c r="J130" s="372"/>
      <c r="K130" s="372"/>
      <c r="L130" s="371"/>
      <c r="M130" s="371"/>
    </row>
  </sheetData>
  <mergeCells count="1">
    <mergeCell ref="P39:Q39"/>
  </mergeCells>
  <conditionalFormatting sqref="F22:F39 H22:H39">
    <cfRule type="expression" dxfId="585" priority="66">
      <formula>F22&gt;0</formula>
    </cfRule>
    <cfRule type="expression" dxfId="58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583" priority="53">
      <formula>F41&gt;0</formula>
    </cfRule>
    <cfRule type="expression" dxfId="582" priority="54">
      <formula>F41&lt;0</formula>
    </cfRule>
  </conditionalFormatting>
  <conditionalFormatting sqref="F41">
    <cfRule type="expression" dxfId="581" priority="57">
      <formula>F41&gt;0</formula>
    </cfRule>
    <cfRule type="expression" dxfId="580" priority="58">
      <formula>F41&lt;0</formula>
    </cfRule>
  </conditionalFormatting>
  <conditionalFormatting sqref="H41">
    <cfRule type="expression" dxfId="579" priority="35">
      <formula>H41&gt;0</formula>
    </cfRule>
    <cfRule type="expression" dxfId="578" priority="36">
      <formula>H41&lt;0</formula>
    </cfRule>
  </conditionalFormatting>
  <conditionalFormatting sqref="F89:F95">
    <cfRule type="expression" dxfId="577" priority="29">
      <formula>F89&gt;0</formula>
    </cfRule>
    <cfRule type="expression" dxfId="576" priority="30">
      <formula>F89&lt;0</formula>
    </cfRule>
  </conditionalFormatting>
  <conditionalFormatting sqref="F96:F110">
    <cfRule type="expression" dxfId="575" priority="25">
      <formula>F96&gt;0</formula>
    </cfRule>
    <cfRule type="expression" dxfId="574" priority="26">
      <formula>F96&lt;0</formula>
    </cfRule>
  </conditionalFormatting>
  <conditionalFormatting sqref="F96:F110">
    <cfRule type="expression" dxfId="573" priority="27">
      <formula>F96&gt;0</formula>
    </cfRule>
    <cfRule type="expression" dxfId="572" priority="28">
      <formula>F96&lt;0</formula>
    </cfRule>
  </conditionalFormatting>
  <conditionalFormatting sqref="H89:H100">
    <cfRule type="expression" dxfId="571" priority="23">
      <formula>H89&gt;0</formula>
    </cfRule>
    <cfRule type="expression" dxfId="570" priority="24">
      <formula>H89&lt;0</formula>
    </cfRule>
  </conditionalFormatting>
  <conditionalFormatting sqref="H101">
    <cfRule type="expression" dxfId="569" priority="21">
      <formula>H101&gt;0</formula>
    </cfRule>
    <cfRule type="expression" dxfId="568" priority="22">
      <formula>H101&lt;0</formula>
    </cfRule>
  </conditionalFormatting>
  <conditionalFormatting sqref="F111:F116">
    <cfRule type="expression" dxfId="567" priority="19">
      <formula>F111&gt;0</formula>
    </cfRule>
    <cfRule type="expression" dxfId="566" priority="20">
      <formula>F111&lt;0</formula>
    </cfRule>
  </conditionalFormatting>
  <conditionalFormatting sqref="H103:H116">
    <cfRule type="expression" dxfId="565" priority="17">
      <formula>H103&gt;0</formula>
    </cfRule>
    <cfRule type="expression" dxfId="564" priority="18">
      <formula>H103&lt;0</formula>
    </cfRule>
  </conditionalFormatting>
  <conditionalFormatting sqref="H102">
    <cfRule type="expression" dxfId="563" priority="15">
      <formula>H102&gt;0</formula>
    </cfRule>
    <cfRule type="expression" dxfId="562" priority="16">
      <formula>H102&lt;0</formula>
    </cfRule>
  </conditionalFormatting>
  <conditionalFormatting sqref="M42">
    <cfRule type="expression" dxfId="561" priority="13">
      <formula>M42&gt;0</formula>
    </cfRule>
    <cfRule type="expression" dxfId="560" priority="14">
      <formula>M42&lt;0</formula>
    </cfRule>
  </conditionalFormatting>
  <conditionalFormatting sqref="Q7">
    <cfRule type="expression" dxfId="559" priority="9">
      <formula>Q7&gt;0</formula>
    </cfRule>
    <cfRule type="expression" dxfId="558" priority="10">
      <formula>Q7&lt;0</formula>
    </cfRule>
  </conditionalFormatting>
  <conditionalFormatting sqref="Q8">
    <cfRule type="expression" dxfId="557" priority="7">
      <formula>Q8&gt;0</formula>
    </cfRule>
    <cfRule type="expression" dxfId="556" priority="8">
      <formula>Q8&lt;0</formula>
    </cfRule>
  </conditionalFormatting>
  <conditionalFormatting sqref="F117:F130 H117:H130">
    <cfRule type="expression" dxfId="555" priority="1">
      <formula>F117&gt;0</formula>
    </cfRule>
    <cfRule type="expression" dxfId="55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50" activePane="bottomLeft" state="frozen"/>
      <selection activeCell="A2" sqref="A2"/>
      <selection pane="bottomLeft" activeCell="H12" sqref="H12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224</v>
      </c>
      <c r="B2" s="489"/>
      <c r="C2" s="4"/>
      <c r="D2" s="3"/>
      <c r="E2" s="3"/>
      <c r="F2" s="3"/>
      <c r="G2" s="489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240</v>
      </c>
      <c r="W2" s="134"/>
    </row>
    <row r="3" spans="1:23" x14ac:dyDescent="0.25">
      <c r="A3" s="22" t="s">
        <v>71</v>
      </c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37.619999999999997</v>
      </c>
      <c r="T3" s="1" t="s">
        <v>241</v>
      </c>
      <c r="W3" s="134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72"/>
      <c r="M4" s="3"/>
      <c r="O4" s="11" t="s">
        <v>66</v>
      </c>
      <c r="Q4" s="54">
        <v>37.619999999999997</v>
      </c>
      <c r="R4" s="507">
        <v>4.3E-3</v>
      </c>
      <c r="T4" s="159">
        <v>42633</v>
      </c>
      <c r="U4" s="1" t="s">
        <v>275</v>
      </c>
      <c r="W4" s="134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333</v>
      </c>
      <c r="U6" t="s">
        <v>469</v>
      </c>
      <c r="W6" s="134"/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468</v>
      </c>
      <c r="W7" s="134"/>
    </row>
    <row r="8" spans="1:23" x14ac:dyDescent="0.25">
      <c r="B8" s="489"/>
      <c r="C8" s="4"/>
      <c r="D8" s="3"/>
      <c r="E8" s="3"/>
      <c r="F8" s="3"/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470</v>
      </c>
      <c r="W8" s="134"/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4"/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M42</f>
        <v>4376.9599999999991</v>
      </c>
      <c r="W10" s="134"/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  <c r="W12" s="134"/>
    </row>
    <row r="13" spans="1:23" x14ac:dyDescent="0.25">
      <c r="F13" s="3"/>
      <c r="G13" s="489"/>
      <c r="H13" s="180"/>
      <c r="I13" s="3"/>
      <c r="J13" s="3"/>
      <c r="K13" s="3"/>
      <c r="L13" s="4"/>
      <c r="M13" s="4"/>
      <c r="W13" s="134"/>
    </row>
    <row r="14" spans="1:23" x14ac:dyDescent="0.25">
      <c r="G14" s="489"/>
      <c r="H14" s="180"/>
      <c r="I14" s="3"/>
      <c r="J14" s="3"/>
      <c r="K14" s="3"/>
      <c r="L14" s="4"/>
      <c r="M14" s="4"/>
      <c r="W14" s="13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90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520</v>
      </c>
      <c r="W23" s="134"/>
    </row>
    <row r="24" spans="1:23" x14ac:dyDescent="0.25">
      <c r="B24" s="153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6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3">
        <v>43021</v>
      </c>
      <c r="C25" s="10">
        <v>0</v>
      </c>
      <c r="D25" s="39"/>
      <c r="E25" s="39"/>
      <c r="F25" s="39">
        <v>752.92</v>
      </c>
      <c r="G25" s="39"/>
      <c r="H25" s="226"/>
      <c r="I25" s="39"/>
      <c r="J25" s="39">
        <v>4376.96</v>
      </c>
      <c r="W25" s="134"/>
    </row>
    <row r="26" spans="1:23" x14ac:dyDescent="0.25">
      <c r="B26" s="153"/>
      <c r="C26" s="10"/>
      <c r="D26" s="39"/>
      <c r="E26" s="39"/>
      <c r="F26" s="39"/>
      <c r="G26" s="39"/>
      <c r="H26" s="226"/>
      <c r="I26" s="39"/>
      <c r="J26" s="39"/>
      <c r="W26" s="134"/>
    </row>
    <row r="27" spans="1:23" x14ac:dyDescent="0.25">
      <c r="B27" s="153"/>
      <c r="C27" s="10"/>
      <c r="D27" s="39"/>
      <c r="E27" s="39"/>
      <c r="F27" s="39"/>
      <c r="G27" s="39"/>
      <c r="H27" s="226"/>
      <c r="I27" s="39"/>
      <c r="J27" s="39"/>
      <c r="W27" s="134"/>
    </row>
    <row r="28" spans="1:23" ht="20.25" thickBot="1" x14ac:dyDescent="0.35">
      <c r="B28" s="153"/>
      <c r="C28" s="10"/>
      <c r="D28" s="39"/>
      <c r="E28" s="39"/>
      <c r="F28" s="39"/>
      <c r="G28" s="39"/>
      <c r="H28" s="226"/>
      <c r="I28" s="39"/>
      <c r="J28" s="39"/>
      <c r="O28" s="681" t="s">
        <v>78</v>
      </c>
      <c r="P28" s="681"/>
      <c r="W28" s="134"/>
    </row>
    <row r="29" spans="1:23" ht="15.75" thickTop="1" x14ac:dyDescent="0.25">
      <c r="B29" s="153"/>
      <c r="C29" s="10"/>
      <c r="D29" s="39"/>
      <c r="E29" s="39"/>
      <c r="F29" s="39"/>
      <c r="G29" s="39"/>
      <c r="H29" s="226"/>
      <c r="I29" s="39"/>
      <c r="J29" s="39"/>
      <c r="O29" s="81">
        <v>1.1000000000000001</v>
      </c>
      <c r="P29" s="81">
        <f>O29*$Q$4</f>
        <v>41.381999999999998</v>
      </c>
      <c r="W29" s="134"/>
    </row>
    <row r="30" spans="1:23" x14ac:dyDescent="0.25">
      <c r="B30" s="153"/>
      <c r="C30" s="10"/>
      <c r="D30" s="39"/>
      <c r="E30" s="39"/>
      <c r="F30" s="39"/>
      <c r="G30" s="39"/>
      <c r="H30" s="226"/>
      <c r="I30" s="39"/>
      <c r="J30" s="39"/>
      <c r="O30" s="81">
        <v>1.0900000000000001</v>
      </c>
      <c r="P30" s="81">
        <f t="shared" ref="P30:P49" si="0">O30*$Q$4</f>
        <v>41.005800000000001</v>
      </c>
      <c r="W30" s="134"/>
    </row>
    <row r="31" spans="1:23" x14ac:dyDescent="0.25">
      <c r="B31" s="153"/>
      <c r="C31" s="10"/>
      <c r="D31" s="39"/>
      <c r="E31" s="39"/>
      <c r="F31" s="39"/>
      <c r="G31" s="39"/>
      <c r="H31" s="226"/>
      <c r="I31" s="39"/>
      <c r="J31" s="39"/>
      <c r="O31" s="81">
        <v>1.08</v>
      </c>
      <c r="P31" s="81">
        <f t="shared" si="0"/>
        <v>40.629599999999996</v>
      </c>
      <c r="W31" s="134"/>
    </row>
    <row r="32" spans="1:23" x14ac:dyDescent="0.25">
      <c r="B32" s="153"/>
      <c r="C32" s="10"/>
      <c r="D32" s="39"/>
      <c r="E32" s="39"/>
      <c r="F32" s="39"/>
      <c r="G32" s="39"/>
      <c r="H32" s="226"/>
      <c r="I32" s="39"/>
      <c r="J32" s="39"/>
      <c r="O32" s="81">
        <v>1.07</v>
      </c>
      <c r="P32" s="81">
        <f t="shared" si="0"/>
        <v>40.253399999999999</v>
      </c>
      <c r="W32" s="134"/>
    </row>
    <row r="33" spans="1:23" x14ac:dyDescent="0.25">
      <c r="B33" s="153"/>
      <c r="C33" s="10"/>
      <c r="D33" s="39"/>
      <c r="E33" s="39"/>
      <c r="F33" s="39"/>
      <c r="G33" s="39"/>
      <c r="H33" s="226"/>
      <c r="I33" s="39"/>
      <c r="J33" s="39"/>
      <c r="O33" s="81">
        <v>1.06</v>
      </c>
      <c r="P33" s="81">
        <f t="shared" si="0"/>
        <v>39.877200000000002</v>
      </c>
      <c r="W33" s="134"/>
    </row>
    <row r="34" spans="1:23" x14ac:dyDescent="0.25">
      <c r="B34" s="153"/>
      <c r="C34" s="10"/>
      <c r="D34" s="39"/>
      <c r="E34" s="39"/>
      <c r="F34" s="39"/>
      <c r="G34" s="39"/>
      <c r="H34" s="226"/>
      <c r="I34" s="39"/>
      <c r="J34" s="39"/>
      <c r="O34" s="81">
        <v>1.05</v>
      </c>
      <c r="P34" s="81">
        <f t="shared" si="0"/>
        <v>39.500999999999998</v>
      </c>
      <c r="W34" s="134"/>
    </row>
    <row r="35" spans="1:23" x14ac:dyDescent="0.25">
      <c r="B35" s="153"/>
      <c r="C35" s="10"/>
      <c r="D35" s="39"/>
      <c r="E35" s="39"/>
      <c r="F35" s="39"/>
      <c r="G35" s="39"/>
      <c r="H35" s="226"/>
      <c r="I35" s="39"/>
      <c r="J35" s="39"/>
      <c r="O35" s="81">
        <v>1.04</v>
      </c>
      <c r="P35" s="81">
        <f t="shared" si="0"/>
        <v>39.1248</v>
      </c>
      <c r="W35" s="134"/>
    </row>
    <row r="36" spans="1:23" x14ac:dyDescent="0.25">
      <c r="B36" s="153"/>
      <c r="C36" s="10"/>
      <c r="D36" s="39"/>
      <c r="E36" s="39"/>
      <c r="F36" s="39"/>
      <c r="G36" s="39"/>
      <c r="H36" s="226"/>
      <c r="I36" s="39"/>
      <c r="J36" s="39"/>
      <c r="O36" s="81">
        <v>1.03</v>
      </c>
      <c r="P36" s="81">
        <f t="shared" si="0"/>
        <v>38.748599999999996</v>
      </c>
      <c r="W36" s="134"/>
    </row>
    <row r="37" spans="1:23" x14ac:dyDescent="0.25">
      <c r="B37" s="153"/>
      <c r="C37" s="10"/>
      <c r="D37" s="39"/>
      <c r="E37" s="39"/>
      <c r="F37" s="39"/>
      <c r="G37" s="39"/>
      <c r="H37" s="226"/>
      <c r="I37" s="39"/>
      <c r="J37" s="39"/>
      <c r="O37" s="81">
        <v>1.02</v>
      </c>
      <c r="P37" s="81">
        <f t="shared" si="0"/>
        <v>38.372399999999999</v>
      </c>
      <c r="W37" s="134"/>
    </row>
    <row r="38" spans="1:23" x14ac:dyDescent="0.25">
      <c r="B38" s="153"/>
      <c r="C38" s="10"/>
      <c r="D38" s="39"/>
      <c r="E38" s="39"/>
      <c r="F38" s="39"/>
      <c r="G38" s="39"/>
      <c r="H38" s="226"/>
      <c r="I38" s="39"/>
      <c r="J38" s="39"/>
      <c r="O38" s="81">
        <v>1.01</v>
      </c>
      <c r="P38" s="81">
        <f t="shared" si="0"/>
        <v>37.996199999999995</v>
      </c>
      <c r="W38" s="134"/>
    </row>
    <row r="39" spans="1:23" x14ac:dyDescent="0.25">
      <c r="B39" s="153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37.619999999999997</v>
      </c>
      <c r="W39" s="134"/>
    </row>
    <row r="40" spans="1:23" x14ac:dyDescent="0.25">
      <c r="O40" s="81">
        <v>0.99</v>
      </c>
      <c r="P40" s="81">
        <f t="shared" si="0"/>
        <v>37.2438</v>
      </c>
      <c r="W40" s="134"/>
    </row>
    <row r="41" spans="1:23" x14ac:dyDescent="0.25">
      <c r="O41" s="81">
        <v>0.98</v>
      </c>
      <c r="P41" s="81">
        <f t="shared" si="0"/>
        <v>36.867599999999996</v>
      </c>
      <c r="W41" s="134"/>
    </row>
    <row r="42" spans="1:23" x14ac:dyDescent="0.25">
      <c r="A42" s="578"/>
      <c r="B42" s="577"/>
      <c r="C42" s="578"/>
      <c r="D42" s="579"/>
      <c r="E42" s="579"/>
      <c r="F42" s="579"/>
      <c r="G42" s="578"/>
      <c r="H42" s="578"/>
      <c r="I42" s="579"/>
      <c r="J42" s="579"/>
      <c r="K42" s="579"/>
      <c r="L42" s="578" t="s">
        <v>65</v>
      </c>
      <c r="M42" s="579">
        <f>M80+K80-F80</f>
        <v>4376.9599999999991</v>
      </c>
      <c r="O42" s="81">
        <v>0.97</v>
      </c>
      <c r="P42" s="81">
        <f t="shared" si="0"/>
        <v>36.491399999999999</v>
      </c>
      <c r="W42" s="134"/>
    </row>
    <row r="43" spans="1:23" x14ac:dyDescent="0.25">
      <c r="A43" s="701" t="s">
        <v>1</v>
      </c>
      <c r="B43" s="720" t="s">
        <v>2</v>
      </c>
      <c r="C43" s="701" t="s">
        <v>4</v>
      </c>
      <c r="D43" s="702" t="s">
        <v>5</v>
      </c>
      <c r="E43" s="702" t="s">
        <v>94</v>
      </c>
      <c r="F43" s="702" t="s">
        <v>60</v>
      </c>
      <c r="G43" s="701" t="s">
        <v>3</v>
      </c>
      <c r="H43" s="701" t="s">
        <v>6</v>
      </c>
      <c r="I43" s="702" t="s">
        <v>7</v>
      </c>
      <c r="J43" s="702" t="s">
        <v>95</v>
      </c>
      <c r="K43" s="702" t="s">
        <v>61</v>
      </c>
      <c r="L43" s="701" t="s">
        <v>37</v>
      </c>
      <c r="M43" s="701" t="s">
        <v>38</v>
      </c>
      <c r="O43" s="81">
        <v>0.96</v>
      </c>
      <c r="P43" s="81">
        <f t="shared" si="0"/>
        <v>36.115199999999994</v>
      </c>
      <c r="W43" s="134"/>
    </row>
    <row r="44" spans="1:23" x14ac:dyDescent="0.25">
      <c r="A44" s="703" t="s">
        <v>224</v>
      </c>
      <c r="B44" s="577">
        <v>42545</v>
      </c>
      <c r="C44" s="578">
        <v>100</v>
      </c>
      <c r="D44" s="579">
        <v>25.25</v>
      </c>
      <c r="E44" s="579">
        <v>0</v>
      </c>
      <c r="F44" s="579">
        <f t="shared" ref="F44:F55" si="1">D44*C44+E44</f>
        <v>2525</v>
      </c>
      <c r="G44" s="577">
        <v>42577</v>
      </c>
      <c r="H44" s="580">
        <v>30</v>
      </c>
      <c r="I44" s="579">
        <v>25.81</v>
      </c>
      <c r="J44" s="579">
        <v>0.02</v>
      </c>
      <c r="K44" s="579">
        <f t="shared" ref="K44:K50" si="2">H44*I44-J44</f>
        <v>774.28</v>
      </c>
      <c r="L44" s="581">
        <v>42613</v>
      </c>
      <c r="M44" s="579">
        <v>90</v>
      </c>
      <c r="O44" s="81">
        <v>0.95</v>
      </c>
      <c r="P44" s="81">
        <f t="shared" si="0"/>
        <v>35.738999999999997</v>
      </c>
      <c r="W44" s="134"/>
    </row>
    <row r="45" spans="1:23" x14ac:dyDescent="0.25">
      <c r="A45" s="704" t="s">
        <v>71</v>
      </c>
      <c r="B45" s="577">
        <v>42580</v>
      </c>
      <c r="C45" s="578">
        <v>30</v>
      </c>
      <c r="D45" s="579">
        <v>23.78</v>
      </c>
      <c r="E45" s="579">
        <v>0</v>
      </c>
      <c r="F45" s="579">
        <f t="shared" si="1"/>
        <v>713.40000000000009</v>
      </c>
      <c r="G45" s="577">
        <v>42597</v>
      </c>
      <c r="H45" s="580">
        <v>70</v>
      </c>
      <c r="I45" s="579">
        <v>22.94</v>
      </c>
      <c r="J45" s="579">
        <v>0.38</v>
      </c>
      <c r="K45" s="579">
        <f t="shared" si="2"/>
        <v>1605.42</v>
      </c>
      <c r="L45" s="581">
        <v>42704</v>
      </c>
      <c r="M45" s="579">
        <v>102</v>
      </c>
      <c r="O45" s="81">
        <v>0.94</v>
      </c>
      <c r="P45" s="81">
        <f t="shared" si="0"/>
        <v>35.362799999999993</v>
      </c>
      <c r="W45" s="134"/>
    </row>
    <row r="46" spans="1:23" x14ac:dyDescent="0.25">
      <c r="A46" s="578"/>
      <c r="B46" s="577">
        <v>42586</v>
      </c>
      <c r="C46" s="578">
        <v>40</v>
      </c>
      <c r="D46" s="579">
        <v>22.65</v>
      </c>
      <c r="E46" s="579">
        <v>0</v>
      </c>
      <c r="F46" s="579">
        <f t="shared" si="1"/>
        <v>906</v>
      </c>
      <c r="G46" s="577">
        <v>42599</v>
      </c>
      <c r="H46" s="580">
        <v>30</v>
      </c>
      <c r="I46" s="579">
        <v>23.48</v>
      </c>
      <c r="J46" s="579">
        <v>0.02</v>
      </c>
      <c r="K46" s="579">
        <f t="shared" si="2"/>
        <v>704.38</v>
      </c>
      <c r="L46" s="578"/>
      <c r="M46" s="578"/>
      <c r="O46" s="81">
        <v>0.93</v>
      </c>
      <c r="P46" s="81">
        <f t="shared" si="0"/>
        <v>34.986600000000003</v>
      </c>
      <c r="W46" s="134"/>
    </row>
    <row r="47" spans="1:23" x14ac:dyDescent="0.25">
      <c r="A47" s="578"/>
      <c r="B47" s="577">
        <v>42586</v>
      </c>
      <c r="C47" s="578">
        <v>60</v>
      </c>
      <c r="D47" s="579">
        <v>22.65</v>
      </c>
      <c r="E47" s="579">
        <v>0</v>
      </c>
      <c r="F47" s="579">
        <f t="shared" si="1"/>
        <v>1359</v>
      </c>
      <c r="G47" s="577">
        <v>42621</v>
      </c>
      <c r="H47" s="580">
        <v>40</v>
      </c>
      <c r="I47" s="579">
        <v>26.28</v>
      </c>
      <c r="J47" s="579">
        <v>0.02</v>
      </c>
      <c r="K47" s="579">
        <f t="shared" si="2"/>
        <v>1051.18</v>
      </c>
      <c r="L47" s="578"/>
      <c r="M47" s="578"/>
      <c r="O47" s="81">
        <v>0.92</v>
      </c>
      <c r="P47" s="81">
        <f t="shared" si="0"/>
        <v>34.610399999999998</v>
      </c>
      <c r="W47" s="134"/>
    </row>
    <row r="48" spans="1:23" x14ac:dyDescent="0.25">
      <c r="A48" s="578"/>
      <c r="B48" s="577">
        <v>42586</v>
      </c>
      <c r="C48" s="578">
        <v>100</v>
      </c>
      <c r="D48" s="579">
        <v>20.92</v>
      </c>
      <c r="E48" s="579">
        <v>-0.5</v>
      </c>
      <c r="F48" s="579">
        <f t="shared" si="1"/>
        <v>2091.5</v>
      </c>
      <c r="G48" s="577">
        <v>42639</v>
      </c>
      <c r="H48" s="580">
        <v>100</v>
      </c>
      <c r="I48" s="579">
        <v>22.82</v>
      </c>
      <c r="J48" s="579">
        <v>0.05</v>
      </c>
      <c r="K48" s="579">
        <f t="shared" si="2"/>
        <v>2281.9499999999998</v>
      </c>
      <c r="L48" s="578"/>
      <c r="M48" s="578"/>
      <c r="O48" s="81">
        <v>0.91</v>
      </c>
      <c r="P48" s="81">
        <f t="shared" si="0"/>
        <v>34.234200000000001</v>
      </c>
      <c r="W48" s="134"/>
    </row>
    <row r="49" spans="1:23" x14ac:dyDescent="0.25">
      <c r="A49" s="578"/>
      <c r="B49" s="577">
        <v>42626</v>
      </c>
      <c r="C49" s="578">
        <v>40</v>
      </c>
      <c r="D49" s="579">
        <v>24.58</v>
      </c>
      <c r="E49" s="579">
        <v>0</v>
      </c>
      <c r="F49" s="579">
        <f t="shared" si="1"/>
        <v>983.19999999999993</v>
      </c>
      <c r="G49" s="577">
        <v>42643</v>
      </c>
      <c r="H49" s="580">
        <v>60</v>
      </c>
      <c r="I49" s="579">
        <v>24.72</v>
      </c>
      <c r="J49" s="579">
        <v>0.03</v>
      </c>
      <c r="K49" s="579">
        <f t="shared" si="2"/>
        <v>1483.1699999999998</v>
      </c>
      <c r="L49" s="578"/>
      <c r="M49" s="578"/>
      <c r="O49" s="81">
        <v>0.9</v>
      </c>
      <c r="P49" s="81">
        <f t="shared" si="0"/>
        <v>33.857999999999997</v>
      </c>
      <c r="W49" s="134"/>
    </row>
    <row r="50" spans="1:23" x14ac:dyDescent="0.25">
      <c r="A50" s="578"/>
      <c r="B50" s="577">
        <v>42639</v>
      </c>
      <c r="C50" s="578">
        <v>100</v>
      </c>
      <c r="D50" s="579">
        <v>22.28</v>
      </c>
      <c r="E50" s="579">
        <v>0</v>
      </c>
      <c r="F50" s="579">
        <f t="shared" si="1"/>
        <v>2228</v>
      </c>
      <c r="G50" s="577">
        <v>42663</v>
      </c>
      <c r="H50" s="580">
        <v>40</v>
      </c>
      <c r="I50" s="579">
        <v>24.78</v>
      </c>
      <c r="J50" s="579">
        <v>0.02</v>
      </c>
      <c r="K50" s="579">
        <f t="shared" si="2"/>
        <v>991.18000000000006</v>
      </c>
      <c r="L50" s="578"/>
      <c r="M50" s="578"/>
      <c r="W50" s="134"/>
    </row>
    <row r="51" spans="1:23" x14ac:dyDescent="0.25">
      <c r="A51" s="578"/>
      <c r="B51" s="577">
        <v>42643</v>
      </c>
      <c r="C51" s="578">
        <v>60</v>
      </c>
      <c r="D51" s="579">
        <v>24.3</v>
      </c>
      <c r="E51" s="579">
        <v>0</v>
      </c>
      <c r="F51" s="579">
        <f t="shared" si="1"/>
        <v>1458</v>
      </c>
      <c r="G51" s="577">
        <v>42675</v>
      </c>
      <c r="H51" s="580">
        <v>100</v>
      </c>
      <c r="I51" s="579">
        <v>24.75</v>
      </c>
      <c r="J51" s="579">
        <v>0.05</v>
      </c>
      <c r="K51" s="579">
        <f>H51*I51-J51</f>
        <v>2474.9499999999998</v>
      </c>
      <c r="L51" s="578"/>
      <c r="M51" s="578"/>
      <c r="W51" s="134"/>
    </row>
    <row r="52" spans="1:23" x14ac:dyDescent="0.25">
      <c r="A52" s="578"/>
      <c r="B52" s="577">
        <v>42655</v>
      </c>
      <c r="C52" s="578">
        <v>100</v>
      </c>
      <c r="D52" s="579">
        <v>22.56</v>
      </c>
      <c r="E52" s="579">
        <v>0</v>
      </c>
      <c r="F52" s="579">
        <f t="shared" si="1"/>
        <v>2256</v>
      </c>
      <c r="G52" s="577">
        <v>42677</v>
      </c>
      <c r="H52" s="580">
        <v>60</v>
      </c>
      <c r="I52" s="579">
        <v>23.16</v>
      </c>
      <c r="J52" s="579">
        <v>0.03</v>
      </c>
      <c r="K52" s="579">
        <f>H52*I52-J52</f>
        <v>1389.57</v>
      </c>
      <c r="L52" s="578"/>
      <c r="M52" s="578"/>
      <c r="W52" s="134"/>
    </row>
    <row r="53" spans="1:23" x14ac:dyDescent="0.25">
      <c r="A53" s="578"/>
      <c r="B53" s="577">
        <v>42674</v>
      </c>
      <c r="C53" s="578">
        <v>40</v>
      </c>
      <c r="D53" s="579">
        <v>24.16</v>
      </c>
      <c r="E53" s="579">
        <v>-0.1</v>
      </c>
      <c r="F53" s="579">
        <f t="shared" si="1"/>
        <v>966.3</v>
      </c>
      <c r="G53" s="577">
        <v>42688</v>
      </c>
      <c r="H53" s="580">
        <v>100</v>
      </c>
      <c r="I53" s="579">
        <v>28</v>
      </c>
      <c r="J53" s="579">
        <v>0.06</v>
      </c>
      <c r="K53" s="579">
        <f>H53*I53-J53</f>
        <v>2799.94</v>
      </c>
      <c r="L53" s="578"/>
      <c r="M53" s="578"/>
      <c r="W53" s="134"/>
    </row>
    <row r="54" spans="1:23" x14ac:dyDescent="0.25">
      <c r="A54" s="578"/>
      <c r="B54" s="577">
        <v>42675</v>
      </c>
      <c r="C54" s="578">
        <v>100</v>
      </c>
      <c r="D54" s="579">
        <v>24.53</v>
      </c>
      <c r="E54" s="579">
        <v>0</v>
      </c>
      <c r="F54" s="579">
        <f>D54*C54+E54</f>
        <v>2453</v>
      </c>
      <c r="G54" s="577">
        <v>42705</v>
      </c>
      <c r="H54" s="580">
        <v>40</v>
      </c>
      <c r="I54" s="579">
        <v>29.58</v>
      </c>
      <c r="J54" s="579">
        <v>0.03</v>
      </c>
      <c r="K54" s="579">
        <f>H54*I54-J54</f>
        <v>1183.1699999999998</v>
      </c>
      <c r="L54" s="578"/>
      <c r="M54" s="578"/>
      <c r="Q54" s="2"/>
      <c r="W54" s="134"/>
    </row>
    <row r="55" spans="1:23" ht="20.25" thickBot="1" x14ac:dyDescent="0.35">
      <c r="A55" s="578"/>
      <c r="B55" s="577">
        <v>42677</v>
      </c>
      <c r="C55" s="578">
        <v>100</v>
      </c>
      <c r="D55" s="579">
        <v>22.38</v>
      </c>
      <c r="E55" s="579">
        <v>0</v>
      </c>
      <c r="F55" s="579">
        <f t="shared" si="1"/>
        <v>2238</v>
      </c>
      <c r="G55" s="577">
        <v>42711</v>
      </c>
      <c r="H55" s="580">
        <v>200</v>
      </c>
      <c r="I55" s="579">
        <v>29.9</v>
      </c>
      <c r="J55" s="579">
        <v>0.13</v>
      </c>
      <c r="K55" s="579">
        <f>H55*I55-J55</f>
        <v>5979.87</v>
      </c>
      <c r="L55" s="578"/>
      <c r="M55" s="578"/>
      <c r="Q55" s="2"/>
      <c r="T55" s="89" t="s">
        <v>112</v>
      </c>
      <c r="W55" s="134"/>
    </row>
    <row r="56" spans="1:23" ht="15.75" thickTop="1" x14ac:dyDescent="0.25">
      <c r="A56" s="578"/>
      <c r="B56" s="577"/>
      <c r="C56" s="578"/>
      <c r="D56" s="579"/>
      <c r="E56" s="579"/>
      <c r="F56" s="579"/>
      <c r="G56" s="577"/>
      <c r="H56" s="580"/>
      <c r="I56" s="579"/>
      <c r="J56" s="579"/>
      <c r="K56" s="579"/>
      <c r="L56" s="578"/>
      <c r="M56" s="578"/>
      <c r="Q56" s="2"/>
      <c r="T56" s="125" t="s">
        <v>97</v>
      </c>
      <c r="U56" s="126">
        <v>29.23</v>
      </c>
      <c r="W56" s="134"/>
    </row>
    <row r="57" spans="1:23" x14ac:dyDescent="0.25">
      <c r="A57" s="578"/>
      <c r="B57" s="577">
        <v>42716</v>
      </c>
      <c r="C57" s="578">
        <v>100</v>
      </c>
      <c r="D57" s="579">
        <v>29.49</v>
      </c>
      <c r="E57" s="579">
        <v>0</v>
      </c>
      <c r="F57" s="579">
        <f>D57*C57+E57</f>
        <v>2949</v>
      </c>
      <c r="G57" s="577">
        <v>42720</v>
      </c>
      <c r="H57" s="580">
        <v>100</v>
      </c>
      <c r="I57" s="579">
        <v>29.36</v>
      </c>
      <c r="J57" s="579">
        <v>0.06</v>
      </c>
      <c r="K57" s="579">
        <f>I57*H57-J57</f>
        <v>2935.94</v>
      </c>
      <c r="L57" s="581"/>
      <c r="M57" s="579"/>
      <c r="Q57" s="2"/>
      <c r="T57" s="91" t="s">
        <v>98</v>
      </c>
      <c r="U57" s="127">
        <v>29.39</v>
      </c>
      <c r="W57" s="134"/>
    </row>
    <row r="58" spans="1:23" x14ac:dyDescent="0.25">
      <c r="A58" s="578"/>
      <c r="B58" s="577">
        <v>42716</v>
      </c>
      <c r="C58" s="578">
        <v>100</v>
      </c>
      <c r="D58" s="579">
        <v>29.08</v>
      </c>
      <c r="E58" s="579">
        <v>0</v>
      </c>
      <c r="F58" s="579">
        <f>D58*C58+E58</f>
        <v>2908</v>
      </c>
      <c r="G58" s="577">
        <v>42724</v>
      </c>
      <c r="H58" s="580">
        <v>100</v>
      </c>
      <c r="I58" s="579">
        <v>28.98</v>
      </c>
      <c r="J58" s="579">
        <v>0.06</v>
      </c>
      <c r="K58" s="579">
        <f>I58*H58-J58</f>
        <v>2897.94</v>
      </c>
      <c r="L58" s="581"/>
      <c r="M58" s="579"/>
      <c r="Q58" s="2"/>
      <c r="T58" s="91" t="s">
        <v>99</v>
      </c>
      <c r="U58" s="127" t="s">
        <v>128</v>
      </c>
      <c r="W58" s="134"/>
    </row>
    <row r="59" spans="1:23" x14ac:dyDescent="0.25">
      <c r="A59" s="578"/>
      <c r="B59" s="577">
        <v>42723</v>
      </c>
      <c r="C59" s="578">
        <v>100</v>
      </c>
      <c r="D59" s="579">
        <v>28.28</v>
      </c>
      <c r="E59" s="579">
        <v>0</v>
      </c>
      <c r="F59" s="579">
        <f>D59*C59+E59</f>
        <v>2828</v>
      </c>
      <c r="G59" s="577">
        <v>42755</v>
      </c>
      <c r="H59" s="580">
        <v>100</v>
      </c>
      <c r="I59" s="579">
        <v>34.28</v>
      </c>
      <c r="J59" s="579">
        <v>7.0000000000000007E-2</v>
      </c>
      <c r="K59" s="579">
        <f>I59*H59-J59</f>
        <v>3427.93</v>
      </c>
      <c r="L59" s="578"/>
      <c r="M59" s="578"/>
      <c r="Q59" s="2"/>
      <c r="T59" s="91" t="s">
        <v>100</v>
      </c>
      <c r="U59" s="127" t="s">
        <v>128</v>
      </c>
      <c r="W59" s="134"/>
    </row>
    <row r="60" spans="1:23" x14ac:dyDescent="0.25">
      <c r="A60" s="578"/>
      <c r="B60" s="577"/>
      <c r="C60" s="578"/>
      <c r="D60" s="579"/>
      <c r="E60" s="579"/>
      <c r="F60" s="579"/>
      <c r="G60" s="577"/>
      <c r="H60" s="580"/>
      <c r="I60" s="579"/>
      <c r="J60" s="579"/>
      <c r="K60" s="579"/>
      <c r="L60" s="578"/>
      <c r="M60" s="578"/>
      <c r="Q60" s="2"/>
      <c r="T60" s="91" t="s">
        <v>101</v>
      </c>
      <c r="U60" s="127">
        <v>33.35</v>
      </c>
      <c r="W60" s="134"/>
    </row>
    <row r="61" spans="1:23" x14ac:dyDescent="0.25">
      <c r="A61" s="578"/>
      <c r="B61" s="577"/>
      <c r="C61" s="578"/>
      <c r="D61" s="579"/>
      <c r="E61" s="579"/>
      <c r="F61" s="579"/>
      <c r="G61" s="577"/>
      <c r="H61" s="580"/>
      <c r="I61" s="579"/>
      <c r="J61" s="579"/>
      <c r="K61" s="579"/>
      <c r="L61" s="578"/>
      <c r="M61" s="578"/>
      <c r="Q61" s="2"/>
      <c r="T61" s="91" t="s">
        <v>102</v>
      </c>
      <c r="U61" s="127">
        <v>0.84249399999999997</v>
      </c>
      <c r="W61" s="134"/>
    </row>
    <row r="62" spans="1:23" x14ac:dyDescent="0.25">
      <c r="A62" s="578"/>
      <c r="B62" s="577">
        <v>42755</v>
      </c>
      <c r="C62" s="578">
        <v>100</v>
      </c>
      <c r="D62" s="579">
        <v>33.58</v>
      </c>
      <c r="E62" s="579">
        <v>0</v>
      </c>
      <c r="F62" s="579">
        <f t="shared" ref="F62:F72" si="3">D62*C62+E62</f>
        <v>3358</v>
      </c>
      <c r="G62" s="577">
        <v>42811</v>
      </c>
      <c r="H62" s="580">
        <v>100</v>
      </c>
      <c r="I62" s="579">
        <v>29.38</v>
      </c>
      <c r="J62" s="579">
        <v>0.06</v>
      </c>
      <c r="K62" s="579">
        <f t="shared" ref="K62:K72" si="4">H62*I62-J62</f>
        <v>2937.94</v>
      </c>
      <c r="L62" s="581">
        <v>42794</v>
      </c>
      <c r="M62" s="579">
        <v>30</v>
      </c>
      <c r="Q62" s="2"/>
      <c r="T62" s="91" t="s">
        <v>121</v>
      </c>
      <c r="U62" s="127" t="s">
        <v>435</v>
      </c>
      <c r="W62" s="134"/>
    </row>
    <row r="63" spans="1:23" x14ac:dyDescent="0.25">
      <c r="A63" s="578"/>
      <c r="B63" s="577">
        <v>42781</v>
      </c>
      <c r="C63" s="578">
        <v>50</v>
      </c>
      <c r="D63" s="579">
        <v>34.65</v>
      </c>
      <c r="E63" s="579">
        <v>0</v>
      </c>
      <c r="F63" s="579">
        <f t="shared" si="3"/>
        <v>1732.5</v>
      </c>
      <c r="G63" s="577">
        <v>42829</v>
      </c>
      <c r="H63" s="580">
        <v>100</v>
      </c>
      <c r="I63" s="579">
        <v>29.02</v>
      </c>
      <c r="J63" s="579">
        <v>0.06</v>
      </c>
      <c r="K63" s="579">
        <f t="shared" si="4"/>
        <v>2901.94</v>
      </c>
      <c r="L63" s="581">
        <v>42887</v>
      </c>
      <c r="M63" s="579">
        <v>75</v>
      </c>
      <c r="Q63" s="2"/>
      <c r="T63" s="91"/>
      <c r="U63" s="127"/>
      <c r="W63" s="134"/>
    </row>
    <row r="64" spans="1:23" x14ac:dyDescent="0.25">
      <c r="A64" s="578"/>
      <c r="B64" s="577">
        <v>42788</v>
      </c>
      <c r="C64" s="578">
        <v>50</v>
      </c>
      <c r="D64" s="579">
        <v>33.24</v>
      </c>
      <c r="E64" s="579">
        <v>0</v>
      </c>
      <c r="F64" s="579">
        <f t="shared" si="3"/>
        <v>1662</v>
      </c>
      <c r="G64" s="577">
        <v>42851</v>
      </c>
      <c r="H64" s="580">
        <v>100</v>
      </c>
      <c r="I64" s="579">
        <v>27.4</v>
      </c>
      <c r="J64" s="579">
        <v>0.06</v>
      </c>
      <c r="K64" s="579">
        <f t="shared" si="4"/>
        <v>2739.94</v>
      </c>
      <c r="L64" s="581">
        <v>42979</v>
      </c>
      <c r="M64" s="579">
        <v>75</v>
      </c>
      <c r="Q64" s="2"/>
      <c r="T64" s="91" t="s">
        <v>104</v>
      </c>
      <c r="U64" s="127" t="s">
        <v>665</v>
      </c>
      <c r="W64" s="134"/>
    </row>
    <row r="65" spans="1:23" x14ac:dyDescent="0.25">
      <c r="A65" s="578"/>
      <c r="B65" s="577">
        <v>42789</v>
      </c>
      <c r="C65" s="578">
        <v>50</v>
      </c>
      <c r="D65" s="579">
        <v>31.68</v>
      </c>
      <c r="E65" s="579">
        <v>0</v>
      </c>
      <c r="F65" s="579">
        <f t="shared" si="3"/>
        <v>1584</v>
      </c>
      <c r="G65" s="577">
        <v>42860</v>
      </c>
      <c r="H65" s="580">
        <v>100</v>
      </c>
      <c r="I65" s="579">
        <v>27.58</v>
      </c>
      <c r="J65" s="579">
        <v>0.06</v>
      </c>
      <c r="K65" s="579">
        <f t="shared" si="4"/>
        <v>2757.94</v>
      </c>
      <c r="L65" s="578"/>
      <c r="M65" s="578"/>
      <c r="Q65" s="2"/>
      <c r="T65" s="91" t="s">
        <v>105</v>
      </c>
      <c r="U65" s="127" t="s">
        <v>487</v>
      </c>
      <c r="W65" s="134"/>
    </row>
    <row r="66" spans="1:23" x14ac:dyDescent="0.25">
      <c r="A66" s="578"/>
      <c r="B66" s="577">
        <v>42810</v>
      </c>
      <c r="C66" s="578">
        <v>100</v>
      </c>
      <c r="D66" s="579">
        <v>28.38</v>
      </c>
      <c r="E66" s="579">
        <v>0</v>
      </c>
      <c r="F66" s="579">
        <f t="shared" si="3"/>
        <v>2838</v>
      </c>
      <c r="G66" s="577">
        <v>42898</v>
      </c>
      <c r="H66" s="580">
        <v>100</v>
      </c>
      <c r="I66" s="579">
        <v>27.68</v>
      </c>
      <c r="J66" s="579">
        <v>0.06</v>
      </c>
      <c r="K66" s="579">
        <f t="shared" si="4"/>
        <v>2767.94</v>
      </c>
      <c r="L66" s="578"/>
      <c r="M66" s="578"/>
      <c r="Q66" s="2"/>
      <c r="T66" s="91" t="s">
        <v>106</v>
      </c>
      <c r="U66" s="128">
        <v>3892969</v>
      </c>
      <c r="W66" s="134"/>
    </row>
    <row r="67" spans="1:23" x14ac:dyDescent="0.25">
      <c r="A67" s="578"/>
      <c r="B67" s="577">
        <v>42828</v>
      </c>
      <c r="C67" s="578">
        <v>100</v>
      </c>
      <c r="D67" s="579">
        <v>28.36</v>
      </c>
      <c r="E67" s="579">
        <v>0</v>
      </c>
      <c r="F67" s="579">
        <f t="shared" si="3"/>
        <v>2836</v>
      </c>
      <c r="G67" s="577">
        <v>42936</v>
      </c>
      <c r="H67" s="580">
        <v>100</v>
      </c>
      <c r="I67" s="579">
        <v>31.14</v>
      </c>
      <c r="J67" s="579">
        <v>0.56999999999999995</v>
      </c>
      <c r="K67" s="579">
        <f t="shared" si="4"/>
        <v>3113.43</v>
      </c>
      <c r="L67" s="578"/>
      <c r="M67" s="578"/>
      <c r="T67" s="91" t="s">
        <v>109</v>
      </c>
      <c r="U67" s="128">
        <v>5373180</v>
      </c>
      <c r="W67" s="134"/>
    </row>
    <row r="68" spans="1:23" x14ac:dyDescent="0.25">
      <c r="A68" s="578"/>
      <c r="B68" s="577">
        <v>42846</v>
      </c>
      <c r="C68" s="578">
        <v>100</v>
      </c>
      <c r="D68" s="579">
        <v>26</v>
      </c>
      <c r="E68" s="579">
        <v>0</v>
      </c>
      <c r="F68" s="579">
        <f t="shared" si="3"/>
        <v>2600</v>
      </c>
      <c r="G68" s="577">
        <v>42950</v>
      </c>
      <c r="H68" s="580">
        <v>50</v>
      </c>
      <c r="I68" s="579">
        <v>30.38</v>
      </c>
      <c r="J68" s="579">
        <v>0.04</v>
      </c>
      <c r="K68" s="579">
        <f t="shared" si="4"/>
        <v>1518.96</v>
      </c>
      <c r="L68" s="578"/>
      <c r="M68" s="578"/>
      <c r="T68" s="91" t="s">
        <v>107</v>
      </c>
      <c r="U68" s="127" t="s">
        <v>666</v>
      </c>
      <c r="W68" s="134"/>
    </row>
    <row r="69" spans="1:23" x14ac:dyDescent="0.25">
      <c r="A69" s="578"/>
      <c r="B69" s="577">
        <v>42853</v>
      </c>
      <c r="C69" s="578">
        <v>100</v>
      </c>
      <c r="D69" s="579">
        <v>26.75</v>
      </c>
      <c r="E69" s="579">
        <v>-0.21</v>
      </c>
      <c r="F69" s="579">
        <f t="shared" si="3"/>
        <v>2674.79</v>
      </c>
      <c r="G69" s="577">
        <v>42951</v>
      </c>
      <c r="H69" s="580">
        <v>50</v>
      </c>
      <c r="I69" s="579">
        <v>31.38</v>
      </c>
      <c r="J69" s="579">
        <v>0.04</v>
      </c>
      <c r="K69" s="579">
        <f t="shared" si="4"/>
        <v>1568.96</v>
      </c>
      <c r="L69" s="578"/>
      <c r="M69" s="578"/>
      <c r="T69" s="91" t="s">
        <v>110</v>
      </c>
      <c r="U69" s="127" t="s">
        <v>128</v>
      </c>
      <c r="W69" s="134"/>
    </row>
    <row r="70" spans="1:23" x14ac:dyDescent="0.25">
      <c r="A70" s="578"/>
      <c r="B70" s="577">
        <v>42888</v>
      </c>
      <c r="C70" s="578">
        <v>100</v>
      </c>
      <c r="D70" s="579">
        <v>26.2</v>
      </c>
      <c r="E70" s="579">
        <v>0</v>
      </c>
      <c r="F70" s="579">
        <f t="shared" si="3"/>
        <v>2620</v>
      </c>
      <c r="G70" s="577">
        <v>42984</v>
      </c>
      <c r="H70" s="580">
        <v>100</v>
      </c>
      <c r="I70" s="579">
        <v>29.98</v>
      </c>
      <c r="J70" s="579">
        <v>7.0000000000000007E-2</v>
      </c>
      <c r="K70" s="579">
        <f t="shared" si="4"/>
        <v>2997.93</v>
      </c>
      <c r="L70" s="577"/>
      <c r="M70" s="578"/>
      <c r="T70" s="91" t="s">
        <v>111</v>
      </c>
      <c r="U70" s="127">
        <v>-1.19</v>
      </c>
    </row>
    <row r="71" spans="1:23" x14ac:dyDescent="0.25">
      <c r="A71" s="578"/>
      <c r="B71" s="577">
        <v>42940</v>
      </c>
      <c r="C71" s="578">
        <v>100</v>
      </c>
      <c r="D71" s="579">
        <v>30.29</v>
      </c>
      <c r="E71" s="579">
        <v>0</v>
      </c>
      <c r="F71" s="579">
        <f t="shared" si="3"/>
        <v>3029</v>
      </c>
      <c r="G71" s="577">
        <v>42984</v>
      </c>
      <c r="H71" s="580">
        <v>50</v>
      </c>
      <c r="I71" s="579">
        <v>30.78</v>
      </c>
      <c r="J71" s="579">
        <v>0.04</v>
      </c>
      <c r="K71" s="579">
        <f t="shared" si="4"/>
        <v>1538.96</v>
      </c>
      <c r="L71" s="578"/>
      <c r="M71" s="578"/>
      <c r="T71" s="91" t="s">
        <v>108</v>
      </c>
      <c r="U71" s="127" t="s">
        <v>569</v>
      </c>
    </row>
    <row r="72" spans="1:23" x14ac:dyDescent="0.25">
      <c r="A72" s="578"/>
      <c r="B72" s="577">
        <v>42942</v>
      </c>
      <c r="C72" s="578">
        <v>50</v>
      </c>
      <c r="D72" s="579">
        <v>28.79</v>
      </c>
      <c r="E72" s="579">
        <v>0</v>
      </c>
      <c r="F72" s="579">
        <f t="shared" si="3"/>
        <v>1439.5</v>
      </c>
      <c r="G72" s="577">
        <v>42984</v>
      </c>
      <c r="H72" s="580">
        <v>50</v>
      </c>
      <c r="I72" s="579">
        <v>31.28</v>
      </c>
      <c r="J72" s="579">
        <v>0.04</v>
      </c>
      <c r="K72" s="579">
        <f t="shared" si="4"/>
        <v>1563.96</v>
      </c>
      <c r="L72" s="578"/>
      <c r="M72" s="578"/>
    </row>
    <row r="73" spans="1:23" x14ac:dyDescent="0.25">
      <c r="A73" s="578"/>
      <c r="B73" s="577"/>
      <c r="C73" s="578"/>
      <c r="D73" s="579"/>
      <c r="E73" s="579"/>
      <c r="F73" s="579"/>
      <c r="G73" s="578"/>
      <c r="H73" s="578"/>
      <c r="I73" s="579"/>
      <c r="J73" s="579"/>
      <c r="K73" s="579"/>
      <c r="L73" s="578"/>
      <c r="M73" s="578"/>
    </row>
    <row r="74" spans="1:23" x14ac:dyDescent="0.25">
      <c r="A74" s="578"/>
      <c r="B74" s="488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88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78"/>
      <c r="M74" s="578"/>
    </row>
    <row r="75" spans="1:23" x14ac:dyDescent="0.25">
      <c r="A75" s="578"/>
      <c r="B75" s="489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89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78"/>
      <c r="M75" s="578"/>
    </row>
    <row r="76" spans="1:23" x14ac:dyDescent="0.25">
      <c r="A76" s="578"/>
      <c r="B76" s="577"/>
      <c r="C76" s="578"/>
      <c r="D76" s="579"/>
      <c r="E76" s="579"/>
      <c r="F76" s="579"/>
      <c r="G76" s="577"/>
      <c r="H76" s="580"/>
      <c r="I76" s="579"/>
      <c r="J76" s="579"/>
      <c r="K76" s="579"/>
      <c r="L76" s="578"/>
      <c r="M76" s="578"/>
    </row>
    <row r="77" spans="1:23" x14ac:dyDescent="0.25">
      <c r="A77" s="578"/>
      <c r="B77" s="577"/>
      <c r="C77" s="578"/>
      <c r="D77" s="579"/>
      <c r="E77" s="579"/>
      <c r="F77" s="579"/>
      <c r="G77" s="577"/>
      <c r="H77" s="580"/>
      <c r="I77" s="579"/>
      <c r="J77" s="579"/>
      <c r="K77" s="579"/>
      <c r="L77" s="578"/>
      <c r="M77" s="578"/>
      <c r="S77" t="s">
        <v>227</v>
      </c>
    </row>
    <row r="78" spans="1:23" x14ac:dyDescent="0.25">
      <c r="A78" s="578"/>
      <c r="B78" s="577"/>
      <c r="C78" s="578"/>
      <c r="D78" s="579"/>
      <c r="E78" s="579"/>
      <c r="F78" s="579"/>
      <c r="G78" s="577"/>
      <c r="H78" s="580"/>
      <c r="I78" s="579"/>
      <c r="J78" s="579"/>
      <c r="K78" s="579"/>
      <c r="L78" s="578"/>
      <c r="M78" s="578"/>
    </row>
    <row r="79" spans="1:23" x14ac:dyDescent="0.25">
      <c r="A79" s="578"/>
      <c r="B79" s="577"/>
      <c r="C79" s="578"/>
      <c r="D79" s="579"/>
      <c r="E79" s="579"/>
      <c r="F79" s="579"/>
      <c r="G79" s="577"/>
      <c r="H79" s="578"/>
      <c r="I79" s="579"/>
      <c r="J79" s="579"/>
      <c r="K79" s="579"/>
      <c r="L79" s="578"/>
      <c r="M79" s="578"/>
    </row>
    <row r="80" spans="1:23" x14ac:dyDescent="0.25">
      <c r="A80" s="705" t="s">
        <v>81</v>
      </c>
      <c r="B80" s="721"/>
      <c r="C80" s="706">
        <f>SUM(C44:C79)</f>
        <v>2220</v>
      </c>
      <c r="D80" s="707"/>
      <c r="E80" s="707"/>
      <c r="F80" s="707">
        <f>SUM(F44:F79)</f>
        <v>59686.19</v>
      </c>
      <c r="G80" s="706"/>
      <c r="H80" s="708">
        <f>SUM(H44:H79)</f>
        <v>2220</v>
      </c>
      <c r="I80" s="707"/>
      <c r="J80" s="707"/>
      <c r="K80" s="707">
        <f>SUM(K44:K79)</f>
        <v>63691.15</v>
      </c>
      <c r="L80" s="706"/>
      <c r="M80" s="707">
        <f>SUM(M44:M79)</f>
        <v>372</v>
      </c>
    </row>
    <row r="81" spans="1:13" ht="15.75" thickBot="1" x14ac:dyDescent="0.3">
      <c r="A81" s="709" t="s">
        <v>194</v>
      </c>
      <c r="B81" s="722"/>
      <c r="C81" s="710">
        <f>SumByColor($A$19,C44:C79)</f>
        <v>50</v>
      </c>
      <c r="D81" s="710"/>
      <c r="E81" s="710"/>
      <c r="F81" s="711">
        <f>SumByColor($A$19,F44:F79)</f>
        <v>1535</v>
      </c>
      <c r="G81" s="710"/>
      <c r="H81" s="710">
        <f>SumByColor($A$19,H44:H79)</f>
        <v>50</v>
      </c>
      <c r="I81" s="710"/>
      <c r="J81" s="710"/>
      <c r="K81" s="711">
        <f>SumByColor($A$19,K44:K79)</f>
        <v>1634</v>
      </c>
      <c r="L81" s="710"/>
      <c r="M81" s="711">
        <f>SumByColor($A$19,M44:M79)</f>
        <v>0</v>
      </c>
    </row>
    <row r="88" spans="1:13" x14ac:dyDescent="0.25">
      <c r="B88" s="492" t="s">
        <v>113</v>
      </c>
      <c r="C88" s="186" t="s">
        <v>146</v>
      </c>
      <c r="D88" s="187" t="s">
        <v>145</v>
      </c>
      <c r="E88" s="189" t="s">
        <v>147</v>
      </c>
      <c r="F88" s="189" t="s">
        <v>65</v>
      </c>
      <c r="G88" s="224" t="s">
        <v>151</v>
      </c>
      <c r="H88" s="224" t="s">
        <v>88</v>
      </c>
      <c r="I88" s="224" t="s">
        <v>154</v>
      </c>
      <c r="J88" s="224" t="s">
        <v>520</v>
      </c>
    </row>
    <row r="89" spans="1:13" x14ac:dyDescent="0.25">
      <c r="B89" s="635"/>
      <c r="C89" s="371"/>
      <c r="D89" s="372"/>
      <c r="E89" s="372"/>
      <c r="F89" s="372"/>
      <c r="G89" s="371"/>
      <c r="H89" s="371"/>
      <c r="I89" s="372"/>
      <c r="J89" s="372"/>
    </row>
    <row r="90" spans="1:13" x14ac:dyDescent="0.25">
      <c r="B90" s="635">
        <v>42545</v>
      </c>
      <c r="C90" s="371">
        <v>100</v>
      </c>
      <c r="D90" s="372">
        <v>25.25</v>
      </c>
      <c r="E90" s="372">
        <v>25.43</v>
      </c>
      <c r="F90" s="372">
        <f t="shared" ref="F90:F151" si="5">C90*(E90-D90)</f>
        <v>17.999999999999972</v>
      </c>
      <c r="G90" s="372">
        <f t="shared" ref="G90:G151" si="6">D90*C90</f>
        <v>2525</v>
      </c>
      <c r="H90" s="373">
        <f t="shared" ref="H90:H151" si="7">(E90-D90)/D90</f>
        <v>7.1287128712871177E-3</v>
      </c>
      <c r="I90" s="372"/>
      <c r="J90" s="372"/>
    </row>
    <row r="91" spans="1:13" x14ac:dyDescent="0.25">
      <c r="B91" s="635">
        <v>42548</v>
      </c>
      <c r="C91" s="371">
        <v>100</v>
      </c>
      <c r="D91" s="372">
        <v>25.25</v>
      </c>
      <c r="E91" s="372">
        <v>23.48</v>
      </c>
      <c r="F91" s="372">
        <f t="shared" si="5"/>
        <v>-176.99999999999994</v>
      </c>
      <c r="G91" s="372">
        <f t="shared" si="6"/>
        <v>2525</v>
      </c>
      <c r="H91" s="373">
        <f t="shared" si="7"/>
        <v>-7.0099009900990078E-2</v>
      </c>
      <c r="I91" s="372"/>
      <c r="J91" s="372"/>
    </row>
    <row r="92" spans="1:13" x14ac:dyDescent="0.25">
      <c r="B92" s="635">
        <v>42549</v>
      </c>
      <c r="C92" s="371">
        <v>100</v>
      </c>
      <c r="D92" s="372">
        <v>25.25</v>
      </c>
      <c r="E92" s="372">
        <v>24.06</v>
      </c>
      <c r="F92" s="372">
        <f t="shared" si="5"/>
        <v>-119.00000000000013</v>
      </c>
      <c r="G92" s="372">
        <f t="shared" si="6"/>
        <v>2525</v>
      </c>
      <c r="H92" s="373">
        <f t="shared" si="7"/>
        <v>-4.7128712871287178E-2</v>
      </c>
      <c r="I92" s="372"/>
      <c r="J92" s="372"/>
    </row>
    <row r="93" spans="1:13" x14ac:dyDescent="0.25">
      <c r="B93" s="635">
        <v>42556</v>
      </c>
      <c r="C93" s="371">
        <v>100</v>
      </c>
      <c r="D93" s="372">
        <v>25.25</v>
      </c>
      <c r="E93" s="372">
        <v>23.54</v>
      </c>
      <c r="F93" s="372">
        <f t="shared" si="5"/>
        <v>-171.00000000000009</v>
      </c>
      <c r="G93" s="372">
        <f t="shared" si="6"/>
        <v>2525</v>
      </c>
      <c r="H93" s="373">
        <f t="shared" si="7"/>
        <v>-6.7722772277227755E-2</v>
      </c>
      <c r="I93" s="372"/>
      <c r="J93" s="372"/>
    </row>
    <row r="94" spans="1:13" x14ac:dyDescent="0.25">
      <c r="B94" s="635">
        <v>42557</v>
      </c>
      <c r="C94" s="371">
        <v>100</v>
      </c>
      <c r="D94" s="372">
        <v>25.25</v>
      </c>
      <c r="E94" s="372">
        <v>23.75</v>
      </c>
      <c r="F94" s="372">
        <f t="shared" si="5"/>
        <v>-150</v>
      </c>
      <c r="G94" s="372">
        <f t="shared" si="6"/>
        <v>2525</v>
      </c>
      <c r="H94" s="373">
        <f t="shared" si="7"/>
        <v>-5.9405940594059403E-2</v>
      </c>
      <c r="I94" s="372"/>
      <c r="J94" s="372"/>
    </row>
    <row r="95" spans="1:13" x14ac:dyDescent="0.25">
      <c r="B95" s="635">
        <v>42559</v>
      </c>
      <c r="C95" s="371">
        <v>100</v>
      </c>
      <c r="D95" s="372">
        <v>25.25</v>
      </c>
      <c r="E95" s="372">
        <v>24.86</v>
      </c>
      <c r="F95" s="372">
        <f t="shared" si="5"/>
        <v>-39.000000000000057</v>
      </c>
      <c r="G95" s="372">
        <f t="shared" si="6"/>
        <v>2525</v>
      </c>
      <c r="H95" s="373">
        <f t="shared" si="7"/>
        <v>-1.5445544554455468E-2</v>
      </c>
      <c r="I95" s="372"/>
      <c r="J95" s="372"/>
    </row>
    <row r="96" spans="1:13" x14ac:dyDescent="0.25">
      <c r="B96" s="635">
        <v>42562</v>
      </c>
      <c r="C96" s="371">
        <v>100</v>
      </c>
      <c r="D96" s="372">
        <v>25.25</v>
      </c>
      <c r="E96" s="372">
        <v>24.67</v>
      </c>
      <c r="F96" s="372">
        <f t="shared" si="5"/>
        <v>-57.999999999999829</v>
      </c>
      <c r="G96" s="372">
        <f t="shared" si="6"/>
        <v>2525</v>
      </c>
      <c r="H96" s="373">
        <f t="shared" si="7"/>
        <v>-2.2970297029702904E-2</v>
      </c>
      <c r="I96" s="372"/>
      <c r="J96" s="372"/>
    </row>
    <row r="97" spans="2:10" x14ac:dyDescent="0.25">
      <c r="B97" s="635">
        <v>42563</v>
      </c>
      <c r="C97" s="371">
        <v>100</v>
      </c>
      <c r="D97" s="372">
        <v>25.25</v>
      </c>
      <c r="E97" s="372">
        <v>26.03</v>
      </c>
      <c r="F97" s="372">
        <f t="shared" si="5"/>
        <v>78.000000000000114</v>
      </c>
      <c r="G97" s="372">
        <f t="shared" si="6"/>
        <v>2525</v>
      </c>
      <c r="H97" s="373">
        <f t="shared" si="7"/>
        <v>3.0891089108910936E-2</v>
      </c>
      <c r="I97" s="372"/>
      <c r="J97" s="372"/>
    </row>
    <row r="98" spans="2:10" x14ac:dyDescent="0.25">
      <c r="B98" s="635">
        <v>42569</v>
      </c>
      <c r="C98" s="371">
        <v>100</v>
      </c>
      <c r="D98" s="372">
        <v>25.25</v>
      </c>
      <c r="E98" s="372">
        <v>27.69</v>
      </c>
      <c r="F98" s="372">
        <f t="shared" si="5"/>
        <v>244.00000000000011</v>
      </c>
      <c r="G98" s="372">
        <f t="shared" si="6"/>
        <v>2525</v>
      </c>
      <c r="H98" s="373">
        <f t="shared" si="7"/>
        <v>9.6633663366336678E-2</v>
      </c>
      <c r="I98" s="454">
        <v>23</v>
      </c>
      <c r="J98" s="372"/>
    </row>
    <row r="99" spans="2:10" x14ac:dyDescent="0.25">
      <c r="B99" s="635">
        <v>42570</v>
      </c>
      <c r="C99" s="371">
        <v>100</v>
      </c>
      <c r="D99" s="372">
        <v>25.25</v>
      </c>
      <c r="E99" s="372">
        <v>26.55</v>
      </c>
      <c r="F99" s="372">
        <f t="shared" si="5"/>
        <v>130.00000000000006</v>
      </c>
      <c r="G99" s="372">
        <f t="shared" si="6"/>
        <v>2525</v>
      </c>
      <c r="H99" s="373">
        <f t="shared" si="7"/>
        <v>5.148514851485151E-2</v>
      </c>
      <c r="I99" s="372"/>
      <c r="J99" s="372"/>
    </row>
    <row r="100" spans="2:10" x14ac:dyDescent="0.25">
      <c r="B100" s="635">
        <v>42571</v>
      </c>
      <c r="C100" s="371">
        <v>100</v>
      </c>
      <c r="D100" s="372">
        <v>25.25</v>
      </c>
      <c r="E100" s="372">
        <v>26.61</v>
      </c>
      <c r="F100" s="372">
        <f t="shared" si="5"/>
        <v>135.99999999999994</v>
      </c>
      <c r="G100" s="372">
        <f t="shared" si="6"/>
        <v>2525</v>
      </c>
      <c r="H100" s="373">
        <f t="shared" si="7"/>
        <v>5.386138613861384E-2</v>
      </c>
      <c r="I100" s="372"/>
      <c r="J100" s="372"/>
    </row>
    <row r="101" spans="2:10" x14ac:dyDescent="0.25">
      <c r="B101" s="635">
        <v>42572</v>
      </c>
      <c r="C101" s="371">
        <v>100</v>
      </c>
      <c r="D101" s="372">
        <v>25.25</v>
      </c>
      <c r="E101" s="372">
        <v>26.29</v>
      </c>
      <c r="F101" s="372">
        <f t="shared" si="5"/>
        <v>103.99999999999991</v>
      </c>
      <c r="G101" s="372">
        <f t="shared" si="6"/>
        <v>2525</v>
      </c>
      <c r="H101" s="373">
        <f t="shared" si="7"/>
        <v>4.1188118811881155E-2</v>
      </c>
      <c r="I101" s="372"/>
      <c r="J101" s="372"/>
    </row>
    <row r="102" spans="2:10" x14ac:dyDescent="0.25">
      <c r="B102" s="635">
        <v>42575</v>
      </c>
      <c r="C102" s="371">
        <v>100</v>
      </c>
      <c r="D102" s="372">
        <v>25.25</v>
      </c>
      <c r="E102" s="372">
        <v>25.18</v>
      </c>
      <c r="F102" s="372">
        <f t="shared" si="5"/>
        <v>-7.0000000000000284</v>
      </c>
      <c r="G102" s="372">
        <f t="shared" si="6"/>
        <v>2525</v>
      </c>
      <c r="H102" s="373">
        <f t="shared" si="7"/>
        <v>-2.7722772277227834E-3</v>
      </c>
      <c r="I102" s="372"/>
      <c r="J102" s="372"/>
    </row>
    <row r="103" spans="2:10" x14ac:dyDescent="0.25">
      <c r="B103" s="635">
        <v>42576</v>
      </c>
      <c r="C103" s="371">
        <v>100</v>
      </c>
      <c r="D103" s="372">
        <v>25.25</v>
      </c>
      <c r="E103" s="372">
        <v>25.33</v>
      </c>
      <c r="F103" s="372">
        <f t="shared" si="5"/>
        <v>7.9999999999998295</v>
      </c>
      <c r="G103" s="372">
        <f t="shared" si="6"/>
        <v>2525</v>
      </c>
      <c r="H103" s="373">
        <f t="shared" si="7"/>
        <v>3.1683168316831009E-3</v>
      </c>
      <c r="I103" s="372"/>
      <c r="J103" s="372"/>
    </row>
    <row r="104" spans="2:10" x14ac:dyDescent="0.25">
      <c r="B104" s="635">
        <v>42577</v>
      </c>
      <c r="C104" s="371">
        <v>70</v>
      </c>
      <c r="D104" s="372">
        <v>25.010300000000001</v>
      </c>
      <c r="E104" s="372">
        <v>25.8</v>
      </c>
      <c r="F104" s="372">
        <f t="shared" si="5"/>
        <v>55.278999999999989</v>
      </c>
      <c r="G104" s="372">
        <f t="shared" si="6"/>
        <v>1750.721</v>
      </c>
      <c r="H104" s="373">
        <f t="shared" si="7"/>
        <v>3.1574991103665281E-2</v>
      </c>
      <c r="I104" s="372"/>
      <c r="J104" s="372"/>
    </row>
    <row r="105" spans="2:10" x14ac:dyDescent="0.25">
      <c r="B105" s="635">
        <v>42580</v>
      </c>
      <c r="C105" s="371">
        <v>100</v>
      </c>
      <c r="D105" s="372">
        <v>24.641200000000001</v>
      </c>
      <c r="E105" s="372">
        <v>24.68</v>
      </c>
      <c r="F105" s="372">
        <f t="shared" si="5"/>
        <v>3.8799999999998391</v>
      </c>
      <c r="G105" s="372">
        <f t="shared" si="6"/>
        <v>2464.1200000000003</v>
      </c>
      <c r="H105" s="373">
        <f t="shared" si="7"/>
        <v>1.5745986396765738E-3</v>
      </c>
      <c r="I105" s="372"/>
      <c r="J105" s="372"/>
    </row>
    <row r="106" spans="2:10" x14ac:dyDescent="0.25">
      <c r="B106" s="635">
        <v>42585</v>
      </c>
      <c r="C106" s="371">
        <v>100</v>
      </c>
      <c r="D106" s="372">
        <v>24.641200000000001</v>
      </c>
      <c r="E106" s="372">
        <v>24.49</v>
      </c>
      <c r="F106" s="372">
        <f t="shared" si="5"/>
        <v>-15.120000000000289</v>
      </c>
      <c r="G106" s="372">
        <f t="shared" si="6"/>
        <v>2464.1200000000003</v>
      </c>
      <c r="H106" s="373">
        <f t="shared" si="7"/>
        <v>-6.1360648020389787E-3</v>
      </c>
      <c r="I106" s="372"/>
      <c r="J106" s="372"/>
    </row>
    <row r="107" spans="2:10" x14ac:dyDescent="0.25">
      <c r="B107" s="635">
        <v>42586</v>
      </c>
      <c r="C107" s="371">
        <v>200</v>
      </c>
      <c r="D107" s="372">
        <v>23.6431</v>
      </c>
      <c r="E107" s="372">
        <v>21.43</v>
      </c>
      <c r="F107" s="372">
        <f t="shared" si="5"/>
        <v>-442.62000000000012</v>
      </c>
      <c r="G107" s="372">
        <f t="shared" si="6"/>
        <v>4728.62</v>
      </c>
      <c r="H107" s="373">
        <f t="shared" si="7"/>
        <v>-9.360447657033133E-2</v>
      </c>
      <c r="I107" s="372"/>
      <c r="J107" s="372"/>
    </row>
    <row r="108" spans="2:10" x14ac:dyDescent="0.25">
      <c r="B108" s="635">
        <v>42586</v>
      </c>
      <c r="C108" s="371">
        <v>300</v>
      </c>
      <c r="D108" s="372">
        <v>22.735399999999998</v>
      </c>
      <c r="E108" s="372">
        <v>21.43</v>
      </c>
      <c r="F108" s="372">
        <f t="shared" si="5"/>
        <v>-391.61999999999966</v>
      </c>
      <c r="G108" s="372">
        <f t="shared" si="6"/>
        <v>6820.62</v>
      </c>
      <c r="H108" s="373">
        <f t="shared" si="7"/>
        <v>-5.7417067656605945E-2</v>
      </c>
      <c r="I108" s="372"/>
      <c r="J108" s="372"/>
    </row>
    <row r="109" spans="2:10" x14ac:dyDescent="0.25">
      <c r="B109" s="635">
        <v>42591</v>
      </c>
      <c r="C109" s="371">
        <v>300</v>
      </c>
      <c r="D109" s="372">
        <v>22.735399999999998</v>
      </c>
      <c r="E109" s="372">
        <v>22.12</v>
      </c>
      <c r="F109" s="372">
        <f t="shared" si="5"/>
        <v>-184.61999999999927</v>
      </c>
      <c r="G109" s="372">
        <f t="shared" si="6"/>
        <v>6820.62</v>
      </c>
      <c r="H109" s="373">
        <f t="shared" si="7"/>
        <v>-2.7067920511624936E-2</v>
      </c>
      <c r="I109" s="372"/>
      <c r="J109" s="372"/>
    </row>
    <row r="110" spans="2:10" x14ac:dyDescent="0.25">
      <c r="B110" s="635">
        <v>42593</v>
      </c>
      <c r="C110" s="371">
        <v>300</v>
      </c>
      <c r="D110" s="372">
        <v>22.735399999999998</v>
      </c>
      <c r="E110" s="372">
        <v>21.57</v>
      </c>
      <c r="F110" s="372">
        <f t="shared" si="5"/>
        <v>-349.61999999999944</v>
      </c>
      <c r="G110" s="372">
        <f t="shared" si="6"/>
        <v>6820.62</v>
      </c>
      <c r="H110" s="373">
        <f t="shared" si="7"/>
        <v>-5.1259269685160515E-2</v>
      </c>
      <c r="I110" s="372"/>
      <c r="J110" s="372"/>
    </row>
    <row r="111" spans="2:10" x14ac:dyDescent="0.25">
      <c r="B111" s="635">
        <v>42597</v>
      </c>
      <c r="C111" s="371">
        <v>230</v>
      </c>
      <c r="D111" s="372">
        <v>22.674800000000001</v>
      </c>
      <c r="E111" s="372">
        <v>23.2</v>
      </c>
      <c r="F111" s="372">
        <f t="shared" si="5"/>
        <v>120.79599999999957</v>
      </c>
      <c r="G111" s="372">
        <f t="shared" si="6"/>
        <v>5215.2040000000006</v>
      </c>
      <c r="H111" s="373">
        <f t="shared" si="7"/>
        <v>2.3162277065288252E-2</v>
      </c>
      <c r="I111" s="372"/>
      <c r="J111" s="372"/>
    </row>
    <row r="112" spans="2:10" x14ac:dyDescent="0.25">
      <c r="B112" s="635">
        <v>42599</v>
      </c>
      <c r="C112" s="371">
        <v>200</v>
      </c>
      <c r="D112" s="372">
        <v>22.554099999999998</v>
      </c>
      <c r="E112" s="372">
        <v>23.31</v>
      </c>
      <c r="F112" s="372">
        <f t="shared" si="5"/>
        <v>151.18000000000009</v>
      </c>
      <c r="G112" s="372">
        <f t="shared" si="6"/>
        <v>4510.82</v>
      </c>
      <c r="H112" s="373">
        <f t="shared" si="7"/>
        <v>3.3514970670521123E-2</v>
      </c>
      <c r="I112" s="372">
        <v>22</v>
      </c>
      <c r="J112" s="372"/>
    </row>
    <row r="113" spans="2:10" x14ac:dyDescent="0.25">
      <c r="B113" s="635">
        <v>42600</v>
      </c>
      <c r="C113" s="371">
        <v>200</v>
      </c>
      <c r="D113" s="372">
        <v>22.554099999999998</v>
      </c>
      <c r="E113" s="372">
        <v>22.74</v>
      </c>
      <c r="F113" s="372">
        <f t="shared" si="5"/>
        <v>37.180000000000035</v>
      </c>
      <c r="G113" s="372">
        <f t="shared" si="6"/>
        <v>4510.82</v>
      </c>
      <c r="H113" s="373">
        <f t="shared" si="7"/>
        <v>8.2424038201480074E-3</v>
      </c>
      <c r="I113" s="372"/>
      <c r="J113" s="372"/>
    </row>
    <row r="114" spans="2:10" x14ac:dyDescent="0.25">
      <c r="B114" s="635">
        <v>42601</v>
      </c>
      <c r="C114" s="371">
        <v>200</v>
      </c>
      <c r="D114" s="372">
        <v>22.554099999999998</v>
      </c>
      <c r="E114" s="372">
        <v>23.02</v>
      </c>
      <c r="F114" s="372">
        <f t="shared" si="5"/>
        <v>93.180000000000263</v>
      </c>
      <c r="G114" s="372">
        <f t="shared" si="6"/>
        <v>4510.82</v>
      </c>
      <c r="H114" s="373">
        <f t="shared" si="7"/>
        <v>2.06569980624366E-2</v>
      </c>
      <c r="I114" s="372"/>
      <c r="J114" s="372"/>
    </row>
    <row r="115" spans="2:10" x14ac:dyDescent="0.25">
      <c r="B115" s="635">
        <v>42604</v>
      </c>
      <c r="C115" s="371">
        <v>200</v>
      </c>
      <c r="D115" s="372">
        <v>22.554099999999998</v>
      </c>
      <c r="E115" s="372">
        <v>23.69</v>
      </c>
      <c r="F115" s="372">
        <f t="shared" si="5"/>
        <v>227.1800000000006</v>
      </c>
      <c r="G115" s="372">
        <f t="shared" si="6"/>
        <v>4510.82</v>
      </c>
      <c r="H115" s="373">
        <f t="shared" si="7"/>
        <v>5.0363348570769975E-2</v>
      </c>
      <c r="I115" s="372"/>
      <c r="J115" s="372"/>
    </row>
    <row r="116" spans="2:10" x14ac:dyDescent="0.25">
      <c r="B116" s="635">
        <v>42605</v>
      </c>
      <c r="C116" s="371">
        <v>200</v>
      </c>
      <c r="D116" s="372">
        <v>22.554099999999998</v>
      </c>
      <c r="E116" s="372">
        <v>24.83</v>
      </c>
      <c r="F116" s="372">
        <f t="shared" si="5"/>
        <v>455.18</v>
      </c>
      <c r="G116" s="372">
        <f t="shared" si="6"/>
        <v>4510.82</v>
      </c>
      <c r="H116" s="373">
        <f t="shared" si="7"/>
        <v>0.10090848227151605</v>
      </c>
      <c r="I116" s="372"/>
      <c r="J116" s="372"/>
    </row>
    <row r="117" spans="2:10" x14ac:dyDescent="0.25">
      <c r="B117" s="635">
        <v>42606</v>
      </c>
      <c r="C117" s="371">
        <v>200</v>
      </c>
      <c r="D117" s="372">
        <v>22.554099999999998</v>
      </c>
      <c r="E117" s="372">
        <v>24.04</v>
      </c>
      <c r="F117" s="372">
        <f t="shared" si="5"/>
        <v>297.18000000000018</v>
      </c>
      <c r="G117" s="372">
        <f t="shared" si="6"/>
        <v>4510.82</v>
      </c>
      <c r="H117" s="373">
        <f t="shared" si="7"/>
        <v>6.588159137363056E-2</v>
      </c>
      <c r="I117" s="372"/>
      <c r="J117" s="372"/>
    </row>
    <row r="118" spans="2:10" x14ac:dyDescent="0.25">
      <c r="B118" s="635">
        <v>42607</v>
      </c>
      <c r="C118" s="371">
        <v>200</v>
      </c>
      <c r="D118" s="372">
        <v>22.554099999999998</v>
      </c>
      <c r="E118" s="372">
        <v>24.23</v>
      </c>
      <c r="F118" s="372">
        <f t="shared" si="5"/>
        <v>335.1800000000004</v>
      </c>
      <c r="G118" s="372">
        <f t="shared" si="6"/>
        <v>4510.82</v>
      </c>
      <c r="H118" s="373">
        <f t="shared" si="7"/>
        <v>7.4305780323754983E-2</v>
      </c>
      <c r="I118" s="372"/>
      <c r="J118" s="372"/>
    </row>
    <row r="119" spans="2:10" x14ac:dyDescent="0.25">
      <c r="B119" s="635">
        <v>42608</v>
      </c>
      <c r="C119" s="371">
        <v>200</v>
      </c>
      <c r="D119" s="372">
        <v>22.554099999999998</v>
      </c>
      <c r="E119" s="372">
        <v>23.98</v>
      </c>
      <c r="F119" s="372">
        <f t="shared" si="5"/>
        <v>285.1800000000004</v>
      </c>
      <c r="G119" s="372">
        <f t="shared" si="6"/>
        <v>4510.82</v>
      </c>
      <c r="H119" s="373">
        <f t="shared" si="7"/>
        <v>6.3221321178854498E-2</v>
      </c>
      <c r="I119" s="372"/>
      <c r="J119" s="372"/>
    </row>
    <row r="120" spans="2:10" x14ac:dyDescent="0.25">
      <c r="B120" s="635">
        <v>42611</v>
      </c>
      <c r="C120" s="371">
        <v>200</v>
      </c>
      <c r="D120" s="372">
        <v>22.554099999999998</v>
      </c>
      <c r="E120" s="372">
        <v>24.98</v>
      </c>
      <c r="F120" s="372">
        <f t="shared" si="5"/>
        <v>485.1800000000004</v>
      </c>
      <c r="G120" s="372">
        <f t="shared" si="6"/>
        <v>4510.82</v>
      </c>
      <c r="H120" s="373">
        <f t="shared" si="7"/>
        <v>0.10755915775845644</v>
      </c>
      <c r="I120" s="372"/>
      <c r="J120" s="372"/>
    </row>
    <row r="121" spans="2:10" x14ac:dyDescent="0.25">
      <c r="B121" s="635">
        <v>42612</v>
      </c>
      <c r="C121" s="371">
        <v>200</v>
      </c>
      <c r="D121" s="372">
        <v>22.554099999999998</v>
      </c>
      <c r="E121" s="372">
        <v>26.17</v>
      </c>
      <c r="F121" s="372">
        <f t="shared" si="5"/>
        <v>723.18000000000075</v>
      </c>
      <c r="G121" s="372">
        <f t="shared" si="6"/>
        <v>4510.82</v>
      </c>
      <c r="H121" s="373">
        <f t="shared" si="7"/>
        <v>0.16032118328818279</v>
      </c>
      <c r="I121" s="372"/>
      <c r="J121" s="372"/>
    </row>
    <row r="122" spans="2:10" x14ac:dyDescent="0.25">
      <c r="B122" s="635">
        <v>42614</v>
      </c>
      <c r="C122" s="371">
        <v>200</v>
      </c>
      <c r="D122" s="372">
        <v>22.104099999999999</v>
      </c>
      <c r="E122" s="372">
        <v>25.6</v>
      </c>
      <c r="F122" s="372">
        <f t="shared" si="5"/>
        <v>699.18000000000052</v>
      </c>
      <c r="G122" s="372">
        <f t="shared" si="6"/>
        <v>4420.82</v>
      </c>
      <c r="H122" s="373">
        <f t="shared" si="7"/>
        <v>0.15815617917038027</v>
      </c>
      <c r="I122" s="372" t="s">
        <v>185</v>
      </c>
      <c r="J122" s="372"/>
    </row>
    <row r="123" spans="2:10" x14ac:dyDescent="0.25">
      <c r="B123" s="635">
        <v>42615</v>
      </c>
      <c r="C123" s="371">
        <v>200</v>
      </c>
      <c r="D123" s="372">
        <v>22.104099999999999</v>
      </c>
      <c r="E123" s="372">
        <v>25.94</v>
      </c>
      <c r="F123" s="372">
        <f t="shared" si="5"/>
        <v>767.18000000000052</v>
      </c>
      <c r="G123" s="372">
        <f t="shared" si="6"/>
        <v>4420.82</v>
      </c>
      <c r="H123" s="373">
        <f t="shared" si="7"/>
        <v>0.17353794092498687</v>
      </c>
      <c r="I123" s="372"/>
      <c r="J123" s="372"/>
    </row>
    <row r="124" spans="2:10" x14ac:dyDescent="0.25">
      <c r="B124" s="635">
        <v>42619</v>
      </c>
      <c r="C124" s="371">
        <v>200</v>
      </c>
      <c r="D124" s="372">
        <v>22.104099999999999</v>
      </c>
      <c r="E124" s="372">
        <v>25.65</v>
      </c>
      <c r="F124" s="372">
        <f t="shared" si="5"/>
        <v>709.18</v>
      </c>
      <c r="G124" s="372">
        <f t="shared" si="6"/>
        <v>4420.82</v>
      </c>
      <c r="H124" s="373">
        <f t="shared" si="7"/>
        <v>0.1604182029578223</v>
      </c>
      <c r="I124" s="372"/>
      <c r="J124" s="372"/>
    </row>
    <row r="125" spans="2:10" x14ac:dyDescent="0.25">
      <c r="B125" s="635">
        <v>42620</v>
      </c>
      <c r="C125" s="371">
        <v>200</v>
      </c>
      <c r="D125" s="372">
        <v>22.1</v>
      </c>
      <c r="E125" s="372">
        <v>25.53</v>
      </c>
      <c r="F125" s="372">
        <f t="shared" si="5"/>
        <v>686</v>
      </c>
      <c r="G125" s="372">
        <f t="shared" si="6"/>
        <v>4420</v>
      </c>
      <c r="H125" s="373">
        <f t="shared" si="7"/>
        <v>0.15520361990950224</v>
      </c>
      <c r="I125" s="372"/>
      <c r="J125" s="372"/>
    </row>
    <row r="126" spans="2:10" x14ac:dyDescent="0.25">
      <c r="B126" s="635">
        <v>42621</v>
      </c>
      <c r="C126" s="371">
        <v>160</v>
      </c>
      <c r="D126" s="372">
        <v>21.060300000000002</v>
      </c>
      <c r="E126" s="372">
        <v>25.96</v>
      </c>
      <c r="F126" s="372">
        <f t="shared" si="5"/>
        <v>783.95199999999988</v>
      </c>
      <c r="G126" s="372">
        <f t="shared" si="6"/>
        <v>3369.6480000000001</v>
      </c>
      <c r="H126" s="373">
        <f t="shared" si="7"/>
        <v>0.23265100687074727</v>
      </c>
      <c r="I126" s="372"/>
      <c r="J126" s="372"/>
    </row>
    <row r="127" spans="2:10" x14ac:dyDescent="0.25">
      <c r="B127" s="635">
        <v>42622</v>
      </c>
      <c r="C127" s="371">
        <v>160</v>
      </c>
      <c r="D127" s="372">
        <v>21.060300000000002</v>
      </c>
      <c r="E127" s="372">
        <v>25</v>
      </c>
      <c r="F127" s="372">
        <f t="shared" si="5"/>
        <v>630.35199999999975</v>
      </c>
      <c r="G127" s="372">
        <f t="shared" si="6"/>
        <v>3369.6480000000001</v>
      </c>
      <c r="H127" s="373">
        <f t="shared" si="7"/>
        <v>0.18706761062283053</v>
      </c>
      <c r="I127" s="372"/>
      <c r="J127" s="372"/>
    </row>
    <row r="128" spans="2:10" x14ac:dyDescent="0.25">
      <c r="B128" s="635">
        <v>42625</v>
      </c>
      <c r="C128" s="371">
        <v>160</v>
      </c>
      <c r="D128" s="372">
        <v>21.060300000000002</v>
      </c>
      <c r="E128" s="372">
        <v>25.51</v>
      </c>
      <c r="F128" s="372">
        <f t="shared" si="5"/>
        <v>711.952</v>
      </c>
      <c r="G128" s="372">
        <f t="shared" si="6"/>
        <v>3369.6480000000001</v>
      </c>
      <c r="H128" s="373">
        <f t="shared" si="7"/>
        <v>0.21128378987953636</v>
      </c>
      <c r="I128" s="372"/>
      <c r="J128" s="372"/>
    </row>
    <row r="129" spans="2:10" x14ac:dyDescent="0.25">
      <c r="B129" s="635">
        <v>42626</v>
      </c>
      <c r="C129" s="371">
        <v>200</v>
      </c>
      <c r="D129" s="372">
        <v>21.764199999999999</v>
      </c>
      <c r="E129" s="372">
        <v>24.01</v>
      </c>
      <c r="F129" s="372">
        <f t="shared" si="5"/>
        <v>449.16000000000054</v>
      </c>
      <c r="G129" s="372">
        <f t="shared" si="6"/>
        <v>4352.84</v>
      </c>
      <c r="H129" s="373">
        <f t="shared" si="7"/>
        <v>0.10318780382462957</v>
      </c>
      <c r="I129" s="372" t="s">
        <v>288</v>
      </c>
      <c r="J129" s="372"/>
    </row>
    <row r="130" spans="2:10" x14ac:dyDescent="0.25">
      <c r="B130" s="635">
        <v>42632</v>
      </c>
      <c r="C130" s="371">
        <v>200</v>
      </c>
      <c r="D130" s="372">
        <v>21.764199999999999</v>
      </c>
      <c r="E130" s="372">
        <v>23.68</v>
      </c>
      <c r="F130" s="372">
        <f t="shared" si="5"/>
        <v>383.1600000000002</v>
      </c>
      <c r="G130" s="372">
        <f t="shared" si="6"/>
        <v>4352.84</v>
      </c>
      <c r="H130" s="373">
        <f t="shared" si="7"/>
        <v>8.8025289236452572E-2</v>
      </c>
      <c r="I130" s="372"/>
      <c r="J130" s="372"/>
    </row>
    <row r="131" spans="2:10" x14ac:dyDescent="0.25">
      <c r="B131" s="635">
        <v>42633</v>
      </c>
      <c r="C131" s="371">
        <v>200</v>
      </c>
      <c r="D131" s="372">
        <v>21.764199999999999</v>
      </c>
      <c r="E131" s="372">
        <v>23.3</v>
      </c>
      <c r="F131" s="372">
        <f t="shared" si="5"/>
        <v>307.16000000000037</v>
      </c>
      <c r="G131" s="372">
        <f t="shared" si="6"/>
        <v>4352.84</v>
      </c>
      <c r="H131" s="373">
        <f t="shared" si="7"/>
        <v>7.0565423953097381E-2</v>
      </c>
      <c r="I131" s="372"/>
      <c r="J131" s="372"/>
    </row>
    <row r="132" spans="2:10" x14ac:dyDescent="0.25">
      <c r="B132" s="635">
        <v>42634</v>
      </c>
      <c r="C132" s="371">
        <v>200</v>
      </c>
      <c r="D132" s="372">
        <v>21.764199999999999</v>
      </c>
      <c r="E132" s="372">
        <v>23.03</v>
      </c>
      <c r="F132" s="372">
        <f t="shared" si="5"/>
        <v>253.16000000000045</v>
      </c>
      <c r="G132" s="372">
        <f t="shared" si="6"/>
        <v>4352.84</v>
      </c>
      <c r="H132" s="373">
        <f t="shared" si="7"/>
        <v>5.8159730199134466E-2</v>
      </c>
      <c r="I132" s="372"/>
      <c r="J132" s="372"/>
    </row>
    <row r="133" spans="2:10" x14ac:dyDescent="0.25">
      <c r="B133" s="635">
        <v>42636</v>
      </c>
      <c r="C133" s="371">
        <v>200</v>
      </c>
      <c r="D133" s="372">
        <v>21.764199999999999</v>
      </c>
      <c r="E133" s="372">
        <v>22.63</v>
      </c>
      <c r="F133" s="372">
        <f t="shared" si="5"/>
        <v>173.16000000000003</v>
      </c>
      <c r="G133" s="372">
        <f t="shared" si="6"/>
        <v>4352.84</v>
      </c>
      <c r="H133" s="373">
        <f t="shared" si="7"/>
        <v>3.9780924637707805E-2</v>
      </c>
      <c r="I133" s="372"/>
      <c r="J133" s="372"/>
    </row>
    <row r="134" spans="2:10" x14ac:dyDescent="0.25">
      <c r="B134" s="635">
        <v>42639</v>
      </c>
      <c r="C134" s="371">
        <v>300</v>
      </c>
      <c r="D134" s="372">
        <v>21.936299999999999</v>
      </c>
      <c r="E134" s="372">
        <v>22.64</v>
      </c>
      <c r="F134" s="372">
        <f t="shared" si="5"/>
        <v>211.11000000000041</v>
      </c>
      <c r="G134" s="372">
        <f t="shared" si="6"/>
        <v>6580.8899999999994</v>
      </c>
      <c r="H134" s="373">
        <f t="shared" si="7"/>
        <v>3.2079247639756996E-2</v>
      </c>
      <c r="I134" s="372"/>
      <c r="J134" s="372"/>
    </row>
    <row r="135" spans="2:10" x14ac:dyDescent="0.25">
      <c r="B135" s="635">
        <v>42639</v>
      </c>
      <c r="C135" s="371">
        <v>200</v>
      </c>
      <c r="D135" s="372">
        <v>21.494499999999999</v>
      </c>
      <c r="E135" s="372">
        <v>22.64</v>
      </c>
      <c r="F135" s="372">
        <f t="shared" si="5"/>
        <v>229.10000000000039</v>
      </c>
      <c r="G135" s="372">
        <f t="shared" si="6"/>
        <v>4298.8999999999996</v>
      </c>
      <c r="H135" s="373">
        <f t="shared" si="7"/>
        <v>5.3292702784433321E-2</v>
      </c>
      <c r="I135" s="372" t="s">
        <v>289</v>
      </c>
      <c r="J135" s="372"/>
    </row>
    <row r="136" spans="2:10" x14ac:dyDescent="0.25">
      <c r="B136" s="635">
        <v>42640</v>
      </c>
      <c r="C136" s="371">
        <v>200</v>
      </c>
      <c r="D136" s="372">
        <v>21.494499999999999</v>
      </c>
      <c r="E136" s="372">
        <v>23.95</v>
      </c>
      <c r="F136" s="372">
        <f t="shared" si="5"/>
        <v>491.10000000000014</v>
      </c>
      <c r="G136" s="372">
        <f t="shared" si="6"/>
        <v>4298.8999999999996</v>
      </c>
      <c r="H136" s="373">
        <f t="shared" si="7"/>
        <v>0.11423852613459261</v>
      </c>
      <c r="I136" s="372"/>
      <c r="J136" s="372"/>
    </row>
    <row r="137" spans="2:10" x14ac:dyDescent="0.25">
      <c r="B137" s="635">
        <v>42643</v>
      </c>
      <c r="C137" s="371">
        <v>140</v>
      </c>
      <c r="D137" s="372">
        <v>20.112300000000001</v>
      </c>
      <c r="E137" s="372">
        <v>24.2</v>
      </c>
      <c r="F137" s="372">
        <f t="shared" si="5"/>
        <v>572.27799999999979</v>
      </c>
      <c r="G137" s="372">
        <f t="shared" si="6"/>
        <v>2815.7220000000002</v>
      </c>
      <c r="H137" s="373">
        <f t="shared" si="7"/>
        <v>0.2032437861408192</v>
      </c>
      <c r="I137" s="372"/>
      <c r="J137" s="372"/>
    </row>
    <row r="138" spans="2:10" x14ac:dyDescent="0.25">
      <c r="B138" s="635">
        <v>42643</v>
      </c>
      <c r="C138" s="371">
        <v>200</v>
      </c>
      <c r="D138" s="372">
        <v>21.368600000000001</v>
      </c>
      <c r="E138" s="372">
        <v>24.2</v>
      </c>
      <c r="F138" s="372">
        <f t="shared" si="5"/>
        <v>566.27999999999975</v>
      </c>
      <c r="G138" s="372">
        <f t="shared" si="6"/>
        <v>4273.72</v>
      </c>
      <c r="H138" s="373">
        <f t="shared" si="7"/>
        <v>0.13250283125707807</v>
      </c>
      <c r="I138" s="372" t="s">
        <v>289</v>
      </c>
      <c r="J138" s="372"/>
    </row>
    <row r="139" spans="2:10" x14ac:dyDescent="0.25">
      <c r="B139" s="635">
        <v>42648</v>
      </c>
      <c r="C139" s="371">
        <v>200</v>
      </c>
      <c r="D139" s="372">
        <v>21.368600000000001</v>
      </c>
      <c r="E139" s="372">
        <v>24.86</v>
      </c>
      <c r="F139" s="372">
        <f t="shared" si="5"/>
        <v>698.27999999999975</v>
      </c>
      <c r="G139" s="372">
        <f t="shared" si="6"/>
        <v>4273.72</v>
      </c>
      <c r="H139" s="373">
        <f t="shared" si="7"/>
        <v>0.16338927210954385</v>
      </c>
      <c r="I139" s="372"/>
      <c r="J139" s="372"/>
    </row>
    <row r="140" spans="2:10" x14ac:dyDescent="0.25">
      <c r="B140" s="635">
        <v>42649</v>
      </c>
      <c r="C140" s="371">
        <v>200</v>
      </c>
      <c r="D140" s="372">
        <v>21.368600000000001</v>
      </c>
      <c r="E140" s="372">
        <v>24.66</v>
      </c>
      <c r="F140" s="372">
        <f t="shared" si="5"/>
        <v>658.27999999999986</v>
      </c>
      <c r="G140" s="372">
        <f t="shared" si="6"/>
        <v>4273.72</v>
      </c>
      <c r="H140" s="373">
        <f t="shared" si="7"/>
        <v>0.15402974457849364</v>
      </c>
      <c r="I140" s="372"/>
      <c r="J140" s="372"/>
    </row>
    <row r="141" spans="2:10" x14ac:dyDescent="0.25">
      <c r="B141" s="635">
        <v>42650</v>
      </c>
      <c r="C141" s="371">
        <v>200</v>
      </c>
      <c r="D141" s="372">
        <v>21.368600000000001</v>
      </c>
      <c r="E141" s="372">
        <v>23.95</v>
      </c>
      <c r="F141" s="372">
        <f t="shared" si="5"/>
        <v>516.27999999999975</v>
      </c>
      <c r="G141" s="372">
        <f t="shared" si="6"/>
        <v>4273.72</v>
      </c>
      <c r="H141" s="373">
        <f t="shared" si="7"/>
        <v>0.12080342184326529</v>
      </c>
      <c r="I141" s="372"/>
      <c r="J141" s="372"/>
    </row>
    <row r="142" spans="2:10" x14ac:dyDescent="0.25">
      <c r="B142" s="635">
        <v>42661</v>
      </c>
      <c r="C142" s="371">
        <v>300</v>
      </c>
      <c r="D142" s="372">
        <v>21.765699999999999</v>
      </c>
      <c r="E142" s="372">
        <v>23.46</v>
      </c>
      <c r="F142" s="372">
        <f t="shared" si="5"/>
        <v>508.29000000000059</v>
      </c>
      <c r="G142" s="372">
        <f t="shared" si="6"/>
        <v>6529.71</v>
      </c>
      <c r="H142" s="373">
        <f t="shared" si="7"/>
        <v>7.7842660700092436E-2</v>
      </c>
      <c r="I142" s="372">
        <v>21.5</v>
      </c>
      <c r="J142" s="372"/>
    </row>
    <row r="143" spans="2:10" x14ac:dyDescent="0.25">
      <c r="B143" s="635">
        <v>42662</v>
      </c>
      <c r="C143" s="371">
        <v>300</v>
      </c>
      <c r="D143" s="372">
        <v>21.77</v>
      </c>
      <c r="E143" s="372">
        <v>24.15</v>
      </c>
      <c r="F143" s="372">
        <f t="shared" si="5"/>
        <v>713.99999999999966</v>
      </c>
      <c r="G143" s="372">
        <f t="shared" si="6"/>
        <v>6531</v>
      </c>
      <c r="H143" s="373">
        <f t="shared" si="7"/>
        <v>0.10932475884244369</v>
      </c>
      <c r="I143" s="372"/>
      <c r="J143" s="372"/>
    </row>
    <row r="144" spans="2:10" x14ac:dyDescent="0.25">
      <c r="B144" s="635">
        <v>42663</v>
      </c>
      <c r="C144" s="371">
        <v>260</v>
      </c>
      <c r="D144" s="372">
        <v>21.302099999999999</v>
      </c>
      <c r="E144" s="372">
        <v>24.98</v>
      </c>
      <c r="F144" s="372">
        <f t="shared" si="5"/>
        <v>956.25400000000025</v>
      </c>
      <c r="G144" s="372">
        <f t="shared" si="6"/>
        <v>5538.5460000000003</v>
      </c>
      <c r="H144" s="373">
        <f t="shared" si="7"/>
        <v>0.17265433924354881</v>
      </c>
      <c r="I144" s="372"/>
      <c r="J144" s="372"/>
    </row>
    <row r="145" spans="2:10" x14ac:dyDescent="0.25">
      <c r="B145" s="635">
        <v>42664</v>
      </c>
      <c r="C145" s="371">
        <v>260</v>
      </c>
      <c r="D145" s="372">
        <v>21.302099999999999</v>
      </c>
      <c r="E145" s="372">
        <v>25.92</v>
      </c>
      <c r="F145" s="372">
        <f t="shared" si="5"/>
        <v>1200.6540000000007</v>
      </c>
      <c r="G145" s="372">
        <f t="shared" si="6"/>
        <v>5538.5460000000003</v>
      </c>
      <c r="H145" s="373">
        <f t="shared" si="7"/>
        <v>0.21678144408297786</v>
      </c>
      <c r="I145" s="372"/>
      <c r="J145" s="372"/>
    </row>
    <row r="146" spans="2:10" x14ac:dyDescent="0.25">
      <c r="B146" s="635">
        <v>42667</v>
      </c>
      <c r="C146" s="371">
        <v>260</v>
      </c>
      <c r="D146" s="372">
        <v>21.302099999999999</v>
      </c>
      <c r="E146" s="372">
        <v>25.35</v>
      </c>
      <c r="F146" s="372">
        <f t="shared" si="5"/>
        <v>1052.4540000000006</v>
      </c>
      <c r="G146" s="372">
        <f t="shared" si="6"/>
        <v>5538.5460000000003</v>
      </c>
      <c r="H146" s="373">
        <f t="shared" si="7"/>
        <v>0.19002351880800494</v>
      </c>
      <c r="I146" s="372"/>
      <c r="J146" s="372"/>
    </row>
    <row r="147" spans="2:10" x14ac:dyDescent="0.25">
      <c r="B147" s="635">
        <v>42674</v>
      </c>
      <c r="C147" s="371">
        <v>300</v>
      </c>
      <c r="D147" s="372">
        <v>21.6828</v>
      </c>
      <c r="E147" s="372">
        <v>24.01</v>
      </c>
      <c r="F147" s="372">
        <f t="shared" si="5"/>
        <v>698.16000000000042</v>
      </c>
      <c r="G147" s="372">
        <f t="shared" si="6"/>
        <v>6504.84</v>
      </c>
      <c r="H147" s="373">
        <f t="shared" si="7"/>
        <v>0.10732931171250951</v>
      </c>
      <c r="I147" s="372">
        <v>21.5</v>
      </c>
      <c r="J147" s="372"/>
    </row>
    <row r="148" spans="2:10" x14ac:dyDescent="0.25">
      <c r="B148" s="635">
        <v>42675</v>
      </c>
      <c r="C148" s="371">
        <v>300</v>
      </c>
      <c r="D148" s="372">
        <v>21.6096</v>
      </c>
      <c r="E148" s="372">
        <v>24.89</v>
      </c>
      <c r="F148" s="372">
        <f t="shared" si="5"/>
        <v>984.12000000000012</v>
      </c>
      <c r="G148" s="372">
        <f t="shared" si="6"/>
        <v>6482.88</v>
      </c>
      <c r="H148" s="373">
        <f t="shared" si="7"/>
        <v>0.15180290241374206</v>
      </c>
      <c r="I148" s="372">
        <v>21.5</v>
      </c>
      <c r="J148" s="372"/>
    </row>
    <row r="149" spans="2:10" x14ac:dyDescent="0.25">
      <c r="B149" s="635">
        <v>42677</v>
      </c>
      <c r="C149" s="371">
        <v>340</v>
      </c>
      <c r="D149" s="372">
        <v>21.5627</v>
      </c>
      <c r="E149" s="372">
        <v>22.6</v>
      </c>
      <c r="F149" s="372">
        <f t="shared" si="5"/>
        <v>352.68200000000064</v>
      </c>
      <c r="G149" s="372">
        <f t="shared" si="6"/>
        <v>7331.3180000000002</v>
      </c>
      <c r="H149" s="373">
        <f t="shared" si="7"/>
        <v>4.8106220464042164E-2</v>
      </c>
      <c r="I149" s="372"/>
      <c r="J149" s="372"/>
    </row>
    <row r="150" spans="2:10" x14ac:dyDescent="0.25">
      <c r="B150" s="635">
        <v>42701</v>
      </c>
      <c r="C150" s="371">
        <v>240</v>
      </c>
      <c r="D150" s="372">
        <v>18.880800000000001</v>
      </c>
      <c r="E150" s="372">
        <v>28.55</v>
      </c>
      <c r="F150" s="372">
        <f t="shared" si="5"/>
        <v>2320.6080000000002</v>
      </c>
      <c r="G150" s="372">
        <f t="shared" si="6"/>
        <v>4531.3919999999998</v>
      </c>
      <c r="H150" s="373">
        <f t="shared" si="7"/>
        <v>0.51211813058768696</v>
      </c>
      <c r="I150" s="372"/>
      <c r="J150" s="372"/>
    </row>
    <row r="151" spans="2:10" x14ac:dyDescent="0.25">
      <c r="B151" s="635">
        <v>42705</v>
      </c>
      <c r="C151" s="371">
        <v>200</v>
      </c>
      <c r="D151" s="372">
        <v>16.231100000000001</v>
      </c>
      <c r="E151" s="372">
        <v>28.94</v>
      </c>
      <c r="F151" s="372">
        <f t="shared" si="5"/>
        <v>2541.7799999999997</v>
      </c>
      <c r="G151" s="372">
        <f t="shared" si="6"/>
        <v>3246.2200000000003</v>
      </c>
      <c r="H151" s="373">
        <f t="shared" si="7"/>
        <v>0.78299683940090314</v>
      </c>
      <c r="I151" s="372" t="s">
        <v>314</v>
      </c>
      <c r="J151" s="372"/>
    </row>
    <row r="152" spans="2:10" x14ac:dyDescent="0.25">
      <c r="B152" s="635">
        <v>42711</v>
      </c>
      <c r="C152" s="371">
        <v>0</v>
      </c>
      <c r="D152" s="372"/>
      <c r="E152" s="372"/>
      <c r="F152" s="372">
        <v>2733.66</v>
      </c>
      <c r="G152" s="372"/>
      <c r="H152" s="373"/>
      <c r="I152" s="372"/>
      <c r="J152" s="372"/>
    </row>
    <row r="153" spans="2:10" x14ac:dyDescent="0.25">
      <c r="B153" s="635"/>
      <c r="C153" s="371"/>
      <c r="D153" s="372"/>
      <c r="E153" s="372"/>
      <c r="F153" s="372"/>
      <c r="G153" s="372"/>
      <c r="H153" s="373"/>
      <c r="I153" s="372"/>
      <c r="J153" s="372"/>
    </row>
    <row r="154" spans="2:10" x14ac:dyDescent="0.25">
      <c r="B154" s="635">
        <v>42716</v>
      </c>
      <c r="C154" s="371">
        <v>200</v>
      </c>
      <c r="D154" s="372">
        <v>29.285</v>
      </c>
      <c r="E154" s="372">
        <v>29</v>
      </c>
      <c r="F154" s="372">
        <f t="shared" ref="F154:F161" si="8">C154*(E154-D154)</f>
        <v>-57.000000000000028</v>
      </c>
      <c r="G154" s="372">
        <f t="shared" ref="G154:G161" si="9">D154*C154</f>
        <v>5857</v>
      </c>
      <c r="H154" s="373">
        <f t="shared" ref="H154:H161" si="10">(E154-D154)/D154</f>
        <v>-9.7319446815776044E-3</v>
      </c>
      <c r="I154" s="372"/>
      <c r="J154" s="372"/>
    </row>
    <row r="155" spans="2:10" x14ac:dyDescent="0.25">
      <c r="B155" s="635">
        <v>42720</v>
      </c>
      <c r="C155" s="371">
        <v>100</v>
      </c>
      <c r="D155" s="372">
        <v>29.210599999999999</v>
      </c>
      <c r="E155" s="372">
        <v>29.48</v>
      </c>
      <c r="F155" s="372">
        <f t="shared" si="8"/>
        <v>26.940000000000097</v>
      </c>
      <c r="G155" s="372">
        <f t="shared" si="9"/>
        <v>2921.06</v>
      </c>
      <c r="H155" s="373">
        <f t="shared" si="10"/>
        <v>9.2226794382861358E-3</v>
      </c>
      <c r="I155" s="372"/>
      <c r="J155" s="372"/>
    </row>
    <row r="156" spans="2:10" x14ac:dyDescent="0.25">
      <c r="B156" s="635">
        <v>42723</v>
      </c>
      <c r="C156" s="371">
        <v>200</v>
      </c>
      <c r="D156" s="372">
        <v>28.7453</v>
      </c>
      <c r="E156" s="372">
        <v>28.29</v>
      </c>
      <c r="F156" s="372">
        <f t="shared" si="8"/>
        <v>-91.06000000000023</v>
      </c>
      <c r="G156" s="372">
        <f t="shared" si="9"/>
        <v>5749.06</v>
      </c>
      <c r="H156" s="373">
        <f t="shared" si="10"/>
        <v>-1.5839111089465101E-2</v>
      </c>
      <c r="I156" s="372"/>
      <c r="J156" s="372"/>
    </row>
    <row r="157" spans="2:10" x14ac:dyDescent="0.25">
      <c r="B157" s="635">
        <v>42724</v>
      </c>
      <c r="C157" s="371">
        <v>100</v>
      </c>
      <c r="D157" s="372">
        <v>28.511199999999999</v>
      </c>
      <c r="E157" s="372">
        <v>28.76</v>
      </c>
      <c r="F157" s="372">
        <f t="shared" si="8"/>
        <v>24.88000000000028</v>
      </c>
      <c r="G157" s="372">
        <f t="shared" si="9"/>
        <v>2851.12</v>
      </c>
      <c r="H157" s="373">
        <f t="shared" si="10"/>
        <v>8.7263952411684807E-3</v>
      </c>
      <c r="I157" s="372"/>
      <c r="J157" s="372"/>
    </row>
    <row r="158" spans="2:10" x14ac:dyDescent="0.25">
      <c r="B158" s="635">
        <v>42731</v>
      </c>
      <c r="C158" s="371">
        <v>100</v>
      </c>
      <c r="D158" s="372">
        <v>28.511199999999999</v>
      </c>
      <c r="E158" s="372">
        <v>31.95</v>
      </c>
      <c r="F158" s="372">
        <f t="shared" si="8"/>
        <v>343.88000000000005</v>
      </c>
      <c r="G158" s="372">
        <f t="shared" si="9"/>
        <v>2851.12</v>
      </c>
      <c r="H158" s="373">
        <f t="shared" si="10"/>
        <v>0.12061225062431608</v>
      </c>
      <c r="I158" s="372"/>
      <c r="J158" s="372"/>
    </row>
    <row r="159" spans="2:10" x14ac:dyDescent="0.25">
      <c r="B159" s="635">
        <v>42739</v>
      </c>
      <c r="C159" s="371">
        <v>100</v>
      </c>
      <c r="D159" s="372">
        <v>28.511199999999999</v>
      </c>
      <c r="E159" s="372">
        <v>33.04</v>
      </c>
      <c r="F159" s="372">
        <f t="shared" si="8"/>
        <v>452.88000000000005</v>
      </c>
      <c r="G159" s="372">
        <f t="shared" si="9"/>
        <v>2851.12</v>
      </c>
      <c r="H159" s="373">
        <f t="shared" si="10"/>
        <v>0.15884284070821295</v>
      </c>
      <c r="I159" s="372"/>
      <c r="J159" s="372"/>
    </row>
    <row r="160" spans="2:10" x14ac:dyDescent="0.25">
      <c r="B160" s="635">
        <v>42744</v>
      </c>
      <c r="C160" s="371">
        <v>100</v>
      </c>
      <c r="D160" s="372">
        <v>28.511199999999999</v>
      </c>
      <c r="E160" s="372">
        <v>33.770000000000003</v>
      </c>
      <c r="F160" s="372">
        <f t="shared" si="8"/>
        <v>525.88000000000045</v>
      </c>
      <c r="G160" s="372">
        <f t="shared" si="9"/>
        <v>2851.12</v>
      </c>
      <c r="H160" s="373">
        <f t="shared" si="10"/>
        <v>0.18444681388366693</v>
      </c>
      <c r="I160" s="372"/>
      <c r="J160" s="372"/>
    </row>
    <row r="161" spans="1:10" x14ac:dyDescent="0.25">
      <c r="B161" s="635">
        <v>42745</v>
      </c>
      <c r="C161" s="371">
        <v>100</v>
      </c>
      <c r="D161" s="372">
        <v>28.511199999999999</v>
      </c>
      <c r="E161" s="372">
        <v>32.729999999999997</v>
      </c>
      <c r="F161" s="372">
        <f t="shared" si="8"/>
        <v>421.87999999999982</v>
      </c>
      <c r="G161" s="372">
        <f t="shared" si="9"/>
        <v>2851.12</v>
      </c>
      <c r="H161" s="373">
        <f t="shared" si="10"/>
        <v>0.14796992059260916</v>
      </c>
      <c r="I161" s="372"/>
      <c r="J161" s="372"/>
    </row>
    <row r="162" spans="1:10" x14ac:dyDescent="0.25">
      <c r="B162" s="635"/>
      <c r="C162" s="371"/>
      <c r="D162" s="372"/>
      <c r="E162" s="372"/>
      <c r="F162" s="372"/>
      <c r="G162" s="371"/>
      <c r="H162" s="371"/>
      <c r="I162" s="372"/>
      <c r="J162" s="372"/>
    </row>
    <row r="163" spans="1:10" x14ac:dyDescent="0.25">
      <c r="B163" s="635"/>
      <c r="C163" s="371"/>
      <c r="D163" s="372"/>
      <c r="E163" s="372"/>
      <c r="F163" s="372"/>
      <c r="G163" s="371"/>
      <c r="H163" s="371"/>
      <c r="I163" s="372"/>
      <c r="J163" s="372"/>
    </row>
    <row r="164" spans="1:10" x14ac:dyDescent="0.25">
      <c r="B164" s="635"/>
      <c r="C164" s="371"/>
      <c r="D164" s="372"/>
      <c r="E164" s="372"/>
      <c r="F164" s="372"/>
      <c r="G164" s="371"/>
      <c r="H164" s="371"/>
      <c r="I164" s="372"/>
      <c r="J164" s="372"/>
    </row>
    <row r="165" spans="1:10" x14ac:dyDescent="0.25">
      <c r="B165" s="635"/>
      <c r="C165" s="371"/>
      <c r="D165" s="372"/>
      <c r="E165" s="372"/>
      <c r="F165" s="372"/>
      <c r="G165" s="371"/>
      <c r="H165" s="371"/>
      <c r="I165" s="372"/>
      <c r="J165" s="372"/>
    </row>
    <row r="166" spans="1:10" x14ac:dyDescent="0.25">
      <c r="B166" s="492" t="s">
        <v>113</v>
      </c>
      <c r="C166" s="186" t="s">
        <v>146</v>
      </c>
      <c r="D166" s="187" t="s">
        <v>145</v>
      </c>
      <c r="E166" s="189" t="s">
        <v>147</v>
      </c>
      <c r="F166" s="189" t="s">
        <v>65</v>
      </c>
      <c r="G166" s="224" t="s">
        <v>151</v>
      </c>
      <c r="H166" s="224" t="s">
        <v>88</v>
      </c>
      <c r="I166" s="224" t="s">
        <v>154</v>
      </c>
      <c r="J166" s="224" t="s">
        <v>520</v>
      </c>
    </row>
    <row r="167" spans="1:10" x14ac:dyDescent="0.25">
      <c r="A167" t="s">
        <v>349</v>
      </c>
      <c r="B167" s="153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6">
        <f t="shared" ref="H167:H196" si="13">(E167-D167)/D167</f>
        <v>1.8463371054199065E-2</v>
      </c>
      <c r="I167" s="39"/>
      <c r="J167" s="39"/>
    </row>
    <row r="168" spans="1:10" x14ac:dyDescent="0.25">
      <c r="A168" t="s">
        <v>349</v>
      </c>
      <c r="B168" s="153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6">
        <f t="shared" si="13"/>
        <v>8.8147706968433617E-2</v>
      </c>
      <c r="I168" s="39"/>
      <c r="J168" s="39"/>
    </row>
    <row r="169" spans="1:10" x14ac:dyDescent="0.25">
      <c r="A169" t="s">
        <v>440</v>
      </c>
      <c r="B169" s="153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6">
        <f t="shared" si="13"/>
        <v>2.1313209593154157E-2</v>
      </c>
      <c r="I169" s="39"/>
      <c r="J169" s="39"/>
    </row>
    <row r="170" spans="1:10" x14ac:dyDescent="0.25">
      <c r="A170" t="s">
        <v>454</v>
      </c>
      <c r="B170" s="153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6">
        <f t="shared" si="13"/>
        <v>-1.6068122917438102E-2</v>
      </c>
      <c r="I170" s="39"/>
      <c r="J170" s="39"/>
    </row>
    <row r="171" spans="1:10" x14ac:dyDescent="0.25">
      <c r="A171" t="s">
        <v>459</v>
      </c>
      <c r="B171" s="153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6">
        <f t="shared" si="13"/>
        <v>-4.5762610208120807E-2</v>
      </c>
      <c r="I171" s="39"/>
      <c r="J171" s="39"/>
    </row>
    <row r="172" spans="1:10" x14ac:dyDescent="0.25">
      <c r="A172" t="s">
        <v>370</v>
      </c>
      <c r="B172" s="153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6">
        <f t="shared" si="13"/>
        <v>-6.5854975109458355E-2</v>
      </c>
      <c r="I172" s="39"/>
      <c r="J172" s="39"/>
    </row>
    <row r="173" spans="1:10" x14ac:dyDescent="0.25">
      <c r="A173" t="s">
        <v>481</v>
      </c>
      <c r="B173" s="153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6">
        <f t="shared" si="13"/>
        <v>-3.2384277373141535E-2</v>
      </c>
      <c r="I173" s="39"/>
      <c r="J173" s="39"/>
    </row>
    <row r="174" spans="1:10" x14ac:dyDescent="0.25">
      <c r="A174">
        <v>100</v>
      </c>
      <c r="B174" s="153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6">
        <f t="shared" si="13"/>
        <v>-0.13682056221031721</v>
      </c>
      <c r="I174" s="39"/>
      <c r="J174" s="39"/>
    </row>
    <row r="175" spans="1:10" x14ac:dyDescent="0.25">
      <c r="A175">
        <v>100</v>
      </c>
      <c r="B175" s="153">
        <v>42809</v>
      </c>
      <c r="C175" s="567">
        <v>350</v>
      </c>
      <c r="D175" s="638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6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3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6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3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6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3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6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3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6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3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6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3">
        <v>42846</v>
      </c>
      <c r="C181" s="567">
        <v>350</v>
      </c>
      <c r="D181" s="638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6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3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6">
        <f t="shared" si="13"/>
        <v>-0.14819687088901862</v>
      </c>
      <c r="I182" s="39" t="s">
        <v>718</v>
      </c>
      <c r="J182" s="39">
        <v>2125</v>
      </c>
    </row>
    <row r="183" spans="1:10" x14ac:dyDescent="0.25">
      <c r="A183">
        <v>50</v>
      </c>
      <c r="B183" s="153">
        <v>42853</v>
      </c>
      <c r="C183" s="567">
        <v>350</v>
      </c>
      <c r="D183" s="638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6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3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6">
        <f t="shared" si="13"/>
        <v>-0.10262077676034101</v>
      </c>
      <c r="I184" s="39" t="s">
        <v>719</v>
      </c>
      <c r="J184" s="39">
        <v>2498</v>
      </c>
    </row>
    <row r="185" spans="1:10" x14ac:dyDescent="0.25">
      <c r="A185">
        <v>250</v>
      </c>
      <c r="B185" s="153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6">
        <f t="shared" si="13"/>
        <v>-0.13834874083519286</v>
      </c>
      <c r="I185" s="39" t="s">
        <v>723</v>
      </c>
      <c r="J185" s="39">
        <v>2225</v>
      </c>
    </row>
    <row r="186" spans="1:10" x14ac:dyDescent="0.25">
      <c r="A186">
        <v>150</v>
      </c>
      <c r="B186" s="153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6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3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6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3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6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3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6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3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6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3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6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3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6">
        <f t="shared" si="13"/>
        <v>2.577783706272729E-2</v>
      </c>
      <c r="I192" s="39"/>
      <c r="J192" s="39">
        <v>3504</v>
      </c>
    </row>
    <row r="193" spans="1:10" x14ac:dyDescent="0.25">
      <c r="B193" s="153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6">
        <f t="shared" si="13"/>
        <v>9.8696399097247707E-3</v>
      </c>
      <c r="I193" s="197" t="s">
        <v>754</v>
      </c>
      <c r="J193" s="39">
        <v>3384</v>
      </c>
    </row>
    <row r="194" spans="1:10" x14ac:dyDescent="0.25">
      <c r="A194">
        <v>200</v>
      </c>
      <c r="B194" s="153">
        <v>42983</v>
      </c>
      <c r="C194" s="567">
        <v>350</v>
      </c>
      <c r="D194" s="638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6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3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6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3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6">
        <f t="shared" si="13"/>
        <v>6.141591089347917E-2</v>
      </c>
      <c r="I196" s="39"/>
      <c r="J196" s="39">
        <v>3633</v>
      </c>
    </row>
    <row r="197" spans="1:10" x14ac:dyDescent="0.25">
      <c r="B197" s="153"/>
      <c r="C197" s="10"/>
      <c r="D197" s="39"/>
      <c r="E197" s="39"/>
      <c r="F197" s="39"/>
      <c r="G197" s="39"/>
      <c r="H197" s="226"/>
      <c r="I197" s="39"/>
      <c r="J197" s="39"/>
    </row>
    <row r="198" spans="1:10" x14ac:dyDescent="0.25">
      <c r="A198">
        <v>0</v>
      </c>
      <c r="B198" s="153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6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3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6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3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6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3"/>
      <c r="C201" s="10"/>
      <c r="D201" s="39"/>
      <c r="E201" s="39"/>
      <c r="F201" s="39"/>
      <c r="G201" s="39"/>
      <c r="H201" s="226"/>
      <c r="I201" s="39"/>
      <c r="J201" s="39"/>
    </row>
    <row r="202" spans="1:10" x14ac:dyDescent="0.25">
      <c r="B202" s="153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6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3">
        <v>43021</v>
      </c>
      <c r="C203" s="10">
        <v>0</v>
      </c>
      <c r="D203" s="39"/>
      <c r="E203" s="39"/>
      <c r="F203" s="39">
        <v>752.92</v>
      </c>
      <c r="G203" s="39"/>
      <c r="H203" s="226"/>
      <c r="I203" s="39"/>
      <c r="J203" s="39">
        <v>4376.96</v>
      </c>
    </row>
    <row r="204" spans="1:10" x14ac:dyDescent="0.25">
      <c r="B204" s="153"/>
      <c r="C204" s="10"/>
      <c r="D204" s="39"/>
      <c r="E204" s="39"/>
      <c r="F204" s="39"/>
      <c r="G204" s="39"/>
      <c r="H204" s="226"/>
      <c r="I204" s="39"/>
      <c r="J204" s="39"/>
    </row>
    <row r="205" spans="1:10" x14ac:dyDescent="0.25">
      <c r="B205" s="153"/>
      <c r="C205" s="10"/>
      <c r="D205" s="39"/>
      <c r="E205" s="39"/>
      <c r="F205" s="39"/>
      <c r="G205" s="39"/>
      <c r="H205" s="226"/>
      <c r="I205" s="39"/>
      <c r="J205" s="39"/>
    </row>
    <row r="206" spans="1:10" x14ac:dyDescent="0.25">
      <c r="B206" s="153"/>
      <c r="C206" s="10"/>
      <c r="D206" s="39"/>
      <c r="E206" s="39"/>
      <c r="F206" s="39"/>
      <c r="G206" s="39"/>
      <c r="H206" s="226"/>
      <c r="I206" s="39"/>
      <c r="J206" s="39"/>
    </row>
    <row r="207" spans="1:10" x14ac:dyDescent="0.25">
      <c r="B207" s="153"/>
      <c r="C207" s="10"/>
      <c r="D207" s="39"/>
      <c r="E207" s="39"/>
      <c r="F207" s="39"/>
      <c r="G207" s="39"/>
      <c r="H207" s="226"/>
      <c r="I207" s="39"/>
      <c r="J207" s="39"/>
    </row>
    <row r="208" spans="1:10" x14ac:dyDescent="0.25">
      <c r="B208" s="153"/>
      <c r="C208" s="10"/>
      <c r="D208" s="39"/>
      <c r="E208" s="39"/>
      <c r="F208" s="39"/>
      <c r="G208" s="39"/>
      <c r="H208" s="226"/>
      <c r="I208" s="39"/>
      <c r="J208" s="39"/>
    </row>
    <row r="209" spans="2:10" x14ac:dyDescent="0.25">
      <c r="B209" s="153"/>
      <c r="C209" s="10"/>
      <c r="D209" s="39"/>
      <c r="E209" s="39"/>
      <c r="F209" s="39"/>
      <c r="G209" s="39"/>
      <c r="H209" s="226"/>
      <c r="I209" s="39"/>
      <c r="J209" s="39"/>
    </row>
    <row r="210" spans="2:10" x14ac:dyDescent="0.25">
      <c r="B210" s="153"/>
      <c r="C210" s="10"/>
      <c r="D210" s="39"/>
      <c r="E210" s="39"/>
      <c r="F210" s="39"/>
      <c r="G210" s="39"/>
      <c r="H210" s="226"/>
      <c r="I210" s="39"/>
      <c r="J210" s="39"/>
    </row>
    <row r="211" spans="2:10" x14ac:dyDescent="0.25">
      <c r="B211" s="153"/>
      <c r="C211" s="10"/>
      <c r="D211" s="39"/>
      <c r="E211" s="39"/>
      <c r="F211" s="39"/>
      <c r="G211" s="39"/>
      <c r="H211" s="226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53" priority="84">
      <formula>F7&gt;0</formula>
    </cfRule>
    <cfRule type="expression" dxfId="552" priority="85">
      <formula>F7&lt;0</formula>
    </cfRule>
  </conditionalFormatting>
  <conditionalFormatting sqref="Q8">
    <cfRule type="expression" dxfId="551" priority="82">
      <formula>Q8&gt;0</formula>
    </cfRule>
    <cfRule type="expression" dxfId="550" priority="83">
      <formula>Q8&lt;0</formula>
    </cfRule>
  </conditionalFormatting>
  <conditionalFormatting sqref="F29:F36">
    <cfRule type="expression" dxfId="549" priority="62">
      <formula>F29&gt;0</formula>
    </cfRule>
    <cfRule type="expression" dxfId="548" priority="63">
      <formula>F29&lt;0</formula>
    </cfRule>
  </conditionalFormatting>
  <conditionalFormatting sqref="J32:J38">
    <cfRule type="expression" dxfId="547" priority="57">
      <formula>J32&gt;0</formula>
    </cfRule>
    <cfRule type="expression" dxfId="546" priority="58">
      <formula>J32&lt;0</formula>
    </cfRule>
  </conditionalFormatting>
  <conditionalFormatting sqref="M42">
    <cfRule type="expression" dxfId="545" priority="55">
      <formula>M42&gt;0</formula>
    </cfRule>
    <cfRule type="expression" dxfId="544" priority="56">
      <formula>M42&lt;0</formula>
    </cfRule>
  </conditionalFormatting>
  <conditionalFormatting sqref="F98:F134 H98:H134 H137:H142 F137:F142 F144:F153 H144:H153">
    <cfRule type="expression" dxfId="543" priority="53">
      <formula>F98&gt;0</formula>
    </cfRule>
    <cfRule type="expression" dxfId="542" priority="54">
      <formula>F98&lt;0</formula>
    </cfRule>
  </conditionalFormatting>
  <conditionalFormatting sqref="F90:F97">
    <cfRule type="expression" dxfId="541" priority="51">
      <formula>F90&gt;0</formula>
    </cfRule>
    <cfRule type="expression" dxfId="540" priority="52">
      <formula>F90&lt;0</formula>
    </cfRule>
  </conditionalFormatting>
  <conditionalFormatting sqref="H90:H97">
    <cfRule type="expression" dxfId="539" priority="49">
      <formula>H90&gt;0</formula>
    </cfRule>
    <cfRule type="expression" dxfId="538" priority="50">
      <formula>H90&lt;0</formula>
    </cfRule>
  </conditionalFormatting>
  <conditionalFormatting sqref="F135:F136 H135:H136">
    <cfRule type="expression" dxfId="537" priority="47">
      <formula>F135&gt;0</formula>
    </cfRule>
    <cfRule type="expression" dxfId="536" priority="48">
      <formula>F135&lt;0</formula>
    </cfRule>
  </conditionalFormatting>
  <conditionalFormatting sqref="H143 F143">
    <cfRule type="expression" dxfId="535" priority="45">
      <formula>F143&gt;0</formula>
    </cfRule>
    <cfRule type="expression" dxfId="534" priority="46">
      <formula>F143&lt;0</formula>
    </cfRule>
  </conditionalFormatting>
  <conditionalFormatting sqref="F154:F161">
    <cfRule type="expression" dxfId="533" priority="31">
      <formula>F154&gt;0</formula>
    </cfRule>
    <cfRule type="expression" dxfId="532" priority="32">
      <formula>F154&lt;0</formula>
    </cfRule>
  </conditionalFormatting>
  <conditionalFormatting sqref="H154:H161">
    <cfRule type="expression" dxfId="531" priority="29">
      <formula>H154&gt;0</formula>
    </cfRule>
    <cfRule type="expression" dxfId="530" priority="30">
      <formula>H154&lt;0</formula>
    </cfRule>
  </conditionalFormatting>
  <conditionalFormatting sqref="Q10">
    <cfRule type="expression" dxfId="529" priority="27">
      <formula>Q10&gt;0</formula>
    </cfRule>
    <cfRule type="expression" dxfId="528" priority="28">
      <formula>Q10&lt;0</formula>
    </cfRule>
  </conditionalFormatting>
  <conditionalFormatting sqref="F37:F38">
    <cfRule type="expression" dxfId="527" priority="25">
      <formula>F37&gt;0</formula>
    </cfRule>
    <cfRule type="expression" dxfId="526" priority="26">
      <formula>F37&lt;0</formula>
    </cfRule>
  </conditionalFormatting>
  <conditionalFormatting sqref="H37:H38">
    <cfRule type="expression" dxfId="525" priority="23">
      <formula>H37&gt;0</formula>
    </cfRule>
    <cfRule type="expression" dxfId="524" priority="24">
      <formula>H37&lt;0</formula>
    </cfRule>
  </conditionalFormatting>
  <conditionalFormatting sqref="F167">
    <cfRule type="expression" dxfId="523" priority="21">
      <formula>F167&gt;0</formula>
    </cfRule>
    <cfRule type="expression" dxfId="522" priority="22">
      <formula>F167&lt;0</formula>
    </cfRule>
  </conditionalFormatting>
  <conditionalFormatting sqref="F168:F179">
    <cfRule type="expression" dxfId="521" priority="19">
      <formula>F168&gt;0</formula>
    </cfRule>
    <cfRule type="expression" dxfId="520" priority="20">
      <formula>F168&lt;0</formula>
    </cfRule>
  </conditionalFormatting>
  <conditionalFormatting sqref="H167:H179">
    <cfRule type="expression" dxfId="519" priority="17">
      <formula>H167&gt;0</formula>
    </cfRule>
    <cfRule type="expression" dxfId="518" priority="18">
      <formula>H167&lt;0</formula>
    </cfRule>
  </conditionalFormatting>
  <conditionalFormatting sqref="J175:J197 J201">
    <cfRule type="expression" dxfId="517" priority="15">
      <formula>J175&gt;0</formula>
    </cfRule>
    <cfRule type="expression" dxfId="516" priority="16">
      <formula>J175&lt;0</formula>
    </cfRule>
  </conditionalFormatting>
  <conditionalFormatting sqref="F180:F197 F201">
    <cfRule type="expression" dxfId="515" priority="13">
      <formula>F180&gt;0</formula>
    </cfRule>
    <cfRule type="expression" dxfId="514" priority="14">
      <formula>F180&lt;0</formula>
    </cfRule>
  </conditionalFormatting>
  <conditionalFormatting sqref="H180:H197 H201">
    <cfRule type="expression" dxfId="513" priority="11">
      <formula>H180&gt;0</formula>
    </cfRule>
    <cfRule type="expression" dxfId="512" priority="12">
      <formula>H180&lt;0</formula>
    </cfRule>
  </conditionalFormatting>
  <conditionalFormatting sqref="I32:J35">
    <cfRule type="expression" dxfId="511" priority="9">
      <formula>I32&gt;0</formula>
    </cfRule>
    <cfRule type="expression" dxfId="510" priority="10">
      <formula>I32&lt;0</formula>
    </cfRule>
  </conditionalFormatting>
  <conditionalFormatting sqref="F198:F200">
    <cfRule type="expression" dxfId="509" priority="7">
      <formula>F198&gt;0</formula>
    </cfRule>
    <cfRule type="expression" dxfId="508" priority="8">
      <formula>F198&lt;0</formula>
    </cfRule>
  </conditionalFormatting>
  <conditionalFormatting sqref="H198:H200">
    <cfRule type="expression" dxfId="507" priority="5">
      <formula>H198&gt;0</formula>
    </cfRule>
    <cfRule type="expression" dxfId="506" priority="6">
      <formula>H198&lt;0</formula>
    </cfRule>
  </conditionalFormatting>
  <conditionalFormatting sqref="J198:J200">
    <cfRule type="expression" dxfId="505" priority="3">
      <formula>J198&gt;0</formula>
    </cfRule>
    <cfRule type="expression" dxfId="504" priority="4">
      <formula>J198&lt;0</formula>
    </cfRule>
  </conditionalFormatting>
  <conditionalFormatting sqref="F202:F211 H202:H211 J202:J211">
    <cfRule type="expression" dxfId="503" priority="1">
      <formula>F202&gt;0</formula>
    </cfRule>
    <cfRule type="expression" dxfId="50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53" activePane="bottomLeft" state="frozen"/>
      <selection activeCell="A2" sqref="A2"/>
      <selection pane="bottomLeft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351</v>
      </c>
      <c r="B2" s="766"/>
      <c r="C2" s="767"/>
      <c r="D2" s="768"/>
      <c r="E2" s="768"/>
      <c r="F2" s="768"/>
      <c r="G2" s="766"/>
      <c r="H2" s="767"/>
      <c r="I2" s="768"/>
      <c r="J2" s="768"/>
      <c r="K2" s="768"/>
      <c r="L2" s="769"/>
      <c r="M2" s="768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89"/>
      <c r="C3" s="4"/>
      <c r="D3" s="3"/>
      <c r="E3" s="3"/>
      <c r="F3" s="3"/>
      <c r="G3" s="489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72.45</v>
      </c>
      <c r="T3" s="1"/>
    </row>
    <row r="4" spans="1:23" x14ac:dyDescent="0.25">
      <c r="B4" s="489"/>
      <c r="C4" s="4"/>
      <c r="D4" s="3"/>
      <c r="E4" s="3"/>
      <c r="F4" s="3"/>
      <c r="G4" s="489"/>
      <c r="H4" s="180"/>
      <c r="I4" s="3"/>
      <c r="J4" s="3"/>
      <c r="K4" s="3"/>
      <c r="L4" s="4"/>
      <c r="M4" s="4"/>
      <c r="O4" s="11" t="s">
        <v>66</v>
      </c>
      <c r="Q4" s="54">
        <v>72.45</v>
      </c>
      <c r="R4" s="507">
        <v>1.9E-2</v>
      </c>
      <c r="T4" s="159"/>
      <c r="U4" s="1"/>
    </row>
    <row r="5" spans="1:23" x14ac:dyDescent="0.25">
      <c r="B5" s="489"/>
      <c r="C5" s="4"/>
      <c r="D5" s="3"/>
      <c r="E5" s="3"/>
      <c r="F5" s="3"/>
      <c r="G5" s="489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89"/>
      <c r="C6" s="4"/>
      <c r="D6" s="3"/>
      <c r="E6" s="3"/>
      <c r="F6" s="3"/>
      <c r="G6" s="489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89"/>
      <c r="C7" s="4"/>
      <c r="D7" s="3"/>
      <c r="E7" s="3"/>
      <c r="F7" s="3"/>
      <c r="G7" s="489"/>
      <c r="H7" s="180"/>
      <c r="I7" s="3"/>
      <c r="J7" s="3"/>
      <c r="K7" s="3"/>
      <c r="L7" s="4"/>
      <c r="M7" s="4"/>
      <c r="O7" s="11" t="s">
        <v>178</v>
      </c>
      <c r="Q7" s="2">
        <f>Q10+Q8</f>
        <v>2060.4300000000003</v>
      </c>
      <c r="R7">
        <v>0</v>
      </c>
    </row>
    <row r="8" spans="1:23" x14ac:dyDescent="0.25">
      <c r="G8" s="489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3" x14ac:dyDescent="0.25">
      <c r="B9" s="489"/>
      <c r="C9" s="4"/>
      <c r="D9" s="3"/>
      <c r="E9" s="3"/>
      <c r="F9" s="3"/>
      <c r="G9" s="489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</row>
    <row r="10" spans="1:23" x14ac:dyDescent="0.25">
      <c r="B10" s="489"/>
      <c r="C10" s="4"/>
      <c r="D10" s="3"/>
      <c r="E10" s="3"/>
      <c r="F10" s="3"/>
      <c r="G10" s="489"/>
      <c r="H10" s="180"/>
      <c r="I10" s="3"/>
      <c r="J10" s="3"/>
      <c r="K10" s="3"/>
      <c r="L10" s="489"/>
      <c r="M10" s="4"/>
      <c r="O10" s="11" t="s">
        <v>209</v>
      </c>
      <c r="P10" s="33"/>
      <c r="Q10" s="2">
        <f>M59</f>
        <v>2060.4300000000003</v>
      </c>
    </row>
    <row r="11" spans="1:23" x14ac:dyDescent="0.25">
      <c r="B11" s="489"/>
      <c r="C11" s="4"/>
      <c r="D11" s="3"/>
      <c r="E11" s="3"/>
      <c r="F11" s="3"/>
      <c r="G11" s="489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89"/>
      <c r="C12" s="4"/>
      <c r="D12" s="3"/>
      <c r="E12" s="3"/>
      <c r="F12" s="3"/>
      <c r="G12" s="489"/>
      <c r="H12" s="180"/>
      <c r="I12" s="3"/>
      <c r="J12" s="3"/>
      <c r="K12" s="3"/>
      <c r="L12" s="4"/>
      <c r="M12" s="4"/>
    </row>
    <row r="13" spans="1:23" x14ac:dyDescent="0.25">
      <c r="B13" s="489"/>
      <c r="C13" s="4"/>
      <c r="D13" s="3"/>
      <c r="E13" s="3"/>
      <c r="F13" s="3"/>
      <c r="G13" s="489"/>
      <c r="H13" s="180"/>
      <c r="I13" s="3"/>
      <c r="J13" s="3"/>
      <c r="K13" s="3"/>
      <c r="L13" s="4"/>
      <c r="M13" s="4"/>
    </row>
    <row r="14" spans="1:23" x14ac:dyDescent="0.25">
      <c r="B14" s="489"/>
      <c r="C14" s="4"/>
      <c r="D14" s="3"/>
      <c r="E14" s="3"/>
      <c r="F14" s="3"/>
      <c r="G14" s="489"/>
      <c r="H14" s="180"/>
      <c r="I14" s="3"/>
      <c r="J14" s="3"/>
      <c r="K14" s="3"/>
      <c r="L14" s="4"/>
      <c r="M14" s="4"/>
    </row>
    <row r="15" spans="1:23" x14ac:dyDescent="0.25">
      <c r="B15" s="489"/>
      <c r="C15" s="4"/>
      <c r="D15" s="3"/>
      <c r="E15" s="3"/>
      <c r="F15" s="3"/>
      <c r="G15" s="489"/>
      <c r="H15" s="180"/>
      <c r="I15" s="3"/>
      <c r="J15" s="3"/>
      <c r="K15" s="3"/>
      <c r="L15" s="4"/>
      <c r="M15" s="4"/>
      <c r="O15" s="694" t="s">
        <v>113</v>
      </c>
      <c r="P15" s="694" t="s">
        <v>734</v>
      </c>
      <c r="Q15" s="694" t="s">
        <v>735</v>
      </c>
      <c r="R15" s="692" t="s">
        <v>728</v>
      </c>
      <c r="S15" s="692" t="s">
        <v>729</v>
      </c>
      <c r="T15" s="694" t="s">
        <v>731</v>
      </c>
      <c r="U15" s="694" t="s">
        <v>732</v>
      </c>
      <c r="V15" s="692" t="s">
        <v>730</v>
      </c>
      <c r="W15" s="693" t="s">
        <v>733</v>
      </c>
    </row>
    <row r="16" spans="1:23" x14ac:dyDescent="0.25">
      <c r="G16" s="29"/>
      <c r="H16" s="70"/>
      <c r="O16" s="695">
        <v>42963</v>
      </c>
      <c r="P16" s="691" t="s">
        <v>736</v>
      </c>
      <c r="Q16" s="691"/>
      <c r="R16" s="690">
        <v>1.18</v>
      </c>
      <c r="S16" s="690">
        <v>1.23</v>
      </c>
      <c r="T16" s="691">
        <v>16.28</v>
      </c>
      <c r="U16" s="691">
        <v>16.399999999999999</v>
      </c>
      <c r="V16" s="688" t="s">
        <v>739</v>
      </c>
      <c r="W16" s="689"/>
    </row>
    <row r="17" spans="1:23" x14ac:dyDescent="0.25">
      <c r="G17" s="29"/>
      <c r="O17" s="697"/>
      <c r="P17" s="691"/>
      <c r="Q17" s="691"/>
      <c r="R17" s="690"/>
      <c r="S17" s="688"/>
      <c r="T17" s="691"/>
      <c r="U17" s="691"/>
      <c r="V17" s="688"/>
      <c r="W17" s="689"/>
    </row>
    <row r="18" spans="1:23" x14ac:dyDescent="0.25">
      <c r="A18" s="31" t="s">
        <v>81</v>
      </c>
      <c r="B18" s="490"/>
      <c r="C18" s="14">
        <f>SUM(C2:C14)</f>
        <v>0</v>
      </c>
      <c r="D18" s="18"/>
      <c r="E18" s="18"/>
      <c r="F18" s="18">
        <f>SUM(F2:F14)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O18" s="696"/>
      <c r="P18" s="691"/>
      <c r="Q18" s="691"/>
      <c r="R18" s="688"/>
      <c r="S18" s="688"/>
      <c r="T18" s="691"/>
      <c r="U18" s="691"/>
      <c r="V18" s="688"/>
      <c r="W18" s="689"/>
    </row>
    <row r="19" spans="1:23" ht="15.75" thickBot="1" x14ac:dyDescent="0.3">
      <c r="A19" s="347" t="s">
        <v>194</v>
      </c>
      <c r="B19" s="491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O19" s="696"/>
      <c r="P19" s="691"/>
      <c r="Q19" s="691"/>
      <c r="R19" s="688"/>
      <c r="S19" s="688"/>
      <c r="T19" s="691"/>
      <c r="U19" s="691"/>
      <c r="V19" s="688"/>
      <c r="W19" s="689"/>
    </row>
    <row r="20" spans="1:23" x14ac:dyDescent="0.25">
      <c r="O20" s="696"/>
      <c r="P20" s="691"/>
      <c r="Q20" s="691"/>
      <c r="R20" s="688"/>
      <c r="S20" s="688"/>
      <c r="T20" s="691"/>
      <c r="U20" s="691"/>
      <c r="V20" s="688"/>
      <c r="W20" s="689"/>
    </row>
    <row r="21" spans="1:23" x14ac:dyDescent="0.25">
      <c r="O21" s="696"/>
      <c r="P21" s="691"/>
      <c r="Q21" s="691"/>
      <c r="R21" s="688"/>
      <c r="S21" s="688"/>
      <c r="T21" s="691"/>
      <c r="U21" s="691"/>
      <c r="V21" s="688"/>
      <c r="W21" s="689"/>
    </row>
    <row r="22" spans="1:23" x14ac:dyDescent="0.25">
      <c r="O22" s="696"/>
      <c r="P22" s="691"/>
      <c r="Q22" s="691"/>
      <c r="R22" s="688"/>
      <c r="S22" s="688"/>
      <c r="T22" s="691"/>
      <c r="U22" s="691"/>
      <c r="V22" s="688"/>
      <c r="W22" s="689"/>
    </row>
    <row r="23" spans="1:23" x14ac:dyDescent="0.25">
      <c r="B23" s="492" t="s">
        <v>113</v>
      </c>
      <c r="C23" s="186" t="s">
        <v>146</v>
      </c>
      <c r="D23" s="187" t="s">
        <v>145</v>
      </c>
      <c r="E23" s="189" t="s">
        <v>147</v>
      </c>
      <c r="F23" s="189" t="s">
        <v>65</v>
      </c>
      <c r="G23" s="224" t="s">
        <v>151</v>
      </c>
      <c r="H23" s="224" t="s">
        <v>88</v>
      </c>
      <c r="I23" s="224" t="s">
        <v>154</v>
      </c>
      <c r="J23" s="224" t="s">
        <v>150</v>
      </c>
      <c r="O23" s="696"/>
      <c r="P23" s="691"/>
      <c r="Q23" s="691"/>
      <c r="R23" s="688"/>
      <c r="S23" s="688"/>
      <c r="T23" s="691"/>
      <c r="U23" s="691"/>
      <c r="V23" s="688"/>
      <c r="W23" s="689"/>
    </row>
    <row r="24" spans="1:23" x14ac:dyDescent="0.25">
      <c r="A24" s="1"/>
      <c r="B24" s="153"/>
      <c r="C24" s="10"/>
      <c r="D24" s="39"/>
      <c r="E24" s="39"/>
      <c r="F24" s="39"/>
      <c r="G24" s="39"/>
      <c r="H24" s="158"/>
      <c r="I24" s="39"/>
      <c r="J24" s="39"/>
      <c r="K24" s="3"/>
      <c r="L24" s="4"/>
      <c r="M24" s="4"/>
      <c r="O24" s="696"/>
      <c r="P24" s="691"/>
      <c r="Q24" s="691"/>
      <c r="R24" s="688"/>
      <c r="S24" s="688"/>
      <c r="T24" s="691"/>
      <c r="U24" s="691"/>
      <c r="V24" s="688"/>
      <c r="W24" s="689"/>
    </row>
    <row r="25" spans="1:23" x14ac:dyDescent="0.25">
      <c r="B25" s="153"/>
      <c r="C25" s="10"/>
      <c r="D25" s="39"/>
      <c r="E25" s="39"/>
      <c r="F25" s="39"/>
      <c r="G25" s="39"/>
      <c r="H25" s="158"/>
      <c r="I25" s="39"/>
      <c r="J25" s="39"/>
      <c r="O25" s="696"/>
      <c r="P25" s="691"/>
      <c r="Q25" s="691"/>
      <c r="R25" s="688"/>
      <c r="S25" s="688"/>
      <c r="T25" s="691"/>
      <c r="U25" s="691"/>
      <c r="V25" s="688"/>
      <c r="W25" s="689"/>
    </row>
    <row r="26" spans="1:23" x14ac:dyDescent="0.25">
      <c r="B26" s="153"/>
      <c r="C26" s="10"/>
      <c r="D26" s="39"/>
      <c r="E26" s="39"/>
      <c r="F26" s="39"/>
      <c r="G26" s="39"/>
      <c r="H26" s="158"/>
      <c r="I26" s="39"/>
      <c r="J26" s="39"/>
      <c r="O26" s="696"/>
      <c r="P26" s="691"/>
      <c r="Q26" s="691"/>
      <c r="R26" s="688"/>
      <c r="S26" s="688"/>
      <c r="T26" s="691"/>
      <c r="U26" s="691"/>
      <c r="V26" s="688"/>
      <c r="W26" s="689"/>
    </row>
    <row r="27" spans="1:23" x14ac:dyDescent="0.25">
      <c r="B27" s="153"/>
      <c r="C27" s="10"/>
      <c r="D27" s="39"/>
      <c r="E27" s="39"/>
      <c r="F27" s="39"/>
      <c r="G27" s="39"/>
      <c r="H27" s="158"/>
      <c r="I27" s="39"/>
      <c r="J27" s="39"/>
    </row>
    <row r="28" spans="1:23" x14ac:dyDescent="0.25">
      <c r="B28" s="153"/>
      <c r="C28" s="10"/>
      <c r="D28" s="39"/>
      <c r="E28" s="39"/>
      <c r="F28" s="39"/>
      <c r="G28" s="39"/>
      <c r="H28" s="158"/>
      <c r="I28" s="39"/>
      <c r="J28" s="39"/>
    </row>
    <row r="29" spans="1:23" x14ac:dyDescent="0.25">
      <c r="B29" s="153"/>
      <c r="C29" s="10"/>
      <c r="D29" s="39"/>
      <c r="E29" s="39"/>
      <c r="F29" s="39"/>
      <c r="G29" s="39"/>
      <c r="H29" s="158"/>
      <c r="I29" s="39"/>
      <c r="J29" s="39"/>
    </row>
    <row r="30" spans="1:23" x14ac:dyDescent="0.25">
      <c r="B30" s="153"/>
      <c r="C30" s="10"/>
      <c r="D30" s="39"/>
      <c r="E30" s="39"/>
      <c r="F30" s="39"/>
      <c r="G30" s="39"/>
      <c r="H30" s="158"/>
      <c r="I30" s="39"/>
      <c r="J30" s="39"/>
    </row>
    <row r="31" spans="1:23" x14ac:dyDescent="0.25">
      <c r="B31" s="153"/>
      <c r="C31" s="10"/>
      <c r="D31" s="39"/>
      <c r="E31" s="39"/>
      <c r="F31" s="39"/>
      <c r="G31" s="39"/>
      <c r="H31" s="158"/>
      <c r="I31" s="39"/>
      <c r="J31" s="39"/>
    </row>
    <row r="32" spans="1:23" x14ac:dyDescent="0.25">
      <c r="B32" s="153"/>
      <c r="C32" s="10"/>
      <c r="D32" s="39"/>
      <c r="E32" s="39"/>
      <c r="F32" s="39"/>
      <c r="G32" s="39"/>
      <c r="H32" s="158"/>
      <c r="I32" s="39"/>
      <c r="J32" s="39"/>
    </row>
    <row r="33" spans="1:21" x14ac:dyDescent="0.25">
      <c r="B33" s="153"/>
      <c r="C33" s="10"/>
      <c r="D33" s="39"/>
      <c r="E33" s="39"/>
      <c r="F33" s="39"/>
      <c r="G33" s="39"/>
      <c r="H33" s="158"/>
      <c r="I33" s="39"/>
      <c r="J33" s="39"/>
    </row>
    <row r="34" spans="1:21" x14ac:dyDescent="0.25">
      <c r="B34" s="153"/>
      <c r="C34" s="10"/>
      <c r="D34" s="39"/>
      <c r="E34" s="39"/>
      <c r="F34" s="39"/>
      <c r="G34" s="39"/>
      <c r="H34" s="158"/>
      <c r="I34" s="39"/>
      <c r="J34" s="39"/>
    </row>
    <row r="35" spans="1:21" x14ac:dyDescent="0.25">
      <c r="B35" s="153"/>
      <c r="C35" s="10"/>
      <c r="D35" s="39"/>
      <c r="E35" s="39"/>
      <c r="F35" s="39"/>
      <c r="G35" s="39"/>
      <c r="H35" s="158"/>
      <c r="I35" s="39"/>
      <c r="J35" s="39"/>
    </row>
    <row r="36" spans="1:21" x14ac:dyDescent="0.25">
      <c r="B36" s="153"/>
      <c r="C36" s="10"/>
      <c r="D36" s="39"/>
      <c r="E36" s="39"/>
      <c r="F36" s="39"/>
      <c r="G36" s="39"/>
      <c r="H36" s="158"/>
      <c r="I36" s="39"/>
      <c r="J36" s="39"/>
    </row>
    <row r="37" spans="1:21" x14ac:dyDescent="0.25">
      <c r="B37" s="153"/>
      <c r="C37" s="10"/>
      <c r="D37" s="39"/>
      <c r="E37" s="39"/>
      <c r="F37" s="39"/>
      <c r="G37" s="39"/>
      <c r="H37" s="158"/>
      <c r="I37" s="39"/>
      <c r="J37" s="39"/>
    </row>
    <row r="38" spans="1:21" x14ac:dyDescent="0.25">
      <c r="B38" s="153"/>
      <c r="C38" s="10"/>
      <c r="D38" s="39"/>
      <c r="E38" s="39"/>
      <c r="F38" s="39"/>
      <c r="G38" s="39"/>
      <c r="H38" s="158"/>
      <c r="I38" s="39"/>
      <c r="J38" s="39"/>
    </row>
    <row r="39" spans="1:21" x14ac:dyDescent="0.25">
      <c r="B39" s="153"/>
      <c r="C39" s="10"/>
      <c r="D39" s="39"/>
      <c r="E39" s="39"/>
      <c r="F39" s="39"/>
      <c r="G39" s="39"/>
      <c r="H39" s="158"/>
      <c r="I39" s="39"/>
      <c r="J39" s="39"/>
    </row>
    <row r="40" spans="1:21" ht="20.25" thickBot="1" x14ac:dyDescent="0.35">
      <c r="B40" s="153"/>
      <c r="C40" s="10"/>
      <c r="D40" s="39"/>
      <c r="E40" s="39"/>
      <c r="F40" s="39"/>
      <c r="G40" s="39"/>
      <c r="H40" s="158"/>
      <c r="I40" s="39"/>
      <c r="J40" s="39"/>
      <c r="O40" s="804" t="s">
        <v>78</v>
      </c>
      <c r="P40" s="804"/>
    </row>
    <row r="41" spans="1:21" ht="15.75" thickTop="1" x14ac:dyDescent="0.25">
      <c r="B41" s="153"/>
      <c r="C41" s="10"/>
      <c r="D41" s="39"/>
      <c r="E41" s="39"/>
      <c r="F41" s="39"/>
      <c r="G41" s="39"/>
      <c r="H41" s="158"/>
      <c r="I41" s="39"/>
      <c r="J41" s="39"/>
      <c r="O41" s="81">
        <v>1.1000000000000001</v>
      </c>
      <c r="P41" s="81">
        <f>O41*$Q$4</f>
        <v>79.695000000000007</v>
      </c>
      <c r="Q41" s="2"/>
    </row>
    <row r="42" spans="1:21" ht="20.25" thickBot="1" x14ac:dyDescent="0.35">
      <c r="B42" s="153"/>
      <c r="C42" s="10"/>
      <c r="D42" s="39"/>
      <c r="E42" s="10"/>
      <c r="F42" s="39"/>
      <c r="G42" s="39"/>
      <c r="H42" s="158"/>
      <c r="I42" s="39"/>
      <c r="J42" s="39"/>
      <c r="O42" s="81">
        <v>1.0900000000000001</v>
      </c>
      <c r="P42" s="81">
        <f t="shared" ref="P42:P61" si="0">O42*$Q$4</f>
        <v>78.970500000000015</v>
      </c>
      <c r="Q42" s="2"/>
      <c r="T42" s="89" t="s">
        <v>112</v>
      </c>
    </row>
    <row r="43" spans="1:21" ht="15.75" thickTop="1" x14ac:dyDescent="0.25">
      <c r="A43" s="1"/>
      <c r="B43" s="153"/>
      <c r="C43" s="10"/>
      <c r="D43" s="39"/>
      <c r="E43" s="10"/>
      <c r="F43" s="39"/>
      <c r="G43" s="39"/>
      <c r="H43" s="158"/>
      <c r="I43" s="39"/>
      <c r="J43" s="39"/>
      <c r="O43" s="81">
        <v>1.08</v>
      </c>
      <c r="P43" s="81">
        <f t="shared" si="0"/>
        <v>78.246000000000009</v>
      </c>
      <c r="Q43" s="2"/>
      <c r="T43" s="125" t="s">
        <v>97</v>
      </c>
      <c r="U43" s="126">
        <v>53.43</v>
      </c>
    </row>
    <row r="44" spans="1:21" x14ac:dyDescent="0.25">
      <c r="B44" s="153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77.521500000000003</v>
      </c>
      <c r="Q44" s="2"/>
      <c r="T44" s="91" t="s">
        <v>98</v>
      </c>
      <c r="U44" s="127">
        <v>53.55</v>
      </c>
    </row>
    <row r="45" spans="1:21" x14ac:dyDescent="0.25">
      <c r="B45" s="153"/>
      <c r="C45" s="10"/>
      <c r="D45" s="39"/>
      <c r="E45" s="10"/>
      <c r="F45" s="39"/>
      <c r="G45" s="10"/>
      <c r="H45" s="158"/>
      <c r="I45" s="39"/>
      <c r="J45" s="39"/>
      <c r="O45" s="81">
        <v>1.06</v>
      </c>
      <c r="P45" s="81">
        <f t="shared" si="0"/>
        <v>76.797000000000011</v>
      </c>
      <c r="Q45" s="2"/>
      <c r="T45" s="91" t="s">
        <v>99</v>
      </c>
      <c r="U45" s="127" t="s">
        <v>128</v>
      </c>
    </row>
    <row r="46" spans="1:21" x14ac:dyDescent="0.25">
      <c r="B46" s="153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76.072500000000005</v>
      </c>
      <c r="Q46" s="2"/>
      <c r="T46" s="91" t="s">
        <v>100</v>
      </c>
      <c r="U46" s="127" t="s">
        <v>128</v>
      </c>
    </row>
    <row r="47" spans="1:21" x14ac:dyDescent="0.25">
      <c r="B47" s="153"/>
      <c r="C47" s="10"/>
      <c r="D47" s="39"/>
      <c r="E47" s="39"/>
      <c r="F47" s="39"/>
      <c r="G47" s="10"/>
      <c r="H47" s="158"/>
      <c r="I47" s="39"/>
      <c r="J47" s="39"/>
      <c r="O47" s="81">
        <v>1.04</v>
      </c>
      <c r="P47" s="81">
        <f t="shared" si="0"/>
        <v>75.347999999999999</v>
      </c>
      <c r="Q47" s="2"/>
      <c r="T47" s="91" t="s">
        <v>101</v>
      </c>
      <c r="U47" s="127">
        <v>61.81</v>
      </c>
    </row>
    <row r="48" spans="1:21" x14ac:dyDescent="0.25">
      <c r="B48" s="153"/>
      <c r="C48" s="10"/>
      <c r="D48" s="39"/>
      <c r="E48" s="39"/>
      <c r="F48" s="39"/>
      <c r="G48" s="10"/>
      <c r="H48" s="158"/>
      <c r="I48" s="39"/>
      <c r="J48" s="39"/>
      <c r="O48" s="81">
        <v>1.03</v>
      </c>
      <c r="P48" s="81">
        <f t="shared" si="0"/>
        <v>74.623500000000007</v>
      </c>
      <c r="Q48" s="2"/>
      <c r="T48" s="91" t="s">
        <v>102</v>
      </c>
      <c r="U48" s="127">
        <v>0.240561</v>
      </c>
    </row>
    <row r="49" spans="1:21" x14ac:dyDescent="0.25">
      <c r="B49" s="153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73.899000000000001</v>
      </c>
      <c r="Q49" s="2"/>
      <c r="T49" s="91" t="s">
        <v>103</v>
      </c>
      <c r="U49" s="127" t="s">
        <v>496</v>
      </c>
    </row>
    <row r="50" spans="1:21" x14ac:dyDescent="0.25">
      <c r="B50" s="153"/>
      <c r="C50" s="10"/>
      <c r="D50" s="39"/>
      <c r="E50" s="39"/>
      <c r="F50" s="39"/>
      <c r="G50" s="10"/>
      <c r="H50" s="158"/>
      <c r="I50" s="39"/>
      <c r="J50" s="39"/>
      <c r="O50" s="81">
        <v>1.01</v>
      </c>
      <c r="P50" s="81">
        <f t="shared" si="0"/>
        <v>73.174500000000009</v>
      </c>
      <c r="Q50" s="2"/>
      <c r="T50" s="91"/>
      <c r="U50" s="127"/>
    </row>
    <row r="51" spans="1:21" x14ac:dyDescent="0.25">
      <c r="B51" s="153"/>
      <c r="C51" s="10"/>
      <c r="D51" s="39"/>
      <c r="E51" s="39"/>
      <c r="F51" s="39"/>
      <c r="G51" s="10"/>
      <c r="H51" s="158"/>
      <c r="I51" s="39"/>
      <c r="J51" s="39"/>
      <c r="O51" s="81">
        <v>1</v>
      </c>
      <c r="P51" s="81">
        <f t="shared" si="0"/>
        <v>72.45</v>
      </c>
      <c r="Q51" s="2"/>
      <c r="T51" s="91" t="s">
        <v>104</v>
      </c>
      <c r="U51" s="127" t="s">
        <v>667</v>
      </c>
    </row>
    <row r="52" spans="1:21" x14ac:dyDescent="0.25">
      <c r="B52" s="153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71.725499999999997</v>
      </c>
      <c r="Q52" s="2"/>
      <c r="T52" s="91" t="s">
        <v>105</v>
      </c>
      <c r="U52" s="127" t="s">
        <v>668</v>
      </c>
    </row>
    <row r="53" spans="1:21" x14ac:dyDescent="0.25">
      <c r="B53" s="153"/>
      <c r="C53" s="10"/>
      <c r="D53" s="39"/>
      <c r="E53" s="39"/>
      <c r="F53" s="39"/>
      <c r="G53" s="10"/>
      <c r="H53" s="158"/>
      <c r="I53" s="39"/>
      <c r="J53" s="39"/>
      <c r="O53" s="81">
        <v>0.98</v>
      </c>
      <c r="P53" s="81">
        <f t="shared" si="0"/>
        <v>71.001000000000005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70.276499999999999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69.552000000000007</v>
      </c>
      <c r="T55" s="91" t="s">
        <v>107</v>
      </c>
      <c r="U55" s="127" t="s">
        <v>669</v>
      </c>
    </row>
    <row r="56" spans="1:21" x14ac:dyDescent="0.25">
      <c r="O56" s="81">
        <v>0.95</v>
      </c>
      <c r="P56" s="81">
        <f t="shared" si="0"/>
        <v>68.827500000000001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68.102999999999994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67.378500000000003</v>
      </c>
      <c r="T58" s="91" t="s">
        <v>108</v>
      </c>
      <c r="U58" s="127" t="s">
        <v>570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66.654000000000011</v>
      </c>
    </row>
    <row r="60" spans="1:21" x14ac:dyDescent="0.25">
      <c r="A60" s="377" t="s">
        <v>1</v>
      </c>
      <c r="B60" s="640" t="s">
        <v>2</v>
      </c>
      <c r="C60" s="377" t="s">
        <v>4</v>
      </c>
      <c r="D60" s="379" t="s">
        <v>5</v>
      </c>
      <c r="E60" s="379" t="s">
        <v>94</v>
      </c>
      <c r="F60" s="379" t="s">
        <v>60</v>
      </c>
      <c r="G60" s="377" t="s">
        <v>3</v>
      </c>
      <c r="H60" s="377" t="s">
        <v>6</v>
      </c>
      <c r="I60" s="379" t="s">
        <v>7</v>
      </c>
      <c r="J60" s="379" t="s">
        <v>95</v>
      </c>
      <c r="K60" s="379" t="s">
        <v>61</v>
      </c>
      <c r="L60" s="377" t="s">
        <v>37</v>
      </c>
      <c r="M60" s="377" t="s">
        <v>38</v>
      </c>
      <c r="O60" s="81">
        <v>0.91</v>
      </c>
      <c r="P60" s="81">
        <f t="shared" si="0"/>
        <v>65.929500000000004</v>
      </c>
    </row>
    <row r="61" spans="1:21" x14ac:dyDescent="0.25">
      <c r="A61" s="380" t="s">
        <v>351</v>
      </c>
      <c r="B61" s="635">
        <v>42755</v>
      </c>
      <c r="C61" s="371">
        <v>30</v>
      </c>
      <c r="D61" s="372">
        <v>64.680000000000007</v>
      </c>
      <c r="E61" s="372">
        <v>0</v>
      </c>
      <c r="F61" s="372">
        <f t="shared" ref="F61:F66" si="1">D61*C61+E61</f>
        <v>1940.4</v>
      </c>
      <c r="G61" s="635">
        <v>42864</v>
      </c>
      <c r="H61" s="375">
        <v>80</v>
      </c>
      <c r="I61" s="372">
        <v>57.98</v>
      </c>
      <c r="J61" s="372">
        <v>0.1</v>
      </c>
      <c r="K61" s="372">
        <f>H61*I61-J61</f>
        <v>4638.2999999999993</v>
      </c>
      <c r="L61" s="370">
        <v>42805</v>
      </c>
      <c r="M61" s="372">
        <v>18</v>
      </c>
      <c r="O61" s="81">
        <v>0.9</v>
      </c>
      <c r="P61" s="81">
        <f t="shared" si="0"/>
        <v>65.204999999999998</v>
      </c>
    </row>
    <row r="62" spans="1:21" x14ac:dyDescent="0.25">
      <c r="A62" s="381" t="s">
        <v>71</v>
      </c>
      <c r="B62" s="635">
        <v>42797</v>
      </c>
      <c r="C62" s="371">
        <v>50</v>
      </c>
      <c r="D62" s="372">
        <v>57.38</v>
      </c>
      <c r="E62" s="372">
        <v>0</v>
      </c>
      <c r="F62" s="372">
        <f t="shared" si="1"/>
        <v>2869</v>
      </c>
      <c r="G62" s="635">
        <v>42955</v>
      </c>
      <c r="H62" s="375">
        <v>100</v>
      </c>
      <c r="I62" s="372">
        <v>58.78</v>
      </c>
      <c r="J62" s="372">
        <v>0.14000000000000001</v>
      </c>
      <c r="K62" s="372">
        <f>H62*I62-J62</f>
        <v>5877.86</v>
      </c>
      <c r="L62" s="370">
        <v>42899</v>
      </c>
      <c r="M62" s="372">
        <v>48</v>
      </c>
    </row>
    <row r="63" spans="1:21" x14ac:dyDescent="0.25">
      <c r="A63" s="371"/>
      <c r="B63" s="635">
        <v>42809</v>
      </c>
      <c r="C63" s="371">
        <v>50</v>
      </c>
      <c r="D63" s="372">
        <v>54.38</v>
      </c>
      <c r="E63" s="372">
        <v>0</v>
      </c>
      <c r="F63" s="372">
        <f t="shared" si="1"/>
        <v>2719</v>
      </c>
      <c r="G63" s="635">
        <v>42984</v>
      </c>
      <c r="H63" s="375">
        <v>80</v>
      </c>
      <c r="I63" s="372">
        <v>58.38</v>
      </c>
      <c r="J63" s="372">
        <v>0.11</v>
      </c>
      <c r="K63" s="372">
        <f>H63*I63-J63</f>
        <v>4670.2900000000009</v>
      </c>
      <c r="L63" s="371"/>
      <c r="M63" s="371"/>
    </row>
    <row r="64" spans="1:21" x14ac:dyDescent="0.25">
      <c r="A64" s="371"/>
      <c r="B64" s="635">
        <v>42866</v>
      </c>
      <c r="C64" s="371">
        <v>30</v>
      </c>
      <c r="D64" s="372">
        <v>56.25</v>
      </c>
      <c r="E64" s="372">
        <v>0</v>
      </c>
      <c r="F64" s="372">
        <f t="shared" si="1"/>
        <v>1687.5</v>
      </c>
      <c r="G64" s="635"/>
      <c r="H64" s="375"/>
      <c r="I64" s="372"/>
      <c r="J64" s="372"/>
      <c r="K64" s="372"/>
      <c r="L64" s="371"/>
      <c r="M64" s="371"/>
    </row>
    <row r="65" spans="1:13" x14ac:dyDescent="0.25">
      <c r="A65" s="371"/>
      <c r="B65" s="635">
        <v>42871</v>
      </c>
      <c r="C65" s="371">
        <v>50</v>
      </c>
      <c r="D65" s="372">
        <v>54.45</v>
      </c>
      <c r="E65" s="372">
        <v>0</v>
      </c>
      <c r="F65" s="372">
        <f t="shared" si="1"/>
        <v>2722.5</v>
      </c>
      <c r="G65" s="635"/>
      <c r="H65" s="375"/>
      <c r="I65" s="372"/>
      <c r="J65" s="372"/>
      <c r="K65" s="372"/>
      <c r="L65" s="371"/>
      <c r="M65" s="371"/>
    </row>
    <row r="66" spans="1:13" x14ac:dyDescent="0.25">
      <c r="A66" s="371"/>
      <c r="B66" s="635">
        <v>42902</v>
      </c>
      <c r="C66" s="371">
        <v>50</v>
      </c>
      <c r="D66" s="372">
        <v>49</v>
      </c>
      <c r="E66" s="372">
        <v>0</v>
      </c>
      <c r="F66" s="372">
        <f t="shared" si="1"/>
        <v>2450</v>
      </c>
      <c r="G66" s="635"/>
      <c r="H66" s="375"/>
      <c r="I66" s="372"/>
      <c r="J66" s="372"/>
      <c r="K66" s="372"/>
      <c r="L66" s="371"/>
      <c r="M66" s="371"/>
    </row>
    <row r="67" spans="1:13" x14ac:dyDescent="0.25">
      <c r="A67" s="371"/>
      <c r="B67" s="635"/>
      <c r="C67" s="371"/>
      <c r="D67" s="372"/>
      <c r="E67" s="372"/>
      <c r="F67" s="372"/>
      <c r="G67" s="635"/>
      <c r="H67" s="375"/>
      <c r="I67" s="372"/>
      <c r="J67" s="372"/>
      <c r="K67" s="372"/>
      <c r="L67" s="371"/>
      <c r="M67" s="371"/>
    </row>
    <row r="68" spans="1:13" x14ac:dyDescent="0.25">
      <c r="A68" s="371"/>
      <c r="B68" s="488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88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71"/>
      <c r="B69" s="635"/>
      <c r="C69" s="371"/>
      <c r="D69" s="372"/>
      <c r="E69" s="372"/>
      <c r="F69" s="372"/>
      <c r="G69" s="635"/>
      <c r="H69" s="375"/>
      <c r="I69" s="372"/>
      <c r="J69" s="372"/>
      <c r="K69" s="372"/>
      <c r="L69" s="635"/>
      <c r="M69" s="371"/>
    </row>
    <row r="70" spans="1:13" x14ac:dyDescent="0.25">
      <c r="A70" s="371"/>
      <c r="B70" s="489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89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71"/>
      <c r="B71" s="635"/>
      <c r="C71" s="371"/>
      <c r="D71" s="372"/>
      <c r="E71" s="372"/>
      <c r="F71" s="372"/>
      <c r="G71" s="635"/>
      <c r="H71" s="375"/>
      <c r="I71" s="372"/>
      <c r="J71" s="372"/>
      <c r="K71" s="372"/>
      <c r="L71" s="371"/>
      <c r="M71" s="371"/>
    </row>
    <row r="72" spans="1:13" x14ac:dyDescent="0.25">
      <c r="A72" s="371"/>
      <c r="B72" s="635"/>
      <c r="C72" s="371"/>
      <c r="D72" s="372"/>
      <c r="E72" s="372"/>
      <c r="F72" s="372"/>
      <c r="G72" s="635"/>
      <c r="H72" s="375"/>
      <c r="I72" s="372"/>
      <c r="J72" s="372"/>
      <c r="K72" s="372"/>
      <c r="L72" s="371"/>
      <c r="M72" s="371"/>
    </row>
    <row r="73" spans="1:13" x14ac:dyDescent="0.25">
      <c r="A73" s="371"/>
      <c r="B73" s="635"/>
      <c r="C73" s="371"/>
      <c r="D73" s="372"/>
      <c r="E73" s="372"/>
      <c r="F73" s="372"/>
      <c r="G73" s="635"/>
      <c r="H73" s="375"/>
      <c r="I73" s="372"/>
      <c r="J73" s="372"/>
      <c r="K73" s="372"/>
      <c r="L73" s="371"/>
      <c r="M73" s="371"/>
    </row>
    <row r="74" spans="1:13" x14ac:dyDescent="0.25">
      <c r="A74" s="371"/>
      <c r="B74" s="635"/>
      <c r="C74" s="371"/>
      <c r="D74" s="372"/>
      <c r="E74" s="372"/>
      <c r="F74" s="372"/>
      <c r="G74" s="635"/>
      <c r="H74" s="375"/>
      <c r="I74" s="372"/>
      <c r="J74" s="372"/>
      <c r="K74" s="372"/>
      <c r="L74" s="371"/>
      <c r="M74" s="371"/>
    </row>
    <row r="75" spans="1:13" x14ac:dyDescent="0.25">
      <c r="A75" s="371"/>
      <c r="B75" s="635"/>
      <c r="C75" s="371"/>
      <c r="D75" s="372"/>
      <c r="E75" s="372"/>
      <c r="F75" s="372"/>
      <c r="G75" s="635"/>
      <c r="H75" s="375"/>
      <c r="I75" s="372"/>
      <c r="J75" s="372"/>
      <c r="K75" s="372"/>
      <c r="L75" s="371"/>
      <c r="M75" s="371"/>
    </row>
    <row r="76" spans="1:13" x14ac:dyDescent="0.25">
      <c r="A76" s="371"/>
      <c r="B76" s="635"/>
      <c r="C76" s="371"/>
      <c r="D76" s="372"/>
      <c r="E76" s="372"/>
      <c r="F76" s="372"/>
      <c r="G76" s="635"/>
      <c r="H76" s="371"/>
      <c r="I76" s="372"/>
      <c r="J76" s="372"/>
      <c r="K76" s="372"/>
      <c r="L76" s="371"/>
      <c r="M76" s="371"/>
    </row>
    <row r="77" spans="1:13" x14ac:dyDescent="0.25">
      <c r="A77" s="21" t="s">
        <v>81</v>
      </c>
      <c r="B77" s="641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55" t="s">
        <v>194</v>
      </c>
      <c r="B78" s="642"/>
      <c r="C78" s="457">
        <f>SumByColor($A$19,C61:C76)</f>
        <v>100</v>
      </c>
      <c r="D78" s="457"/>
      <c r="E78" s="457"/>
      <c r="F78" s="458">
        <f>SumByColor($A$19,F61:F76)</f>
        <v>5750</v>
      </c>
      <c r="G78" s="457"/>
      <c r="H78" s="457">
        <f>SumByColor($A$19,H61:H76)</f>
        <v>100</v>
      </c>
      <c r="I78" s="457"/>
      <c r="J78" s="457"/>
      <c r="K78" s="458">
        <f>SumByColor($A$19,K61:K76)</f>
        <v>5998</v>
      </c>
      <c r="L78" s="457"/>
      <c r="M78" s="458">
        <f>SumByColor($A$19,M61:M76)</f>
        <v>143</v>
      </c>
    </row>
    <row r="83" spans="1:13" x14ac:dyDescent="0.25">
      <c r="A83" s="371"/>
      <c r="B83" s="633" t="s">
        <v>113</v>
      </c>
      <c r="C83" s="498" t="s">
        <v>146</v>
      </c>
      <c r="D83" s="499" t="s">
        <v>145</v>
      </c>
      <c r="E83" s="500" t="s">
        <v>147</v>
      </c>
      <c r="F83" s="500" t="s">
        <v>65</v>
      </c>
      <c r="G83" s="502" t="s">
        <v>151</v>
      </c>
      <c r="H83" s="502" t="s">
        <v>88</v>
      </c>
      <c r="I83" s="502" t="s">
        <v>154</v>
      </c>
      <c r="J83" s="502" t="s">
        <v>150</v>
      </c>
      <c r="K83" s="372"/>
      <c r="L83" s="371"/>
      <c r="M83" s="371"/>
    </row>
    <row r="84" spans="1:13" x14ac:dyDescent="0.25">
      <c r="A84" s="371"/>
      <c r="B84" s="635">
        <v>42755</v>
      </c>
      <c r="C84" s="371">
        <v>30</v>
      </c>
      <c r="D84" s="372">
        <v>64.680000000000007</v>
      </c>
      <c r="E84" s="372">
        <v>64.099999999999994</v>
      </c>
      <c r="F84" s="372">
        <f t="shared" ref="F84:F103" si="2">C84*(E84-D84)</f>
        <v>-17.400000000000375</v>
      </c>
      <c r="G84" s="372">
        <f t="shared" ref="G84:G103" si="3">D84*C84</f>
        <v>1940.4</v>
      </c>
      <c r="H84" s="719">
        <f>(E84-D84)/D84</f>
        <v>-8.9672232529377314E-3</v>
      </c>
      <c r="I84" s="372"/>
      <c r="J84" s="372"/>
      <c r="K84" s="372"/>
      <c r="L84" s="371"/>
      <c r="M84" s="371"/>
    </row>
    <row r="85" spans="1:13" x14ac:dyDescent="0.25">
      <c r="A85" s="371"/>
      <c r="B85" s="635">
        <v>42760</v>
      </c>
      <c r="C85" s="371">
        <v>30</v>
      </c>
      <c r="D85" s="372">
        <v>64.680000000000007</v>
      </c>
      <c r="E85" s="372">
        <v>65</v>
      </c>
      <c r="F85" s="372">
        <f t="shared" si="2"/>
        <v>9.5999999999997954</v>
      </c>
      <c r="G85" s="372">
        <f t="shared" si="3"/>
        <v>1940.4</v>
      </c>
      <c r="H85" s="719">
        <f t="shared" ref="H85:H103" si="4">(E85-D85)/D85</f>
        <v>4.947433518861984E-3</v>
      </c>
      <c r="I85" s="372"/>
      <c r="J85" s="372"/>
      <c r="K85" s="372"/>
      <c r="L85" s="371"/>
      <c r="M85" s="371"/>
    </row>
    <row r="86" spans="1:13" x14ac:dyDescent="0.25">
      <c r="A86" s="371"/>
      <c r="B86" s="635">
        <v>42771</v>
      </c>
      <c r="C86" s="371">
        <v>30</v>
      </c>
      <c r="D86" s="372">
        <v>64.680000000000007</v>
      </c>
      <c r="E86" s="372">
        <v>63.75</v>
      </c>
      <c r="F86" s="372">
        <f t="shared" si="2"/>
        <v>-27.900000000000205</v>
      </c>
      <c r="G86" s="372">
        <f t="shared" si="3"/>
        <v>1940.4</v>
      </c>
      <c r="H86" s="719">
        <f t="shared" si="4"/>
        <v>-1.4378478664193053E-2</v>
      </c>
      <c r="I86" s="372"/>
      <c r="J86" s="372"/>
      <c r="K86" s="372"/>
      <c r="L86" s="371"/>
      <c r="M86" s="371"/>
    </row>
    <row r="87" spans="1:13" x14ac:dyDescent="0.25">
      <c r="A87" s="371" t="s">
        <v>463</v>
      </c>
      <c r="B87" s="635">
        <v>42790</v>
      </c>
      <c r="C87" s="371">
        <v>30</v>
      </c>
      <c r="D87" s="372">
        <v>64.680000000000007</v>
      </c>
      <c r="E87" s="372">
        <v>66.510000000000005</v>
      </c>
      <c r="F87" s="372">
        <f t="shared" si="2"/>
        <v>54.899999999999949</v>
      </c>
      <c r="G87" s="372">
        <f t="shared" si="3"/>
        <v>1940.4</v>
      </c>
      <c r="H87" s="719">
        <f t="shared" si="4"/>
        <v>2.8293135435992548E-2</v>
      </c>
      <c r="I87" s="372"/>
      <c r="J87" s="372"/>
      <c r="K87" s="372"/>
      <c r="L87" s="371"/>
      <c r="M87" s="371"/>
    </row>
    <row r="88" spans="1:13" x14ac:dyDescent="0.25">
      <c r="A88" s="371" t="s">
        <v>463</v>
      </c>
      <c r="B88" s="635">
        <v>42795</v>
      </c>
      <c r="C88" s="371">
        <v>30</v>
      </c>
      <c r="D88" s="372">
        <v>64.680000000000007</v>
      </c>
      <c r="E88" s="372">
        <v>57.83</v>
      </c>
      <c r="F88" s="372">
        <f t="shared" si="2"/>
        <v>-205.50000000000026</v>
      </c>
      <c r="G88" s="372">
        <f t="shared" si="3"/>
        <v>1940.4</v>
      </c>
      <c r="H88" s="719">
        <f t="shared" si="4"/>
        <v>-0.10590599876314175</v>
      </c>
      <c r="I88" s="372"/>
      <c r="J88" s="372"/>
      <c r="K88" s="372"/>
      <c r="L88" s="371"/>
      <c r="M88" s="371"/>
    </row>
    <row r="89" spans="1:13" x14ac:dyDescent="0.25">
      <c r="A89" s="371" t="s">
        <v>489</v>
      </c>
      <c r="B89" s="635">
        <v>42798</v>
      </c>
      <c r="C89" s="371">
        <v>80</v>
      </c>
      <c r="D89" s="372">
        <v>60.1175</v>
      </c>
      <c r="E89" s="372">
        <v>57.35</v>
      </c>
      <c r="F89" s="372">
        <f t="shared" si="2"/>
        <v>-221.39999999999986</v>
      </c>
      <c r="G89" s="372">
        <f t="shared" si="3"/>
        <v>4809.3999999999996</v>
      </c>
      <c r="H89" s="719">
        <f t="shared" si="4"/>
        <v>-4.6034848421840531E-2</v>
      </c>
      <c r="I89" s="372"/>
      <c r="J89" s="372"/>
      <c r="K89" s="372"/>
      <c r="L89" s="371"/>
      <c r="M89" s="371"/>
    </row>
    <row r="90" spans="1:13" x14ac:dyDescent="0.25">
      <c r="A90" s="371">
        <v>30</v>
      </c>
      <c r="B90" s="635">
        <v>42800</v>
      </c>
      <c r="C90" s="371">
        <v>80</v>
      </c>
      <c r="D90" s="372">
        <v>60.1175</v>
      </c>
      <c r="E90" s="372">
        <v>56.1</v>
      </c>
      <c r="F90" s="372">
        <f t="shared" si="2"/>
        <v>-321.39999999999986</v>
      </c>
      <c r="G90" s="372">
        <f t="shared" si="3"/>
        <v>4809.3999999999996</v>
      </c>
      <c r="H90" s="719">
        <f t="shared" si="4"/>
        <v>-6.6827462885183153E-2</v>
      </c>
      <c r="I90" s="372"/>
      <c r="J90" s="372"/>
      <c r="K90" s="372"/>
      <c r="L90" s="371"/>
      <c r="M90" s="371"/>
    </row>
    <row r="91" spans="1:13" x14ac:dyDescent="0.25">
      <c r="A91" s="371">
        <v>30</v>
      </c>
      <c r="B91" s="635">
        <v>42805</v>
      </c>
      <c r="C91" s="371">
        <v>80</v>
      </c>
      <c r="D91" s="372">
        <v>59.892499999999998</v>
      </c>
      <c r="E91" s="372">
        <v>55.36</v>
      </c>
      <c r="F91" s="372">
        <f t="shared" si="2"/>
        <v>-362.59999999999991</v>
      </c>
      <c r="G91" s="372">
        <f t="shared" si="3"/>
        <v>4791.3999999999996</v>
      </c>
      <c r="H91" s="719">
        <f t="shared" si="4"/>
        <v>-7.5677255082021944E-2</v>
      </c>
      <c r="I91" s="372"/>
      <c r="J91" s="372"/>
      <c r="K91" s="372"/>
      <c r="L91" s="371"/>
      <c r="M91" s="371"/>
    </row>
    <row r="92" spans="1:13" x14ac:dyDescent="0.25">
      <c r="A92" s="371">
        <v>30</v>
      </c>
      <c r="B92" s="635">
        <v>42808</v>
      </c>
      <c r="C92" s="371">
        <v>80</v>
      </c>
      <c r="D92" s="372">
        <v>59.892499999999998</v>
      </c>
      <c r="E92" s="372">
        <v>54.75</v>
      </c>
      <c r="F92" s="372">
        <f t="shared" si="2"/>
        <v>-411.39999999999986</v>
      </c>
      <c r="G92" s="372">
        <f t="shared" si="3"/>
        <v>4791.3999999999996</v>
      </c>
      <c r="H92" s="719">
        <f t="shared" si="4"/>
        <v>-8.5862169720749656E-2</v>
      </c>
      <c r="I92" s="372"/>
      <c r="J92" s="372"/>
      <c r="K92" s="372"/>
      <c r="L92" s="371"/>
      <c r="M92" s="371"/>
    </row>
    <row r="93" spans="1:13" x14ac:dyDescent="0.25">
      <c r="A93" s="371">
        <v>30</v>
      </c>
      <c r="B93" s="635">
        <v>42809</v>
      </c>
      <c r="C93" s="371">
        <v>130</v>
      </c>
      <c r="D93" s="372">
        <v>57.772300000000001</v>
      </c>
      <c r="E93" s="372">
        <v>54.57</v>
      </c>
      <c r="F93" s="372">
        <f t="shared" si="2"/>
        <v>-416.29900000000015</v>
      </c>
      <c r="G93" s="372">
        <f t="shared" si="3"/>
        <v>7510.3990000000003</v>
      </c>
      <c r="H93" s="719">
        <f t="shared" si="4"/>
        <v>-5.5429678236802081E-2</v>
      </c>
      <c r="I93" s="372"/>
      <c r="J93" s="372"/>
      <c r="K93" s="372"/>
      <c r="L93" s="371"/>
      <c r="M93" s="371"/>
    </row>
    <row r="94" spans="1:13" x14ac:dyDescent="0.25">
      <c r="A94" s="371">
        <v>130</v>
      </c>
      <c r="B94" s="635">
        <v>42862</v>
      </c>
      <c r="C94" s="371">
        <v>130</v>
      </c>
      <c r="D94" s="372">
        <v>57.77</v>
      </c>
      <c r="E94" s="372">
        <v>57.32</v>
      </c>
      <c r="F94" s="372">
        <f t="shared" si="2"/>
        <v>-58.500000000000369</v>
      </c>
      <c r="G94" s="372">
        <f t="shared" si="3"/>
        <v>7510.1</v>
      </c>
      <c r="H94" s="719">
        <f t="shared" si="4"/>
        <v>-7.7895101263632128E-3</v>
      </c>
      <c r="I94" s="372"/>
      <c r="J94" s="372"/>
      <c r="K94" s="372"/>
      <c r="L94" s="371"/>
      <c r="M94" s="371"/>
    </row>
    <row r="95" spans="1:13" x14ac:dyDescent="0.25">
      <c r="A95" s="371">
        <v>50</v>
      </c>
      <c r="B95" s="635">
        <v>42864</v>
      </c>
      <c r="C95" s="371">
        <v>50</v>
      </c>
      <c r="D95" s="372">
        <v>57.442</v>
      </c>
      <c r="E95" s="372">
        <v>58.01</v>
      </c>
      <c r="F95" s="372">
        <f t="shared" si="2"/>
        <v>28.399999999999892</v>
      </c>
      <c r="G95" s="372">
        <f t="shared" si="3"/>
        <v>2872.1</v>
      </c>
      <c r="H95" s="719">
        <f t="shared" si="4"/>
        <v>9.8882350893074369E-3</v>
      </c>
      <c r="I95" s="372"/>
      <c r="J95" s="372"/>
      <c r="K95" s="372"/>
      <c r="L95" s="371"/>
      <c r="M95" s="371"/>
    </row>
    <row r="96" spans="1:13" x14ac:dyDescent="0.25">
      <c r="A96" s="371">
        <v>50</v>
      </c>
      <c r="B96" s="635">
        <v>42866</v>
      </c>
      <c r="C96" s="371">
        <v>80</v>
      </c>
      <c r="D96" s="372">
        <v>56.994999999999997</v>
      </c>
      <c r="E96" s="372">
        <v>56.06</v>
      </c>
      <c r="F96" s="372">
        <f t="shared" si="2"/>
        <v>-74.799999999999613</v>
      </c>
      <c r="G96" s="372">
        <f t="shared" si="3"/>
        <v>4559.5999999999995</v>
      </c>
      <c r="H96" s="719">
        <f t="shared" si="4"/>
        <v>-1.6404947802438726E-2</v>
      </c>
      <c r="I96" s="372"/>
      <c r="J96" s="372"/>
      <c r="K96" s="372"/>
      <c r="L96" s="371"/>
      <c r="M96" s="371"/>
    </row>
    <row r="97" spans="1:13" x14ac:dyDescent="0.25">
      <c r="A97" s="371">
        <v>50</v>
      </c>
      <c r="B97" s="635">
        <v>42871</v>
      </c>
      <c r="C97" s="371">
        <v>130</v>
      </c>
      <c r="D97" s="372">
        <v>56.015999999999998</v>
      </c>
      <c r="E97" s="372">
        <v>54.53</v>
      </c>
      <c r="F97" s="372">
        <f t="shared" si="2"/>
        <v>-193.17999999999961</v>
      </c>
      <c r="G97" s="372">
        <f t="shared" si="3"/>
        <v>7282.08</v>
      </c>
      <c r="H97" s="719">
        <f t="shared" si="4"/>
        <v>-2.6528134818623199E-2</v>
      </c>
      <c r="I97" s="372"/>
      <c r="J97" s="372"/>
      <c r="K97" s="372"/>
      <c r="L97" s="371"/>
      <c r="M97" s="371"/>
    </row>
    <row r="98" spans="1:13" x14ac:dyDescent="0.25">
      <c r="A98" s="371">
        <v>80</v>
      </c>
      <c r="B98" s="635">
        <v>42899</v>
      </c>
      <c r="C98" s="371">
        <v>130</v>
      </c>
      <c r="D98" s="372">
        <v>55.646900000000002</v>
      </c>
      <c r="E98" s="372">
        <v>57.38</v>
      </c>
      <c r="F98" s="372">
        <f t="shared" si="2"/>
        <v>225.30300000000005</v>
      </c>
      <c r="G98" s="372">
        <f t="shared" si="3"/>
        <v>7234.0970000000007</v>
      </c>
      <c r="H98" s="719">
        <f t="shared" si="4"/>
        <v>3.1144592061732104E-2</v>
      </c>
      <c r="I98" s="372"/>
      <c r="J98" s="372"/>
      <c r="K98" s="372"/>
      <c r="L98" s="371"/>
      <c r="M98" s="371"/>
    </row>
    <row r="99" spans="1:13" x14ac:dyDescent="0.25">
      <c r="A99" s="371">
        <v>130</v>
      </c>
      <c r="B99" s="635">
        <v>42904</v>
      </c>
      <c r="C99" s="371">
        <v>180</v>
      </c>
      <c r="D99" s="372">
        <v>53.8</v>
      </c>
      <c r="E99" s="372">
        <v>52.61</v>
      </c>
      <c r="F99" s="372">
        <f t="shared" si="2"/>
        <v>-214.19999999999959</v>
      </c>
      <c r="G99" s="372">
        <f t="shared" si="3"/>
        <v>9684</v>
      </c>
      <c r="H99" s="719">
        <f t="shared" si="4"/>
        <v>-2.211895910780665E-2</v>
      </c>
      <c r="I99" s="372"/>
      <c r="J99" s="372"/>
      <c r="K99" s="372"/>
      <c r="L99" s="371"/>
      <c r="M99" s="371"/>
    </row>
    <row r="100" spans="1:13" x14ac:dyDescent="0.25">
      <c r="A100" s="371"/>
      <c r="B100" s="635">
        <v>42943</v>
      </c>
      <c r="C100" s="371">
        <v>180</v>
      </c>
      <c r="D100" s="372">
        <v>53.8</v>
      </c>
      <c r="E100" s="372">
        <v>56.05</v>
      </c>
      <c r="F100" s="372">
        <f t="shared" si="2"/>
        <v>405</v>
      </c>
      <c r="G100" s="372">
        <f t="shared" si="3"/>
        <v>9684</v>
      </c>
      <c r="H100" s="719">
        <f t="shared" si="4"/>
        <v>4.1821561338289966E-2</v>
      </c>
      <c r="I100" s="372"/>
      <c r="J100" s="372"/>
      <c r="K100" s="372"/>
      <c r="L100" s="371"/>
      <c r="M100" s="371"/>
    </row>
    <row r="101" spans="1:13" x14ac:dyDescent="0.25">
      <c r="A101" s="371">
        <v>80</v>
      </c>
      <c r="B101" s="635">
        <v>42955</v>
      </c>
      <c r="C101" s="371">
        <v>80</v>
      </c>
      <c r="D101" s="372">
        <v>47.578000000000003</v>
      </c>
      <c r="E101" s="372">
        <v>58.74</v>
      </c>
      <c r="F101" s="372">
        <f t="shared" si="2"/>
        <v>892.95999999999992</v>
      </c>
      <c r="G101" s="372">
        <f t="shared" si="3"/>
        <v>3806.2400000000002</v>
      </c>
      <c r="H101" s="719">
        <f t="shared" si="4"/>
        <v>0.23460422884526458</v>
      </c>
      <c r="I101" s="372"/>
      <c r="J101" s="372"/>
      <c r="K101" s="372"/>
      <c r="L101" s="371"/>
      <c r="M101" s="371"/>
    </row>
    <row r="102" spans="1:13" x14ac:dyDescent="0.25">
      <c r="A102" s="371">
        <v>80</v>
      </c>
      <c r="B102" s="635">
        <v>42956</v>
      </c>
      <c r="C102" s="371">
        <v>180</v>
      </c>
      <c r="D102" s="372">
        <v>53.09</v>
      </c>
      <c r="E102" s="372">
        <v>57.87</v>
      </c>
      <c r="F102" s="372">
        <f t="shared" si="2"/>
        <v>860.39999999999895</v>
      </c>
      <c r="G102" s="372">
        <f t="shared" si="3"/>
        <v>9556.2000000000007</v>
      </c>
      <c r="H102" s="719">
        <f t="shared" si="4"/>
        <v>9.0035788284045848E-2</v>
      </c>
      <c r="I102" s="372"/>
      <c r="J102" s="372"/>
      <c r="K102" s="372"/>
      <c r="L102" s="371"/>
      <c r="M102" s="371"/>
    </row>
    <row r="103" spans="1:13" x14ac:dyDescent="0.25">
      <c r="A103" s="370">
        <v>42989</v>
      </c>
      <c r="B103" s="635">
        <v>42984</v>
      </c>
      <c r="C103" s="371">
        <v>100</v>
      </c>
      <c r="D103" s="372">
        <v>48.859499999999997</v>
      </c>
      <c r="E103" s="372">
        <v>58.14</v>
      </c>
      <c r="F103" s="372">
        <f t="shared" si="2"/>
        <v>928.05000000000041</v>
      </c>
      <c r="G103" s="372">
        <f t="shared" si="3"/>
        <v>4885.95</v>
      </c>
      <c r="H103" s="719">
        <f t="shared" si="4"/>
        <v>0.18994259048905543</v>
      </c>
      <c r="I103" s="372"/>
      <c r="J103" s="372"/>
      <c r="K103" s="372"/>
      <c r="L103" s="371"/>
      <c r="M103" s="371"/>
    </row>
    <row r="104" spans="1:13" x14ac:dyDescent="0.25">
      <c r="A104" s="371"/>
      <c r="B104" s="635"/>
      <c r="C104" s="371"/>
      <c r="D104" s="372"/>
      <c r="E104" s="372"/>
      <c r="F104" s="372"/>
      <c r="G104" s="371"/>
      <c r="H104" s="371"/>
      <c r="I104" s="372"/>
      <c r="J104" s="372"/>
      <c r="K104" s="372"/>
      <c r="L104" s="371"/>
      <c r="M104" s="371"/>
    </row>
    <row r="105" spans="1:13" x14ac:dyDescent="0.25">
      <c r="A105" s="1">
        <v>42989</v>
      </c>
      <c r="B105" s="153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8">
        <f>(E105-D105)/D105</f>
        <v>9.5652173913042988E-3</v>
      </c>
      <c r="I105" s="39"/>
      <c r="J105" s="39">
        <v>919</v>
      </c>
      <c r="K105" s="372"/>
      <c r="L105" s="371"/>
      <c r="M105" s="371"/>
    </row>
    <row r="106" spans="1:13" x14ac:dyDescent="0.25">
      <c r="B106" s="153">
        <v>42991</v>
      </c>
      <c r="C106" s="10">
        <v>0</v>
      </c>
      <c r="D106" s="39"/>
      <c r="E106" s="39">
        <v>59.53</v>
      </c>
      <c r="F106" s="39"/>
      <c r="G106" s="39"/>
      <c r="H106" s="158"/>
      <c r="I106" s="39"/>
      <c r="J106" s="39">
        <v>1224</v>
      </c>
      <c r="K106" s="372"/>
      <c r="L106" s="371"/>
      <c r="M106" s="371"/>
    </row>
    <row r="107" spans="1:13" x14ac:dyDescent="0.25">
      <c r="A107" s="371"/>
      <c r="B107" s="635"/>
      <c r="C107" s="371"/>
      <c r="D107" s="372"/>
      <c r="E107" s="372"/>
      <c r="F107" s="372"/>
      <c r="G107" s="371"/>
      <c r="H107" s="719"/>
      <c r="I107" s="372"/>
      <c r="J107" s="372"/>
      <c r="K107" s="372"/>
      <c r="L107" s="371"/>
      <c r="M107" s="371"/>
    </row>
    <row r="108" spans="1:13" x14ac:dyDescent="0.25">
      <c r="A108" s="1"/>
      <c r="B108" s="153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8">
        <f>(E108-D108)/D108</f>
        <v>0</v>
      </c>
      <c r="I108" s="39"/>
      <c r="J108" s="39"/>
      <c r="K108" s="372"/>
      <c r="L108" s="371"/>
      <c r="M108" s="371"/>
    </row>
    <row r="109" spans="1:13" x14ac:dyDescent="0.25">
      <c r="B109" s="153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8">
        <f>(E109-D109)/D109</f>
        <v>0.10021097046413494</v>
      </c>
      <c r="I109" s="39"/>
      <c r="J109" s="39"/>
      <c r="K109" s="372"/>
      <c r="L109" s="371"/>
      <c r="M109" s="371"/>
    </row>
    <row r="110" spans="1:13" x14ac:dyDescent="0.25">
      <c r="B110" s="153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8">
        <f>(E110-D110)/D110</f>
        <v>8.4221748400852905E-2</v>
      </c>
      <c r="I110" s="39">
        <v>56</v>
      </c>
      <c r="J110" s="39">
        <v>1461</v>
      </c>
      <c r="K110" s="372"/>
      <c r="L110" s="371"/>
      <c r="M110" s="371"/>
    </row>
    <row r="111" spans="1:13" x14ac:dyDescent="0.25">
      <c r="B111" s="153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8">
        <f>(E111-D111)/D111</f>
        <v>0.18290081763242089</v>
      </c>
      <c r="I111" s="39"/>
      <c r="J111" s="39">
        <v>1738.01</v>
      </c>
      <c r="K111" s="372"/>
      <c r="L111" s="371"/>
      <c r="M111" s="371"/>
    </row>
    <row r="112" spans="1:13" x14ac:dyDescent="0.25">
      <c r="B112" s="153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8">
        <f>(E112-D112)/D112</f>
        <v>0.19409882687522234</v>
      </c>
      <c r="I112" s="39"/>
      <c r="J112" s="39">
        <v>1770</v>
      </c>
      <c r="K112" s="372"/>
      <c r="L112" s="371"/>
      <c r="M112" s="371"/>
    </row>
    <row r="113" spans="1:13" x14ac:dyDescent="0.25">
      <c r="B113" s="153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8"/>
      <c r="I113" s="39"/>
      <c r="J113" s="39">
        <v>2060.4299999999998</v>
      </c>
      <c r="K113" s="372"/>
      <c r="L113" s="371"/>
      <c r="M113" s="371"/>
    </row>
    <row r="114" spans="1:13" x14ac:dyDescent="0.25">
      <c r="A114" s="371"/>
      <c r="B114" s="635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635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635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</sheetData>
  <mergeCells count="1">
    <mergeCell ref="O40:P40"/>
  </mergeCells>
  <conditionalFormatting sqref="O41:O6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01" priority="76">
      <formula>Q7&gt;0</formula>
    </cfRule>
    <cfRule type="expression" dxfId="500" priority="77">
      <formula>Q7&lt;0</formula>
    </cfRule>
  </conditionalFormatting>
  <conditionalFormatting sqref="Q8">
    <cfRule type="expression" dxfId="499" priority="74">
      <formula>Q8&gt;0</formula>
    </cfRule>
    <cfRule type="expression" dxfId="498" priority="75">
      <formula>Q8&lt;0</formula>
    </cfRule>
  </conditionalFormatting>
  <conditionalFormatting sqref="F29:F43">
    <cfRule type="expression" dxfId="497" priority="58">
      <formula>F29&gt;0</formula>
    </cfRule>
    <cfRule type="expression" dxfId="496" priority="59">
      <formula>F29&lt;0</formula>
    </cfRule>
  </conditionalFormatting>
  <conditionalFormatting sqref="H45 H47:H48 H50:H51 H53 H29:H43">
    <cfRule type="expression" dxfId="495" priority="56">
      <formula>H29&gt;0</formula>
    </cfRule>
    <cfRule type="expression" dxfId="494" priority="57">
      <formula>H29&lt;0</formula>
    </cfRule>
  </conditionalFormatting>
  <conditionalFormatting sqref="J35">
    <cfRule type="expression" dxfId="493" priority="52">
      <formula>J35&gt;0</formula>
    </cfRule>
    <cfRule type="expression" dxfId="492" priority="53">
      <formula>J35&lt;0</formula>
    </cfRule>
  </conditionalFormatting>
  <conditionalFormatting sqref="J36:J37">
    <cfRule type="expression" dxfId="491" priority="50">
      <formula>J36&gt;0</formula>
    </cfRule>
    <cfRule type="expression" dxfId="490" priority="51">
      <formula>J36&lt;0</formula>
    </cfRule>
  </conditionalFormatting>
  <conditionalFormatting sqref="J38:J45 J48 J51">
    <cfRule type="expression" dxfId="489" priority="48">
      <formula>J38&gt;0</formula>
    </cfRule>
    <cfRule type="expression" dxfId="488" priority="49">
      <formula>J38&lt;0</formula>
    </cfRule>
  </conditionalFormatting>
  <conditionalFormatting sqref="W15:W26">
    <cfRule type="iconSet" priority="47">
      <iconSet iconSet="3Arrows">
        <cfvo type="percent" val="0"/>
        <cfvo type="num" val="0"/>
        <cfvo type="num" val="0"/>
      </iconSet>
    </cfRule>
  </conditionalFormatting>
  <conditionalFormatting sqref="M59">
    <cfRule type="expression" dxfId="487" priority="45">
      <formula>M59&gt;0</formula>
    </cfRule>
    <cfRule type="expression" dxfId="486" priority="46">
      <formula>M59&lt;0</formula>
    </cfRule>
  </conditionalFormatting>
  <conditionalFormatting sqref="Q10">
    <cfRule type="expression" dxfId="485" priority="43">
      <formula>Q10&gt;0</formula>
    </cfRule>
    <cfRule type="expression" dxfId="484" priority="44">
      <formula>Q10&lt;0</formula>
    </cfRule>
  </conditionalFormatting>
  <conditionalFormatting sqref="F84:F103">
    <cfRule type="expression" dxfId="483" priority="41">
      <formula>F84&gt;0</formula>
    </cfRule>
    <cfRule type="expression" dxfId="482" priority="42">
      <formula>F84&lt;0</formula>
    </cfRule>
  </conditionalFormatting>
  <conditionalFormatting sqref="H107 H84:H103">
    <cfRule type="expression" dxfId="481" priority="39">
      <formula>H84&gt;0</formula>
    </cfRule>
    <cfRule type="expression" dxfId="480" priority="40">
      <formula>H84&lt;0</formula>
    </cfRule>
  </conditionalFormatting>
  <conditionalFormatting sqref="J89">
    <cfRule type="expression" dxfId="479" priority="37">
      <formula>J89&gt;0</formula>
    </cfRule>
    <cfRule type="expression" dxfId="478" priority="38">
      <formula>J89&lt;0</formula>
    </cfRule>
  </conditionalFormatting>
  <conditionalFormatting sqref="J90:J95">
    <cfRule type="expression" dxfId="477" priority="35">
      <formula>J90&gt;0</formula>
    </cfRule>
    <cfRule type="expression" dxfId="476" priority="36">
      <formula>J90&lt;0</formula>
    </cfRule>
  </conditionalFormatting>
  <conditionalFormatting sqref="J96:J97">
    <cfRule type="expression" dxfId="475" priority="33">
      <formula>J96&gt;0</formula>
    </cfRule>
    <cfRule type="expression" dxfId="474" priority="34">
      <formula>J96&lt;0</formula>
    </cfRule>
  </conditionalFormatting>
  <conditionalFormatting sqref="J98:J104">
    <cfRule type="expression" dxfId="473" priority="31">
      <formula>J98&gt;0</formula>
    </cfRule>
    <cfRule type="expression" dxfId="472" priority="32">
      <formula>J98&lt;0</formula>
    </cfRule>
  </conditionalFormatting>
  <conditionalFormatting sqref="J25">
    <cfRule type="expression" dxfId="471" priority="27">
      <formula>J25&gt;0</formula>
    </cfRule>
    <cfRule type="expression" dxfId="470" priority="28">
      <formula>J25&lt;0</formula>
    </cfRule>
  </conditionalFormatting>
  <conditionalFormatting sqref="F105:F106">
    <cfRule type="expression" dxfId="469" priority="25">
      <formula>F105&gt;0</formula>
    </cfRule>
    <cfRule type="expression" dxfId="468" priority="26">
      <formula>F105&lt;0</formula>
    </cfRule>
  </conditionalFormatting>
  <conditionalFormatting sqref="H105:H106">
    <cfRule type="expression" dxfId="467" priority="23">
      <formula>H105&gt;0</formula>
    </cfRule>
    <cfRule type="expression" dxfId="466" priority="24">
      <formula>H105&lt;0</formula>
    </cfRule>
  </conditionalFormatting>
  <conditionalFormatting sqref="J105">
    <cfRule type="expression" dxfId="465" priority="21">
      <formula>J105&gt;0</formula>
    </cfRule>
    <cfRule type="expression" dxfId="464" priority="22">
      <formula>J105&lt;0</formula>
    </cfRule>
  </conditionalFormatting>
  <conditionalFormatting sqref="J106">
    <cfRule type="expression" dxfId="463" priority="19">
      <formula>J106&gt;0</formula>
    </cfRule>
    <cfRule type="expression" dxfId="462" priority="20">
      <formula>J106&lt;0</formula>
    </cfRule>
  </conditionalFormatting>
  <conditionalFormatting sqref="F24:F28">
    <cfRule type="expression" dxfId="461" priority="17">
      <formula>F24&gt;0</formula>
    </cfRule>
    <cfRule type="expression" dxfId="460" priority="18">
      <formula>F24&lt;0</formula>
    </cfRule>
  </conditionalFormatting>
  <conditionalFormatting sqref="H24:H28">
    <cfRule type="expression" dxfId="459" priority="15">
      <formula>H24&gt;0</formula>
    </cfRule>
    <cfRule type="expression" dxfId="458" priority="16">
      <formula>H24&lt;0</formula>
    </cfRule>
  </conditionalFormatting>
  <conditionalFormatting sqref="J26:J34">
    <cfRule type="expression" dxfId="457" priority="13">
      <formula>J26&gt;0</formula>
    </cfRule>
    <cfRule type="expression" dxfId="456" priority="14">
      <formula>J26&lt;0</formula>
    </cfRule>
  </conditionalFormatting>
  <conditionalFormatting sqref="F113">
    <cfRule type="expression" dxfId="455" priority="11">
      <formula>F113&gt;0</formula>
    </cfRule>
    <cfRule type="expression" dxfId="454" priority="12">
      <formula>F113&lt;0</formula>
    </cfRule>
  </conditionalFormatting>
  <conditionalFormatting sqref="H113">
    <cfRule type="expression" dxfId="453" priority="9">
      <formula>H113&gt;0</formula>
    </cfRule>
    <cfRule type="expression" dxfId="452" priority="10">
      <formula>H113&lt;0</formula>
    </cfRule>
  </conditionalFormatting>
  <conditionalFormatting sqref="J109">
    <cfRule type="expression" dxfId="451" priority="7">
      <formula>J109&gt;0</formula>
    </cfRule>
    <cfRule type="expression" dxfId="450" priority="8">
      <formula>J109&lt;0</formula>
    </cfRule>
  </conditionalFormatting>
  <conditionalFormatting sqref="F108:F112">
    <cfRule type="expression" dxfId="449" priority="5">
      <formula>F108&gt;0</formula>
    </cfRule>
    <cfRule type="expression" dxfId="448" priority="6">
      <formula>F108&lt;0</formula>
    </cfRule>
  </conditionalFormatting>
  <conditionalFormatting sqref="H108:H112">
    <cfRule type="expression" dxfId="447" priority="3">
      <formula>H108&gt;0</formula>
    </cfRule>
    <cfRule type="expression" dxfId="446" priority="4">
      <formula>H108&lt;0</formula>
    </cfRule>
  </conditionalFormatting>
  <conditionalFormatting sqref="J110:J113">
    <cfRule type="expression" dxfId="445" priority="1">
      <formula>J110&gt;0</formula>
    </cfRule>
    <cfRule type="expression" dxfId="444" priority="2">
      <formula>J110&lt;0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77"/>
  <sheetViews>
    <sheetView workbookViewId="0">
      <pane ySplit="1" topLeftCell="A2" activePane="bottomLeft" state="frozen"/>
      <selection activeCell="A2" sqref="A2"/>
      <selection pane="bottomLeft" activeCell="J13" sqref="J1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45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45">
        <v>43047</v>
      </c>
      <c r="H2" s="80">
        <v>120</v>
      </c>
      <c r="I2" s="43">
        <v>31.31</v>
      </c>
      <c r="J2" s="43">
        <v>0.09</v>
      </c>
      <c r="K2" s="43">
        <f t="shared" ref="K2:K9" si="1">H2*I2-J2</f>
        <v>3757.1099999999997</v>
      </c>
      <c r="L2" s="72">
        <v>43087</v>
      </c>
      <c r="M2" s="43">
        <v>115</v>
      </c>
      <c r="O2" s="11" t="s">
        <v>57</v>
      </c>
      <c r="Q2" s="70">
        <f>C18-H18</f>
        <v>280</v>
      </c>
      <c r="T2" t="s">
        <v>83</v>
      </c>
      <c r="U2" t="s">
        <v>84</v>
      </c>
    </row>
    <row r="3" spans="1:29" x14ac:dyDescent="0.25">
      <c r="A3" s="22" t="s">
        <v>71</v>
      </c>
      <c r="B3" s="445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45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4"/>
      <c r="M3" s="4"/>
      <c r="O3" s="11" t="s">
        <v>58</v>
      </c>
      <c r="Q3" s="225">
        <f>IF(Q2=0, Q4, (F18-K18-M18)/Q2)</f>
        <v>37.765464285714266</v>
      </c>
      <c r="T3" s="1">
        <v>42312</v>
      </c>
      <c r="U3" t="s">
        <v>148</v>
      </c>
      <c r="Z3" s="229"/>
      <c r="AC3" s="229"/>
    </row>
    <row r="4" spans="1:29" x14ac:dyDescent="0.25">
      <c r="B4" s="445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45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4"/>
      <c r="M4" s="4"/>
      <c r="O4" s="11" t="s">
        <v>66</v>
      </c>
      <c r="Q4" s="196">
        <v>27.61</v>
      </c>
      <c r="R4" s="487">
        <v>-0.01</v>
      </c>
      <c r="T4" s="1">
        <v>43096</v>
      </c>
      <c r="U4" t="s">
        <v>842</v>
      </c>
    </row>
    <row r="5" spans="1:29" x14ac:dyDescent="0.25">
      <c r="B5" s="445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45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7730.8</v>
      </c>
      <c r="U5" t="s">
        <v>843</v>
      </c>
    </row>
    <row r="6" spans="1:29" x14ac:dyDescent="0.25">
      <c r="B6" s="445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45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10574.329999999994</v>
      </c>
      <c r="U6" t="s">
        <v>844</v>
      </c>
    </row>
    <row r="7" spans="1:29" x14ac:dyDescent="0.25">
      <c r="B7" s="445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45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-2768.5099999999943</v>
      </c>
      <c r="R7">
        <v>100</v>
      </c>
      <c r="U7" t="s">
        <v>845</v>
      </c>
    </row>
    <row r="8" spans="1:29" x14ac:dyDescent="0.25">
      <c r="B8" s="445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45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K18+M18-F18+Q2*Q4</f>
        <v>-2843.5299999999943</v>
      </c>
      <c r="U8" t="s">
        <v>846</v>
      </c>
    </row>
    <row r="9" spans="1:29" x14ac:dyDescent="0.25">
      <c r="B9" s="445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H9" s="180"/>
      <c r="I9" s="3"/>
      <c r="J9" s="3"/>
      <c r="K9" s="3"/>
      <c r="O9" s="11" t="s">
        <v>210</v>
      </c>
      <c r="Q9" s="134">
        <f>IF(Q2=0, 0, Q8/Q6)</f>
        <v>-0.26890876301382649</v>
      </c>
    </row>
    <row r="10" spans="1:29" x14ac:dyDescent="0.25">
      <c r="B10" s="445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O10" s="11" t="s">
        <v>209</v>
      </c>
      <c r="P10" s="33"/>
      <c r="Q10" s="2">
        <f>M46</f>
        <v>75.019999999999982</v>
      </c>
      <c r="T10" s="1">
        <v>43103</v>
      </c>
      <c r="U10" t="s">
        <v>894</v>
      </c>
    </row>
    <row r="11" spans="1:29" x14ac:dyDescent="0.25">
      <c r="B11" s="72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O11" s="11" t="s">
        <v>176</v>
      </c>
      <c r="P11" s="33"/>
      <c r="Q11" s="134">
        <f>R11*4/Q4</f>
        <v>3.3321260412893884E-2</v>
      </c>
      <c r="R11">
        <f>0.23</f>
        <v>0.23</v>
      </c>
      <c r="U11" t="s">
        <v>896</v>
      </c>
    </row>
    <row r="12" spans="1:29" x14ac:dyDescent="0.25">
      <c r="B12" s="72">
        <v>43052</v>
      </c>
      <c r="C12" s="7">
        <v>80</v>
      </c>
      <c r="D12" s="43">
        <v>28.38</v>
      </c>
      <c r="E12" s="43">
        <v>0</v>
      </c>
      <c r="F12" s="43">
        <f>C12*D12</f>
        <v>2270.4</v>
      </c>
      <c r="T12" s="1">
        <v>43110</v>
      </c>
      <c r="U12" t="s">
        <v>925</v>
      </c>
    </row>
    <row r="13" spans="1:29" x14ac:dyDescent="0.25">
      <c r="B13" s="445">
        <v>43089</v>
      </c>
      <c r="C13" s="7">
        <v>60</v>
      </c>
      <c r="D13" s="43">
        <v>30.18</v>
      </c>
      <c r="E13" s="43">
        <v>0</v>
      </c>
      <c r="F13" s="43">
        <f>C13*D13</f>
        <v>1810.8</v>
      </c>
      <c r="T13" s="1">
        <v>43112</v>
      </c>
      <c r="U13" t="s">
        <v>921</v>
      </c>
    </row>
    <row r="14" spans="1:29" x14ac:dyDescent="0.25">
      <c r="B14" s="486">
        <v>43125</v>
      </c>
      <c r="C14" s="7">
        <v>180</v>
      </c>
      <c r="D14" s="43">
        <v>25</v>
      </c>
      <c r="E14" s="43">
        <v>0</v>
      </c>
      <c r="F14" s="43">
        <f>C14*D14</f>
        <v>4500</v>
      </c>
      <c r="U14" t="s">
        <v>922</v>
      </c>
    </row>
    <row r="15" spans="1:29" x14ac:dyDescent="0.25">
      <c r="C15" s="4"/>
      <c r="D15" s="3"/>
      <c r="E15" s="3"/>
      <c r="F15" s="3"/>
      <c r="U15" s="487" t="s">
        <v>924</v>
      </c>
    </row>
    <row r="16" spans="1:29" x14ac:dyDescent="0.25">
      <c r="C16" s="4"/>
      <c r="D16" s="3"/>
      <c r="E16" s="3"/>
      <c r="F16" s="3"/>
    </row>
    <row r="17" spans="1:21" x14ac:dyDescent="0.25">
      <c r="T17" s="1">
        <v>43120</v>
      </c>
      <c r="U17" t="s">
        <v>962</v>
      </c>
    </row>
    <row r="18" spans="1:21" x14ac:dyDescent="0.25">
      <c r="A18" s="35" t="s">
        <v>81</v>
      </c>
      <c r="B18" s="36"/>
      <c r="C18" s="36">
        <f>SUM(C2:C17)</f>
        <v>960</v>
      </c>
      <c r="D18" s="37"/>
      <c r="E18" s="37"/>
      <c r="F18" s="37">
        <f>SUM(F2:F17)</f>
        <v>30416.099999999995</v>
      </c>
      <c r="G18" s="36"/>
      <c r="H18" s="178">
        <f>SUM(H2:H17)</f>
        <v>680</v>
      </c>
      <c r="I18" s="37"/>
      <c r="J18" s="37"/>
      <c r="K18" s="37">
        <f>SUM(K2:K17)</f>
        <v>19726.77</v>
      </c>
      <c r="L18" s="37"/>
      <c r="M18" s="37">
        <f>SUM(M2:M3)</f>
        <v>115</v>
      </c>
    </row>
    <row r="19" spans="1:21" ht="15.75" thickBot="1" x14ac:dyDescent="0.3">
      <c r="A19" s="347" t="s">
        <v>194</v>
      </c>
      <c r="B19" s="348"/>
      <c r="C19" s="349">
        <f>SumByColor($A$19,C2:C17)</f>
        <v>640</v>
      </c>
      <c r="D19" s="349"/>
      <c r="E19" s="349"/>
      <c r="F19" s="350">
        <f>SumByColor($A$19,F2:F18)</f>
        <v>18420</v>
      </c>
      <c r="G19" s="349"/>
      <c r="H19" s="349">
        <f>SumByColor($A$19,H2:H17)</f>
        <v>680</v>
      </c>
      <c r="I19" s="349"/>
      <c r="J19" s="349"/>
      <c r="K19" s="350">
        <f>SumByColor($A$19,K2:K17)</f>
        <v>19727</v>
      </c>
      <c r="L19" s="349"/>
      <c r="M19" s="350">
        <f>SumByColor($A$19,M2:M17)</f>
        <v>115</v>
      </c>
      <c r="T19" s="1">
        <v>43125</v>
      </c>
      <c r="U19" t="s">
        <v>977</v>
      </c>
    </row>
    <row r="20" spans="1:21" x14ac:dyDescent="0.25">
      <c r="T20" s="1">
        <v>43126</v>
      </c>
      <c r="U20" t="s">
        <v>975</v>
      </c>
    </row>
    <row r="21" spans="1:2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I21" s="190" t="s">
        <v>154</v>
      </c>
      <c r="J21" s="190" t="s">
        <v>514</v>
      </c>
      <c r="U21" t="s">
        <v>976</v>
      </c>
    </row>
    <row r="22" spans="1:21" x14ac:dyDescent="0.25">
      <c r="B22" s="188">
        <v>42985</v>
      </c>
      <c r="C22" s="10">
        <v>50</v>
      </c>
      <c r="D22" s="39">
        <v>44.98</v>
      </c>
      <c r="E22" s="39">
        <v>44.76</v>
      </c>
      <c r="F22" s="39">
        <f t="shared" ref="F22:F36" si="3">C22*(E22-D22)</f>
        <v>-10.999999999999943</v>
      </c>
      <c r="G22" s="39">
        <f t="shared" ref="G22:G36" si="4">D22*C22</f>
        <v>2249</v>
      </c>
      <c r="H22" s="226">
        <f t="shared" ref="H22:H36" si="5">(E22-D22)/D22</f>
        <v>-4.891062694530878E-3</v>
      </c>
      <c r="I22" s="226"/>
      <c r="J22" s="226"/>
    </row>
    <row r="23" spans="1:21" x14ac:dyDescent="0.25">
      <c r="B23" s="188">
        <v>42994</v>
      </c>
      <c r="C23" s="10">
        <v>110</v>
      </c>
      <c r="D23" s="39">
        <v>43.796399999999998</v>
      </c>
      <c r="E23" s="39">
        <v>43.2</v>
      </c>
      <c r="F23" s="39">
        <f t="shared" si="3"/>
        <v>-65.603999999999516</v>
      </c>
      <c r="G23" s="39">
        <f t="shared" si="4"/>
        <v>4817.6040000000003</v>
      </c>
      <c r="H23" s="226">
        <f t="shared" si="5"/>
        <v>-1.3617557607474486E-2</v>
      </c>
      <c r="I23" s="226"/>
      <c r="J23" s="226"/>
      <c r="T23" s="1">
        <v>43128</v>
      </c>
      <c r="U23" t="s">
        <v>979</v>
      </c>
    </row>
    <row r="24" spans="1:21" x14ac:dyDescent="0.25">
      <c r="B24" s="188">
        <v>42999</v>
      </c>
      <c r="C24" s="10">
        <v>110</v>
      </c>
      <c r="D24" s="39">
        <v>43.796399999999998</v>
      </c>
      <c r="E24" s="39">
        <v>41.48</v>
      </c>
      <c r="F24" s="39">
        <f t="shared" si="3"/>
        <v>-254.80400000000017</v>
      </c>
      <c r="G24" s="39">
        <f t="shared" si="4"/>
        <v>4817.6040000000003</v>
      </c>
      <c r="H24" s="226">
        <f t="shared" si="5"/>
        <v>-5.2890191887917763E-2</v>
      </c>
      <c r="I24" s="226"/>
      <c r="J24" s="226"/>
    </row>
    <row r="25" spans="1:21" x14ac:dyDescent="0.25">
      <c r="B25" s="188">
        <v>43028</v>
      </c>
      <c r="C25" s="10">
        <v>180</v>
      </c>
      <c r="D25" s="39">
        <v>42.494999999999997</v>
      </c>
      <c r="E25" s="39">
        <v>40.369999999999997</v>
      </c>
      <c r="F25" s="39">
        <f t="shared" si="3"/>
        <v>-382.5</v>
      </c>
      <c r="G25" s="39">
        <f t="shared" si="4"/>
        <v>7649.0999999999995</v>
      </c>
      <c r="H25" s="226">
        <f t="shared" si="5"/>
        <v>-5.0005883045064127E-2</v>
      </c>
      <c r="I25" s="226"/>
      <c r="J25" s="226"/>
    </row>
    <row r="26" spans="1:21" x14ac:dyDescent="0.25">
      <c r="B26" s="188">
        <v>43042</v>
      </c>
      <c r="C26" s="7">
        <v>280</v>
      </c>
      <c r="D26" s="43">
        <v>39.311100000000003</v>
      </c>
      <c r="E26" s="39">
        <v>30.77</v>
      </c>
      <c r="F26" s="39">
        <f t="shared" si="3"/>
        <v>-2391.5080000000012</v>
      </c>
      <c r="G26" s="39">
        <f t="shared" si="4"/>
        <v>11007.108</v>
      </c>
      <c r="H26" s="227">
        <f t="shared" si="5"/>
        <v>-0.21726942263126708</v>
      </c>
      <c r="I26" s="227"/>
      <c r="J26" s="227"/>
    </row>
    <row r="27" spans="1:21" x14ac:dyDescent="0.25">
      <c r="B27" s="188">
        <v>43045</v>
      </c>
      <c r="C27" s="10">
        <v>500</v>
      </c>
      <c r="D27" s="39">
        <v>35.243400000000001</v>
      </c>
      <c r="E27" s="39">
        <v>30.82</v>
      </c>
      <c r="F27" s="39">
        <f t="shared" si="3"/>
        <v>-2211.7000000000003</v>
      </c>
      <c r="G27" s="39">
        <f t="shared" si="4"/>
        <v>17621.7</v>
      </c>
      <c r="H27" s="227">
        <f t="shared" si="5"/>
        <v>-0.12551002457197663</v>
      </c>
      <c r="I27" s="227"/>
      <c r="J27" s="227"/>
    </row>
    <row r="28" spans="1:21" x14ac:dyDescent="0.25">
      <c r="B28" s="188">
        <v>43047</v>
      </c>
      <c r="C28" s="10">
        <v>380</v>
      </c>
      <c r="D28" s="39">
        <v>36.485799999999998</v>
      </c>
      <c r="E28" s="39">
        <v>31.31</v>
      </c>
      <c r="F28" s="39">
        <f t="shared" si="3"/>
        <v>-1966.8039999999996</v>
      </c>
      <c r="G28" s="39">
        <f t="shared" si="4"/>
        <v>13864.603999999999</v>
      </c>
      <c r="H28" s="227">
        <f t="shared" si="5"/>
        <v>-0.14185792828991003</v>
      </c>
      <c r="I28" s="227"/>
      <c r="J28" s="227"/>
      <c r="T28" s="159">
        <v>43136</v>
      </c>
      <c r="U28" t="s">
        <v>923</v>
      </c>
    </row>
    <row r="29" spans="1:21" x14ac:dyDescent="0.25">
      <c r="B29" s="188">
        <v>43048</v>
      </c>
      <c r="C29" s="10">
        <v>500</v>
      </c>
      <c r="D29" s="39">
        <v>35.020400000000002</v>
      </c>
      <c r="E29" s="39">
        <v>30.1</v>
      </c>
      <c r="F29" s="39">
        <f t="shared" si="3"/>
        <v>-2460.2000000000003</v>
      </c>
      <c r="G29" s="39">
        <f t="shared" si="4"/>
        <v>17510.2</v>
      </c>
      <c r="H29" s="227">
        <f t="shared" si="5"/>
        <v>-0.14050096515174015</v>
      </c>
      <c r="I29" s="39">
        <v>34.5</v>
      </c>
      <c r="J29" s="39"/>
    </row>
    <row r="30" spans="1:21" x14ac:dyDescent="0.25">
      <c r="B30" s="188">
        <v>43052</v>
      </c>
      <c r="C30" s="10">
        <v>600</v>
      </c>
      <c r="D30" s="39">
        <v>33.913699999999999</v>
      </c>
      <c r="E30" s="39">
        <v>28.45</v>
      </c>
      <c r="F30" s="39">
        <f t="shared" si="3"/>
        <v>-3278.22</v>
      </c>
      <c r="G30" s="39">
        <f t="shared" si="4"/>
        <v>20348.219999999998</v>
      </c>
      <c r="H30" s="227">
        <f t="shared" si="5"/>
        <v>-0.16110598371749468</v>
      </c>
      <c r="I30" s="39">
        <v>33.5</v>
      </c>
      <c r="J30" s="39"/>
    </row>
    <row r="31" spans="1:21" x14ac:dyDescent="0.25">
      <c r="A31">
        <v>0</v>
      </c>
      <c r="B31" s="188">
        <v>43066</v>
      </c>
      <c r="C31" s="10">
        <v>500</v>
      </c>
      <c r="D31" s="39">
        <v>34.780500000000004</v>
      </c>
      <c r="E31" s="39">
        <v>29.79</v>
      </c>
      <c r="F31" s="39">
        <f t="shared" si="3"/>
        <v>-2495.2500000000023</v>
      </c>
      <c r="G31" s="39">
        <f t="shared" si="4"/>
        <v>17390.25</v>
      </c>
      <c r="H31" s="227">
        <f t="shared" si="5"/>
        <v>-0.14348557381291252</v>
      </c>
      <c r="I31" s="39">
        <v>34.5</v>
      </c>
      <c r="J31" s="39"/>
    </row>
    <row r="32" spans="1:21" x14ac:dyDescent="0.25">
      <c r="B32" s="188">
        <v>43074</v>
      </c>
      <c r="C32" s="10">
        <v>440</v>
      </c>
      <c r="D32" s="39">
        <v>35.309699999999999</v>
      </c>
      <c r="E32" s="39">
        <v>31.78</v>
      </c>
      <c r="F32" s="39">
        <f t="shared" si="3"/>
        <v>-1553.0679999999993</v>
      </c>
      <c r="G32" s="39">
        <f t="shared" si="4"/>
        <v>15536.268</v>
      </c>
      <c r="H32" s="227">
        <f t="shared" si="5"/>
        <v>-9.9964032546297432E-2</v>
      </c>
      <c r="I32" s="39"/>
      <c r="J32" s="39"/>
    </row>
    <row r="33" spans="1:21" x14ac:dyDescent="0.25">
      <c r="A33">
        <v>440</v>
      </c>
      <c r="B33" s="188">
        <v>43087</v>
      </c>
      <c r="C33" s="10">
        <v>440</v>
      </c>
      <c r="D33" s="39">
        <v>35.049999999999997</v>
      </c>
      <c r="E33" s="39">
        <v>30.7</v>
      </c>
      <c r="F33" s="39">
        <f t="shared" si="3"/>
        <v>-1913.9999999999991</v>
      </c>
      <c r="G33" s="39">
        <f t="shared" si="4"/>
        <v>15421.999999999998</v>
      </c>
      <c r="H33" s="227">
        <f t="shared" si="5"/>
        <v>-0.12410841654778883</v>
      </c>
      <c r="I33" s="39"/>
      <c r="J33" s="39"/>
    </row>
    <row r="34" spans="1:21" x14ac:dyDescent="0.25">
      <c r="A34">
        <v>440</v>
      </c>
      <c r="B34" s="188">
        <v>43089</v>
      </c>
      <c r="C34" s="10">
        <v>500</v>
      </c>
      <c r="D34" s="39">
        <v>34.463999999999999</v>
      </c>
      <c r="E34" s="39">
        <v>30.21</v>
      </c>
      <c r="F34" s="39">
        <f t="shared" si="3"/>
        <v>-2126.9999999999991</v>
      </c>
      <c r="G34" s="39">
        <f t="shared" si="4"/>
        <v>17232</v>
      </c>
      <c r="H34" s="227">
        <f t="shared" si="5"/>
        <v>-0.12343314763231192</v>
      </c>
      <c r="I34" s="39" t="s">
        <v>835</v>
      </c>
      <c r="J34" s="39"/>
    </row>
    <row r="35" spans="1:21" x14ac:dyDescent="0.25">
      <c r="A35">
        <v>320</v>
      </c>
      <c r="B35" s="188">
        <v>43090</v>
      </c>
      <c r="C35" s="10">
        <v>380</v>
      </c>
      <c r="D35" s="39">
        <v>35.658999999999999</v>
      </c>
      <c r="E35" s="39">
        <v>30.68</v>
      </c>
      <c r="F35" s="39">
        <f t="shared" si="3"/>
        <v>-1892.0199999999998</v>
      </c>
      <c r="G35" s="39">
        <f t="shared" si="4"/>
        <v>13550.42</v>
      </c>
      <c r="H35" s="227">
        <f t="shared" si="5"/>
        <v>-0.13962814436748083</v>
      </c>
      <c r="I35" s="39"/>
      <c r="J35" s="39"/>
    </row>
    <row r="36" spans="1:21" x14ac:dyDescent="0.25">
      <c r="A36">
        <v>260</v>
      </c>
      <c r="B36" s="188">
        <v>43097</v>
      </c>
      <c r="C36" s="10">
        <v>320</v>
      </c>
      <c r="D36" s="39">
        <v>36.552</v>
      </c>
      <c r="E36" s="39">
        <v>30.9</v>
      </c>
      <c r="F36" s="39">
        <f t="shared" si="3"/>
        <v>-1808.6400000000003</v>
      </c>
      <c r="G36" s="39">
        <f t="shared" si="4"/>
        <v>11696.64</v>
      </c>
      <c r="H36" s="227">
        <f t="shared" si="5"/>
        <v>-0.15462902166776102</v>
      </c>
      <c r="I36" s="39"/>
      <c r="J36" s="39"/>
    </row>
    <row r="37" spans="1:21" x14ac:dyDescent="0.25">
      <c r="A37">
        <v>260</v>
      </c>
      <c r="B37" s="188">
        <v>43103</v>
      </c>
      <c r="C37" s="10">
        <v>320</v>
      </c>
      <c r="D37" s="39">
        <v>36.552</v>
      </c>
      <c r="E37" s="39">
        <v>31.83</v>
      </c>
      <c r="F37" s="39">
        <f t="shared" ref="F37" si="6">C37*(E37-D37)</f>
        <v>-1511.0400000000004</v>
      </c>
      <c r="G37" s="39">
        <f t="shared" ref="G37" si="7">D37*C37</f>
        <v>11696.64</v>
      </c>
      <c r="H37" s="227">
        <f t="shared" ref="H37" si="8">(E37-D37)/D37</f>
        <v>-0.1291858174655286</v>
      </c>
      <c r="I37" s="39"/>
      <c r="J37" s="39">
        <v>55.37</v>
      </c>
      <c r="K37" s="2" t="s">
        <v>895</v>
      </c>
    </row>
    <row r="38" spans="1:21" x14ac:dyDescent="0.25">
      <c r="A38">
        <v>260</v>
      </c>
      <c r="B38" s="188">
        <v>43110</v>
      </c>
      <c r="C38" s="10">
        <v>320</v>
      </c>
      <c r="D38" s="39">
        <v>36.552</v>
      </c>
      <c r="E38" s="39">
        <v>31.15</v>
      </c>
      <c r="F38" s="39">
        <f t="shared" ref="F38:F41" si="9">C38*(E38-D38)</f>
        <v>-1728.6400000000003</v>
      </c>
      <c r="G38" s="39">
        <f t="shared" ref="G38:G41" si="10">D38*C38</f>
        <v>11696.64</v>
      </c>
      <c r="H38" s="227">
        <f t="shared" ref="H38:H41" si="11">(E38-D38)/D38</f>
        <v>-0.14778945064565555</v>
      </c>
      <c r="I38" s="39"/>
      <c r="J38" s="39">
        <v>57.27</v>
      </c>
      <c r="K38" s="2" t="s">
        <v>920</v>
      </c>
    </row>
    <row r="39" spans="1:21" x14ac:dyDescent="0.25">
      <c r="A39">
        <v>320</v>
      </c>
      <c r="B39" s="188">
        <v>43125</v>
      </c>
      <c r="C39" s="10">
        <v>500</v>
      </c>
      <c r="D39" s="39">
        <v>32.3932</v>
      </c>
      <c r="E39" s="39">
        <v>24.81</v>
      </c>
      <c r="F39" s="39">
        <f t="shared" si="9"/>
        <v>-3791.6000000000008</v>
      </c>
      <c r="G39" s="39">
        <f t="shared" si="10"/>
        <v>16196.6</v>
      </c>
      <c r="H39" s="227">
        <f t="shared" si="11"/>
        <v>-0.23409851450304389</v>
      </c>
      <c r="I39" s="39"/>
      <c r="J39" s="39"/>
    </row>
    <row r="40" spans="1:21" x14ac:dyDescent="0.25">
      <c r="A40">
        <v>140</v>
      </c>
      <c r="B40" s="188">
        <v>43126</v>
      </c>
      <c r="C40" s="10">
        <v>320</v>
      </c>
      <c r="D40" s="39">
        <v>36.340000000000003</v>
      </c>
      <c r="E40" s="39">
        <v>25.38</v>
      </c>
      <c r="F40" s="39">
        <f t="shared" si="9"/>
        <v>-3507.2000000000016</v>
      </c>
      <c r="G40" s="39">
        <f t="shared" si="10"/>
        <v>11628.800000000001</v>
      </c>
      <c r="H40" s="227">
        <f t="shared" si="11"/>
        <v>-0.30159603742432589</v>
      </c>
      <c r="I40" s="39"/>
      <c r="J40" s="39"/>
    </row>
    <row r="41" spans="1:21" x14ac:dyDescent="0.25">
      <c r="A41">
        <v>100</v>
      </c>
      <c r="B41" s="188">
        <v>43126</v>
      </c>
      <c r="C41" s="7">
        <v>280</v>
      </c>
      <c r="D41" s="43">
        <v>37.770000000000003</v>
      </c>
      <c r="E41" s="39">
        <v>26.358000000000001</v>
      </c>
      <c r="F41" s="39">
        <f t="shared" si="9"/>
        <v>-3195.3600000000006</v>
      </c>
      <c r="G41" s="39">
        <f t="shared" si="10"/>
        <v>10575.6</v>
      </c>
      <c r="H41" s="227">
        <f t="shared" si="11"/>
        <v>-0.30214455917394761</v>
      </c>
      <c r="I41" s="39">
        <v>37</v>
      </c>
      <c r="J41" s="39"/>
      <c r="O41" s="33"/>
      <c r="R41" s="33"/>
    </row>
    <row r="42" spans="1:21" ht="20.25" thickBot="1" x14ac:dyDescent="0.35">
      <c r="B42" s="10"/>
      <c r="C42" s="10"/>
      <c r="D42" s="39"/>
      <c r="E42" s="39"/>
      <c r="F42" s="39"/>
      <c r="G42" s="39"/>
      <c r="H42" s="227"/>
      <c r="I42" s="39"/>
      <c r="J42" s="39"/>
      <c r="O42" s="240" t="s">
        <v>78</v>
      </c>
      <c r="P42" s="240"/>
      <c r="Q42" s="33"/>
      <c r="R42" s="33"/>
      <c r="T42" s="89" t="s">
        <v>112</v>
      </c>
    </row>
    <row r="43" spans="1:21" ht="15.75" thickTop="1" x14ac:dyDescent="0.25">
      <c r="B43" s="10"/>
      <c r="C43" s="10"/>
      <c r="D43" s="39"/>
      <c r="E43" s="39"/>
      <c r="F43" s="39"/>
      <c r="G43" s="39"/>
      <c r="H43" s="227"/>
      <c r="I43" s="39"/>
      <c r="J43" s="39"/>
      <c r="O43" s="81">
        <v>1.1000000000000001</v>
      </c>
      <c r="P43" s="81">
        <f>O43*$Q$4</f>
        <v>30.371000000000002</v>
      </c>
      <c r="Q43" s="33"/>
      <c r="R43" s="33"/>
      <c r="T43" s="125" t="s">
        <v>97</v>
      </c>
      <c r="U43" s="96">
        <v>46.18</v>
      </c>
    </row>
    <row r="44" spans="1:21" x14ac:dyDescent="0.25">
      <c r="B44" s="10"/>
      <c r="C44" s="10"/>
      <c r="D44" s="39"/>
      <c r="E44" s="39"/>
      <c r="F44" s="39"/>
      <c r="G44" s="39"/>
      <c r="H44" s="227"/>
      <c r="I44" s="39"/>
      <c r="J44" s="39"/>
      <c r="O44" s="81">
        <v>1.0900000000000001</v>
      </c>
      <c r="P44" s="81">
        <f t="shared" ref="P44:P63" si="12">O44*$Q$4</f>
        <v>30.094900000000003</v>
      </c>
      <c r="Q44" s="33"/>
      <c r="R44" s="33"/>
      <c r="T44" s="91" t="s">
        <v>98</v>
      </c>
      <c r="U44" s="86">
        <v>46.21</v>
      </c>
    </row>
    <row r="45" spans="1:21" x14ac:dyDescent="0.25">
      <c r="B45" s="10"/>
      <c r="C45" s="10"/>
      <c r="D45" s="39"/>
      <c r="E45" s="39"/>
      <c r="F45" s="39"/>
      <c r="G45" s="39"/>
      <c r="H45" s="227"/>
      <c r="I45" s="39"/>
      <c r="J45" s="39"/>
      <c r="O45" s="81">
        <v>1.08</v>
      </c>
      <c r="P45" s="81">
        <f t="shared" si="12"/>
        <v>29.818800000000003</v>
      </c>
      <c r="Q45" s="33"/>
      <c r="R45" s="33"/>
      <c r="T45" s="91" t="s">
        <v>99</v>
      </c>
      <c r="U45" s="86" t="s">
        <v>128</v>
      </c>
    </row>
    <row r="46" spans="1:21" x14ac:dyDescent="0.25">
      <c r="L46" t="s">
        <v>211</v>
      </c>
      <c r="M46" s="2">
        <f>M60+K60-F60</f>
        <v>75.019999999999982</v>
      </c>
      <c r="O46" s="81">
        <v>1.07</v>
      </c>
      <c r="P46" s="81">
        <f t="shared" si="12"/>
        <v>29.5427</v>
      </c>
      <c r="Q46" s="81"/>
      <c r="R46" s="33"/>
      <c r="T46" s="91" t="s">
        <v>100</v>
      </c>
      <c r="U46" s="86" t="s">
        <v>128</v>
      </c>
    </row>
    <row r="47" spans="1:21" x14ac:dyDescent="0.25">
      <c r="A47" s="377" t="s">
        <v>1</v>
      </c>
      <c r="B47" s="377" t="s">
        <v>2</v>
      </c>
      <c r="C47" s="377" t="s">
        <v>4</v>
      </c>
      <c r="D47" s="379" t="s">
        <v>5</v>
      </c>
      <c r="E47" s="379" t="s">
        <v>94</v>
      </c>
      <c r="F47" s="379" t="s">
        <v>60</v>
      </c>
      <c r="G47" s="377" t="s">
        <v>3</v>
      </c>
      <c r="H47" s="377" t="s">
        <v>6</v>
      </c>
      <c r="I47" s="379" t="s">
        <v>7</v>
      </c>
      <c r="J47" s="379" t="s">
        <v>95</v>
      </c>
      <c r="K47" s="379" t="s">
        <v>61</v>
      </c>
      <c r="L47" s="377" t="s">
        <v>77</v>
      </c>
      <c r="M47" s="377" t="s">
        <v>38</v>
      </c>
      <c r="O47" s="81">
        <v>1.06</v>
      </c>
      <c r="P47" s="81">
        <f t="shared" si="12"/>
        <v>29.2666</v>
      </c>
      <c r="Q47" s="81"/>
      <c r="R47" s="33"/>
      <c r="T47" s="91" t="s">
        <v>101</v>
      </c>
      <c r="U47" s="86">
        <v>57.29</v>
      </c>
    </row>
    <row r="48" spans="1:21" x14ac:dyDescent="0.25">
      <c r="A48" s="380" t="s">
        <v>174</v>
      </c>
      <c r="B48" s="370">
        <v>42376</v>
      </c>
      <c r="C48" s="371">
        <v>60</v>
      </c>
      <c r="D48" s="372">
        <v>41.01</v>
      </c>
      <c r="E48" s="372">
        <v>0</v>
      </c>
      <c r="F48" s="372">
        <f>C48*D48</f>
        <v>2460.6</v>
      </c>
      <c r="G48" s="370">
        <v>42426</v>
      </c>
      <c r="H48" s="375">
        <v>20</v>
      </c>
      <c r="I48" s="372">
        <v>38.450000000000003</v>
      </c>
      <c r="J48" s="372">
        <v>0.02</v>
      </c>
      <c r="K48" s="372">
        <f>H48*I48-J48</f>
        <v>768.98</v>
      </c>
      <c r="L48" s="370">
        <v>42444</v>
      </c>
      <c r="M48" s="372">
        <v>15.2</v>
      </c>
      <c r="O48" s="81">
        <v>1.05</v>
      </c>
      <c r="P48" s="81">
        <f t="shared" si="12"/>
        <v>28.990500000000001</v>
      </c>
      <c r="Q48" s="81"/>
      <c r="R48" s="33"/>
      <c r="T48" s="91" t="s">
        <v>102</v>
      </c>
      <c r="U48" s="86">
        <v>1.14788</v>
      </c>
    </row>
    <row r="49" spans="1:21" x14ac:dyDescent="0.25">
      <c r="A49" s="381" t="s">
        <v>71</v>
      </c>
      <c r="B49" s="370">
        <v>42403</v>
      </c>
      <c r="C49" s="371">
        <v>20</v>
      </c>
      <c r="D49" s="372">
        <v>35.5</v>
      </c>
      <c r="E49" s="372">
        <v>0</v>
      </c>
      <c r="F49" s="372">
        <f>C49*D49</f>
        <v>710</v>
      </c>
      <c r="G49" s="370">
        <v>42426</v>
      </c>
      <c r="H49" s="375">
        <v>30</v>
      </c>
      <c r="I49" s="372">
        <v>38.75</v>
      </c>
      <c r="J49" s="372">
        <v>0.03</v>
      </c>
      <c r="K49" s="372">
        <f>H49*I49-J49</f>
        <v>1162.47</v>
      </c>
      <c r="L49" s="371"/>
      <c r="M49" s="371"/>
      <c r="O49" s="81">
        <v>1.04</v>
      </c>
      <c r="P49" s="81">
        <f t="shared" si="12"/>
        <v>28.714400000000001</v>
      </c>
      <c r="Q49" s="81"/>
      <c r="R49" s="33"/>
      <c r="T49" s="91" t="s">
        <v>103</v>
      </c>
      <c r="U49" s="86" t="s">
        <v>571</v>
      </c>
    </row>
    <row r="50" spans="1:21" x14ac:dyDescent="0.25">
      <c r="A50" s="371"/>
      <c r="B50" s="371"/>
      <c r="C50" s="371"/>
      <c r="D50" s="372"/>
      <c r="E50" s="372"/>
      <c r="F50" s="372"/>
      <c r="G50" s="370">
        <v>42447</v>
      </c>
      <c r="H50" s="375">
        <v>30</v>
      </c>
      <c r="I50" s="372">
        <v>43.3</v>
      </c>
      <c r="J50" s="372">
        <v>0.03</v>
      </c>
      <c r="K50" s="372">
        <f>H50*I50-J50</f>
        <v>1298.97</v>
      </c>
      <c r="L50" s="371"/>
      <c r="M50" s="371"/>
      <c r="O50" s="81">
        <v>1.03</v>
      </c>
      <c r="P50" s="81">
        <f t="shared" si="12"/>
        <v>28.438300000000002</v>
      </c>
      <c r="Q50" s="81"/>
      <c r="R50" s="33"/>
      <c r="T50" s="91"/>
      <c r="U50" s="86"/>
    </row>
    <row r="51" spans="1:21" x14ac:dyDescent="0.25">
      <c r="A51" s="371"/>
      <c r="B51" s="371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12"/>
        <v>28.162199999999999</v>
      </c>
      <c r="Q51" s="81"/>
      <c r="R51" s="33"/>
      <c r="T51" s="91" t="s">
        <v>104</v>
      </c>
      <c r="U51" s="86" t="s">
        <v>670</v>
      </c>
    </row>
    <row r="52" spans="1:21" x14ac:dyDescent="0.25">
      <c r="A52" s="371"/>
      <c r="B52" s="371"/>
      <c r="C52" s="371"/>
      <c r="D52" s="372"/>
      <c r="E52" s="372"/>
      <c r="F52" s="372"/>
      <c r="G52" s="371"/>
      <c r="H52" s="371"/>
      <c r="I52" s="372"/>
      <c r="J52" s="372"/>
      <c r="K52" s="372"/>
      <c r="L52" s="371"/>
      <c r="M52" s="371"/>
      <c r="O52" s="81">
        <v>1.01</v>
      </c>
      <c r="P52" s="81">
        <f t="shared" si="12"/>
        <v>27.886099999999999</v>
      </c>
      <c r="Q52" s="81"/>
      <c r="R52" s="33"/>
      <c r="T52" s="91" t="s">
        <v>105</v>
      </c>
      <c r="U52" s="86" t="s">
        <v>545</v>
      </c>
    </row>
    <row r="53" spans="1:21" x14ac:dyDescent="0.25">
      <c r="A53" s="371"/>
      <c r="B53" s="371"/>
      <c r="C53" s="371"/>
      <c r="D53" s="372"/>
      <c r="E53" s="372"/>
      <c r="F53" s="372"/>
      <c r="G53" s="371"/>
      <c r="H53" s="371"/>
      <c r="I53" s="372"/>
      <c r="J53" s="372"/>
      <c r="K53" s="372"/>
      <c r="L53" s="371"/>
      <c r="M53" s="371"/>
      <c r="O53" s="81">
        <v>1</v>
      </c>
      <c r="P53" s="81">
        <f t="shared" si="12"/>
        <v>27.61</v>
      </c>
      <c r="Q53" s="81"/>
      <c r="R53" s="33"/>
      <c r="T53" s="91" t="s">
        <v>106</v>
      </c>
      <c r="U53" s="88">
        <v>3463916</v>
      </c>
    </row>
    <row r="54" spans="1:21" x14ac:dyDescent="0.25">
      <c r="A54" s="371"/>
      <c r="B54" s="371"/>
      <c r="C54" s="371"/>
      <c r="D54" s="372"/>
      <c r="E54" s="372"/>
      <c r="F54" s="372"/>
      <c r="G54" s="371"/>
      <c r="H54" s="371"/>
      <c r="I54" s="372"/>
      <c r="J54" s="372"/>
      <c r="K54" s="372"/>
      <c r="L54" s="371"/>
      <c r="M54" s="371"/>
      <c r="O54" s="81">
        <v>0.99</v>
      </c>
      <c r="P54" s="81">
        <f t="shared" si="12"/>
        <v>27.3339</v>
      </c>
      <c r="Q54" s="81"/>
      <c r="R54" s="33"/>
      <c r="T54" s="91" t="s">
        <v>109</v>
      </c>
      <c r="U54" s="88">
        <v>4068010</v>
      </c>
    </row>
    <row r="55" spans="1:21" x14ac:dyDescent="0.25">
      <c r="A55" s="371"/>
      <c r="B55" s="371"/>
      <c r="C55" s="371"/>
      <c r="D55" s="372"/>
      <c r="E55" s="372"/>
      <c r="F55" s="372"/>
      <c r="G55" s="371"/>
      <c r="H55" s="371"/>
      <c r="I55" s="372"/>
      <c r="J55" s="372"/>
      <c r="K55" s="372"/>
      <c r="L55" s="371"/>
      <c r="M55" s="371"/>
      <c r="O55" s="81">
        <v>0.98</v>
      </c>
      <c r="P55" s="81">
        <f t="shared" si="12"/>
        <v>27.0578</v>
      </c>
      <c r="Q55" s="81"/>
      <c r="T55" s="91" t="s">
        <v>107</v>
      </c>
      <c r="U55" s="86" t="s">
        <v>671</v>
      </c>
    </row>
    <row r="56" spans="1:21" x14ac:dyDescent="0.25">
      <c r="A56" s="371"/>
      <c r="B56" s="371"/>
      <c r="C56" s="371"/>
      <c r="D56" s="372"/>
      <c r="E56" s="372"/>
      <c r="F56" s="372"/>
      <c r="G56" s="371"/>
      <c r="H56" s="371"/>
      <c r="I56" s="372"/>
      <c r="J56" s="372"/>
      <c r="K56" s="372"/>
      <c r="L56" s="371"/>
      <c r="M56" s="371"/>
      <c r="O56" s="81">
        <v>0.97</v>
      </c>
      <c r="P56" s="81">
        <f t="shared" si="12"/>
        <v>26.781699999999997</v>
      </c>
      <c r="Q56" s="81"/>
      <c r="T56" s="91" t="s">
        <v>110</v>
      </c>
      <c r="U56" s="86">
        <v>36.78</v>
      </c>
    </row>
    <row r="57" spans="1:21" x14ac:dyDescent="0.25">
      <c r="A57" s="371"/>
      <c r="B57" s="371"/>
      <c r="C57" s="371"/>
      <c r="D57" s="372"/>
      <c r="E57" s="372"/>
      <c r="F57" s="372"/>
      <c r="G57" s="371"/>
      <c r="H57" s="371"/>
      <c r="I57" s="372"/>
      <c r="J57" s="372"/>
      <c r="K57" s="372"/>
      <c r="L57" s="371"/>
      <c r="M57" s="371"/>
      <c r="O57" s="81">
        <v>0.96</v>
      </c>
      <c r="P57" s="81">
        <f t="shared" si="12"/>
        <v>26.505599999999998</v>
      </c>
      <c r="Q57" s="81"/>
      <c r="T57" s="91" t="s">
        <v>111</v>
      </c>
      <c r="U57" s="86">
        <v>1.25</v>
      </c>
    </row>
    <row r="58" spans="1:21" x14ac:dyDescent="0.25">
      <c r="A58" s="371"/>
      <c r="B58" s="371"/>
      <c r="C58" s="371"/>
      <c r="D58" s="372"/>
      <c r="E58" s="372"/>
      <c r="F58" s="372"/>
      <c r="G58" s="371"/>
      <c r="H58" s="371"/>
      <c r="I58" s="372"/>
      <c r="J58" s="372"/>
      <c r="K58" s="372"/>
      <c r="L58" s="371"/>
      <c r="M58" s="371"/>
      <c r="O58" s="81">
        <v>0.95</v>
      </c>
      <c r="P58" s="81">
        <f t="shared" si="12"/>
        <v>26.229499999999998</v>
      </c>
      <c r="Q58" s="81"/>
      <c r="T58" s="91" t="s">
        <v>108</v>
      </c>
      <c r="U58" s="86" t="s">
        <v>572</v>
      </c>
    </row>
    <row r="59" spans="1:21" x14ac:dyDescent="0.25">
      <c r="A59" s="371"/>
      <c r="B59" s="371"/>
      <c r="C59" s="371"/>
      <c r="D59" s="372"/>
      <c r="E59" s="372"/>
      <c r="F59" s="372"/>
      <c r="G59" s="371"/>
      <c r="H59" s="371"/>
      <c r="I59" s="372"/>
      <c r="J59" s="372"/>
      <c r="K59" s="372"/>
      <c r="L59" s="371"/>
      <c r="M59" s="371"/>
      <c r="O59" s="81">
        <v>0.94</v>
      </c>
      <c r="P59" s="81">
        <f t="shared" si="12"/>
        <v>25.953399999999998</v>
      </c>
      <c r="Q59" s="81"/>
    </row>
    <row r="60" spans="1:21" x14ac:dyDescent="0.25">
      <c r="A60" s="35" t="s">
        <v>81</v>
      </c>
      <c r="B60" s="36"/>
      <c r="C60" s="36">
        <f>SUM(C48:C59)</f>
        <v>80</v>
      </c>
      <c r="D60" s="37"/>
      <c r="E60" s="37"/>
      <c r="F60" s="37">
        <f>SUM(F48:F59)</f>
        <v>3170.6</v>
      </c>
      <c r="G60" s="36"/>
      <c r="H60" s="178">
        <f>SUM(H48:H59)</f>
        <v>80</v>
      </c>
      <c r="I60" s="37"/>
      <c r="J60" s="37"/>
      <c r="K60" s="37">
        <f>SUM(K48:K59)</f>
        <v>3230.42</v>
      </c>
      <c r="L60" s="37"/>
      <c r="M60" s="37">
        <f>SUM(M48:M49)</f>
        <v>15.2</v>
      </c>
      <c r="O60" s="81">
        <v>0.93</v>
      </c>
      <c r="P60" s="81">
        <f t="shared" si="12"/>
        <v>25.677300000000002</v>
      </c>
      <c r="Q60" s="81"/>
    </row>
    <row r="61" spans="1:21" x14ac:dyDescent="0.25">
      <c r="G61" s="2"/>
      <c r="O61" s="81">
        <v>0.92</v>
      </c>
      <c r="P61" s="81">
        <f t="shared" si="12"/>
        <v>25.401199999999999</v>
      </c>
      <c r="Q61" s="81"/>
    </row>
    <row r="62" spans="1:21" x14ac:dyDescent="0.25">
      <c r="O62" s="81">
        <v>0.91</v>
      </c>
      <c r="P62" s="81">
        <f t="shared" si="12"/>
        <v>25.1251</v>
      </c>
      <c r="Q62" s="81"/>
    </row>
    <row r="63" spans="1:21" x14ac:dyDescent="0.25">
      <c r="B63" s="262" t="s">
        <v>113</v>
      </c>
      <c r="C63" s="262" t="s">
        <v>146</v>
      </c>
      <c r="D63" s="263" t="s">
        <v>145</v>
      </c>
      <c r="E63" s="264" t="s">
        <v>147</v>
      </c>
      <c r="F63" s="265" t="s">
        <v>65</v>
      </c>
      <c r="G63" s="266" t="s">
        <v>151</v>
      </c>
      <c r="H63" s="265" t="s">
        <v>88</v>
      </c>
      <c r="I63" s="265" t="s">
        <v>154</v>
      </c>
      <c r="O63" s="81">
        <v>0.9</v>
      </c>
      <c r="P63" s="81">
        <f t="shared" si="12"/>
        <v>24.849</v>
      </c>
      <c r="Q63" s="81"/>
    </row>
    <row r="64" spans="1:21" x14ac:dyDescent="0.25">
      <c r="B64" s="259">
        <v>42376</v>
      </c>
      <c r="C64" s="254">
        <v>60</v>
      </c>
      <c r="D64" s="255">
        <v>41.01</v>
      </c>
      <c r="E64" s="255">
        <v>40.33</v>
      </c>
      <c r="F64" s="255">
        <f>C64*(E64-D64)</f>
        <v>-40.799999999999983</v>
      </c>
      <c r="G64" s="255">
        <f>D64*C64</f>
        <v>2460.6</v>
      </c>
      <c r="H64" s="269">
        <f>(E64-D64)/D64</f>
        <v>-1.6581321628871E-2</v>
      </c>
      <c r="I64" s="269"/>
      <c r="O64" s="33"/>
    </row>
    <row r="65" spans="2:15" x14ac:dyDescent="0.25">
      <c r="B65" s="259">
        <v>42403</v>
      </c>
      <c r="C65" s="254">
        <v>80</v>
      </c>
      <c r="D65" s="255">
        <v>39.630000000000003</v>
      </c>
      <c r="E65" s="255">
        <v>36.229999999999997</v>
      </c>
      <c r="F65" s="255">
        <f>C65*(E65-D65)</f>
        <v>-272.00000000000045</v>
      </c>
      <c r="G65" s="255">
        <f>D65*C65</f>
        <v>3170.4</v>
      </c>
      <c r="H65" s="269">
        <f>(E65-D65)/D65</f>
        <v>-8.5793590714105611E-2</v>
      </c>
      <c r="I65" s="269"/>
    </row>
    <row r="66" spans="2:15" x14ac:dyDescent="0.25">
      <c r="B66" s="259">
        <v>42421</v>
      </c>
      <c r="C66" s="254">
        <v>80</v>
      </c>
      <c r="D66" s="255">
        <v>39.630000000000003</v>
      </c>
      <c r="E66" s="255">
        <v>37.46</v>
      </c>
      <c r="F66" s="255">
        <f>C66*(E66-D66)</f>
        <v>-173.60000000000014</v>
      </c>
      <c r="G66" s="255">
        <f>D66*C66</f>
        <v>3170.4</v>
      </c>
      <c r="H66" s="269">
        <f>(E66-D66)/D66</f>
        <v>-5.4756497602826179E-2</v>
      </c>
      <c r="I66" s="269"/>
    </row>
    <row r="67" spans="2:15" x14ac:dyDescent="0.25">
      <c r="B67" s="259">
        <v>42426</v>
      </c>
      <c r="C67" s="254">
        <v>60</v>
      </c>
      <c r="D67" s="255">
        <v>40.03</v>
      </c>
      <c r="E67" s="255">
        <v>38.450000000000003</v>
      </c>
      <c r="F67" s="255">
        <f t="shared" ref="F67:F73" si="13">C67*(E67-D67)</f>
        <v>-94.799999999999898</v>
      </c>
      <c r="G67" s="255">
        <f t="shared" ref="G67:G73" si="14">D67*C67</f>
        <v>2401.8000000000002</v>
      </c>
      <c r="H67" s="269">
        <f t="shared" ref="H67:H73" si="15">(E67-D67)/D67</f>
        <v>-3.9470397202098384E-2</v>
      </c>
      <c r="I67" s="269"/>
    </row>
    <row r="68" spans="2:15" x14ac:dyDescent="0.25">
      <c r="B68" s="259">
        <v>42426</v>
      </c>
      <c r="C68" s="254">
        <v>30</v>
      </c>
      <c r="D68" s="255">
        <v>41.31</v>
      </c>
      <c r="E68" s="255">
        <v>38.44</v>
      </c>
      <c r="F68" s="255">
        <f t="shared" si="13"/>
        <v>-86.100000000000136</v>
      </c>
      <c r="G68" s="255">
        <f t="shared" si="14"/>
        <v>1239.3000000000002</v>
      </c>
      <c r="H68" s="267">
        <f t="shared" si="15"/>
        <v>-6.9474703461631676E-2</v>
      </c>
      <c r="I68" s="267"/>
    </row>
    <row r="69" spans="2:15" x14ac:dyDescent="0.25">
      <c r="B69" s="259">
        <v>42430</v>
      </c>
      <c r="C69" s="254">
        <v>30</v>
      </c>
      <c r="D69" s="255">
        <v>41.31</v>
      </c>
      <c r="E69" s="255">
        <v>39.51</v>
      </c>
      <c r="F69" s="255">
        <f t="shared" si="13"/>
        <v>-54.000000000000128</v>
      </c>
      <c r="G69" s="255">
        <f t="shared" si="14"/>
        <v>1239.3000000000002</v>
      </c>
      <c r="H69" s="267">
        <f t="shared" si="15"/>
        <v>-4.3572984749455437E-2</v>
      </c>
      <c r="I69" s="267"/>
      <c r="O69" s="33"/>
    </row>
    <row r="70" spans="2:15" x14ac:dyDescent="0.25">
      <c r="B70" s="259">
        <v>42431</v>
      </c>
      <c r="C70" s="254">
        <v>30</v>
      </c>
      <c r="D70" s="255">
        <v>41.305</v>
      </c>
      <c r="E70" s="255">
        <v>40.31</v>
      </c>
      <c r="F70" s="255">
        <f t="shared" si="13"/>
        <v>-29.849999999999923</v>
      </c>
      <c r="G70" s="255">
        <f t="shared" si="14"/>
        <v>1239.1500000000001</v>
      </c>
      <c r="H70" s="267">
        <f t="shared" si="15"/>
        <v>-2.4089093330105251E-2</v>
      </c>
      <c r="I70" s="267"/>
    </row>
    <row r="71" spans="2:15" x14ac:dyDescent="0.25">
      <c r="B71" s="259">
        <v>42435</v>
      </c>
      <c r="C71" s="254">
        <v>30</v>
      </c>
      <c r="D71" s="255">
        <v>41.305</v>
      </c>
      <c r="E71" s="255">
        <v>40.98</v>
      </c>
      <c r="F71" s="255">
        <f t="shared" si="13"/>
        <v>-9.7500000000000853</v>
      </c>
      <c r="G71" s="255">
        <f t="shared" si="14"/>
        <v>1239.1500000000001</v>
      </c>
      <c r="H71" s="267">
        <f t="shared" si="15"/>
        <v>-7.8682968163661261E-3</v>
      </c>
      <c r="I71" s="267"/>
    </row>
    <row r="72" spans="2:15" x14ac:dyDescent="0.25">
      <c r="B72" s="259">
        <v>42436</v>
      </c>
      <c r="C72" s="254">
        <v>30</v>
      </c>
      <c r="D72" s="255">
        <v>41.305</v>
      </c>
      <c r="E72" s="255">
        <v>39.590000000000003</v>
      </c>
      <c r="F72" s="255">
        <f t="shared" si="13"/>
        <v>-51.449999999999889</v>
      </c>
      <c r="G72" s="255">
        <f t="shared" si="14"/>
        <v>1239.1500000000001</v>
      </c>
      <c r="H72" s="267">
        <f t="shared" si="15"/>
        <v>-4.1520397046362338E-2</v>
      </c>
      <c r="I72" s="267"/>
    </row>
    <row r="73" spans="2:15" x14ac:dyDescent="0.25">
      <c r="B73" s="259">
        <v>42444</v>
      </c>
      <c r="C73" s="254">
        <v>30</v>
      </c>
      <c r="D73" s="255">
        <v>41.305</v>
      </c>
      <c r="E73" s="255">
        <v>41.37</v>
      </c>
      <c r="F73" s="255">
        <f t="shared" si="13"/>
        <v>1.9499999999999318</v>
      </c>
      <c r="G73" s="255">
        <f t="shared" si="14"/>
        <v>1239.1500000000001</v>
      </c>
      <c r="H73" s="267">
        <f t="shared" si="15"/>
        <v>1.5736593632731564E-3</v>
      </c>
      <c r="I73" s="267"/>
    </row>
    <row r="74" spans="2:15" x14ac:dyDescent="0.25">
      <c r="B74" s="259">
        <v>42444</v>
      </c>
      <c r="C74" s="254">
        <v>30</v>
      </c>
      <c r="D74" s="255">
        <v>40.47983</v>
      </c>
      <c r="E74" s="255">
        <v>41.37</v>
      </c>
      <c r="F74" s="255">
        <f>C74*(E74-D74)</f>
        <v>26.705099999999931</v>
      </c>
      <c r="G74" s="255">
        <f>D74*C74</f>
        <v>1214.3949</v>
      </c>
      <c r="H74" s="267">
        <f>(E74-D74)/D74</f>
        <v>2.1990457963879731E-2</v>
      </c>
      <c r="I74" s="267" t="s">
        <v>182</v>
      </c>
    </row>
    <row r="75" spans="2:15" x14ac:dyDescent="0.25">
      <c r="B75" s="259">
        <v>42447</v>
      </c>
      <c r="C75" s="254">
        <v>0</v>
      </c>
      <c r="D75" s="255"/>
      <c r="E75" s="255"/>
      <c r="F75" s="255">
        <v>75.02</v>
      </c>
      <c r="G75" s="255"/>
      <c r="H75" s="267"/>
      <c r="I75" s="267"/>
    </row>
    <row r="76" spans="2:15" x14ac:dyDescent="0.25">
      <c r="B76" s="254"/>
      <c r="C76" s="254"/>
      <c r="D76" s="255"/>
      <c r="E76" s="255"/>
      <c r="F76" s="255"/>
      <c r="G76" s="255"/>
      <c r="H76" s="267"/>
      <c r="I76" s="267"/>
    </row>
    <row r="77" spans="2:15" x14ac:dyDescent="0.25">
      <c r="B77" s="254"/>
      <c r="C77" s="254"/>
      <c r="D77" s="255"/>
      <c r="E77" s="255"/>
      <c r="F77" s="255"/>
      <c r="G77" s="255"/>
      <c r="H77" s="267"/>
      <c r="I77" s="267"/>
    </row>
  </sheetData>
  <conditionalFormatting sqref="O43:O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443" priority="61">
      <formula>F26&gt;0</formula>
    </cfRule>
    <cfRule type="expression" dxfId="442" priority="62">
      <formula>F26&lt;0</formula>
    </cfRule>
  </conditionalFormatting>
  <conditionalFormatting sqref="H26:H28">
    <cfRule type="expression" dxfId="441" priority="59">
      <formula>H26&gt;0</formula>
    </cfRule>
    <cfRule type="expression" dxfId="440" priority="60">
      <formula>H26&lt;0</formula>
    </cfRule>
  </conditionalFormatting>
  <conditionalFormatting sqref="H29">
    <cfRule type="expression" dxfId="439" priority="57">
      <formula>H29&gt;0</formula>
    </cfRule>
    <cfRule type="expression" dxfId="438" priority="58">
      <formula>H29&lt;0</formula>
    </cfRule>
  </conditionalFormatting>
  <conditionalFormatting sqref="H30">
    <cfRule type="expression" dxfId="437" priority="55">
      <formula>H30&gt;0</formula>
    </cfRule>
    <cfRule type="expression" dxfId="436" priority="56">
      <formula>H30&lt;0</formula>
    </cfRule>
  </conditionalFormatting>
  <conditionalFormatting sqref="H31:H45">
    <cfRule type="expression" dxfId="435" priority="53">
      <formula>H31&gt;0</formula>
    </cfRule>
    <cfRule type="expression" dxfId="434" priority="54">
      <formula>H31&lt;0</formula>
    </cfRule>
  </conditionalFormatting>
  <conditionalFormatting sqref="F22:F25">
    <cfRule type="expression" dxfId="433" priority="51">
      <formula>F22&gt;0</formula>
    </cfRule>
    <cfRule type="expression" dxfId="432" priority="52">
      <formula>F22&lt;0</formula>
    </cfRule>
  </conditionalFormatting>
  <conditionalFormatting sqref="H22:H25">
    <cfRule type="expression" dxfId="431" priority="49">
      <formula>H22&gt;0</formula>
    </cfRule>
    <cfRule type="expression" dxfId="430" priority="50">
      <formula>H22&lt;0</formula>
    </cfRule>
  </conditionalFormatting>
  <conditionalFormatting sqref="F31:F32">
    <cfRule type="expression" dxfId="429" priority="45">
      <formula>F31&gt;0</formula>
    </cfRule>
    <cfRule type="expression" dxfId="428" priority="46">
      <formula>F31&lt;0</formula>
    </cfRule>
  </conditionalFormatting>
  <conditionalFormatting sqref="I26:J28">
    <cfRule type="expression" dxfId="427" priority="43">
      <formula>I26&gt;0</formula>
    </cfRule>
    <cfRule type="expression" dxfId="426" priority="44">
      <formula>I26&lt;0</formula>
    </cfRule>
  </conditionalFormatting>
  <conditionalFormatting sqref="I32:J33 I35:I40 I42:J45">
    <cfRule type="expression" dxfId="425" priority="37">
      <formula>I32&gt;0</formula>
    </cfRule>
    <cfRule type="expression" dxfId="424" priority="38">
      <formula>I32&lt;0</formula>
    </cfRule>
  </conditionalFormatting>
  <conditionalFormatting sqref="I22:J25">
    <cfRule type="expression" dxfId="423" priority="35">
      <formula>I22&gt;0</formula>
    </cfRule>
    <cfRule type="expression" dxfId="422" priority="36">
      <formula>I22&lt;0</formula>
    </cfRule>
  </conditionalFormatting>
  <conditionalFormatting sqref="F33:F41">
    <cfRule type="expression" dxfId="421" priority="33">
      <formula>F33&gt;0</formula>
    </cfRule>
    <cfRule type="expression" dxfId="420" priority="34">
      <formula>F33&lt;0</formula>
    </cfRule>
  </conditionalFormatting>
  <conditionalFormatting sqref="Q8">
    <cfRule type="expression" dxfId="419" priority="29">
      <formula>Q8&gt;0</formula>
    </cfRule>
    <cfRule type="expression" dxfId="418" priority="30">
      <formula>Q8&lt;0</formula>
    </cfRule>
  </conditionalFormatting>
  <conditionalFormatting sqref="Q7">
    <cfRule type="expression" dxfId="417" priority="31">
      <formula>Q7&gt;0</formula>
    </cfRule>
    <cfRule type="expression" dxfId="416" priority="32">
      <formula>Q7&lt;0</formula>
    </cfRule>
  </conditionalFormatting>
  <conditionalFormatting sqref="F68:F72">
    <cfRule type="expression" dxfId="415" priority="27">
      <formula>F68&gt;0</formula>
    </cfRule>
    <cfRule type="expression" dxfId="414" priority="28">
      <formula>F68&lt;0</formula>
    </cfRule>
  </conditionalFormatting>
  <conditionalFormatting sqref="H68:H70">
    <cfRule type="expression" dxfId="413" priority="25">
      <formula>H68&gt;0</formula>
    </cfRule>
    <cfRule type="expression" dxfId="412" priority="26">
      <formula>H68&lt;0</formula>
    </cfRule>
  </conditionalFormatting>
  <conditionalFormatting sqref="H71">
    <cfRule type="expression" dxfId="411" priority="23">
      <formula>H71&gt;0</formula>
    </cfRule>
    <cfRule type="expression" dxfId="410" priority="24">
      <formula>H71&lt;0</formula>
    </cfRule>
  </conditionalFormatting>
  <conditionalFormatting sqref="H72">
    <cfRule type="expression" dxfId="409" priority="21">
      <formula>H72&gt;0</formula>
    </cfRule>
    <cfRule type="expression" dxfId="408" priority="22">
      <formula>H72&lt;0</formula>
    </cfRule>
  </conditionalFormatting>
  <conditionalFormatting sqref="H73:H77">
    <cfRule type="expression" dxfId="407" priority="19">
      <formula>H73&gt;0</formula>
    </cfRule>
    <cfRule type="expression" dxfId="406" priority="20">
      <formula>H73&lt;0</formula>
    </cfRule>
  </conditionalFormatting>
  <conditionalFormatting sqref="F64:F67">
    <cfRule type="expression" dxfId="405" priority="17">
      <formula>F64&gt;0</formula>
    </cfRule>
    <cfRule type="expression" dxfId="404" priority="18">
      <formula>F64&lt;0</formula>
    </cfRule>
  </conditionalFormatting>
  <conditionalFormatting sqref="H64:H67">
    <cfRule type="expression" dxfId="403" priority="15">
      <formula>H64&gt;0</formula>
    </cfRule>
    <cfRule type="expression" dxfId="402" priority="16">
      <formula>H64&lt;0</formula>
    </cfRule>
  </conditionalFormatting>
  <conditionalFormatting sqref="F73:F74">
    <cfRule type="expression" dxfId="401" priority="13">
      <formula>F73&gt;0</formula>
    </cfRule>
    <cfRule type="expression" dxfId="400" priority="14">
      <formula>F73&lt;0</formula>
    </cfRule>
  </conditionalFormatting>
  <conditionalFormatting sqref="I68:I70">
    <cfRule type="expression" dxfId="399" priority="11">
      <formula>I68&gt;0</formula>
    </cfRule>
    <cfRule type="expression" dxfId="398" priority="12">
      <formula>I68&lt;0</formula>
    </cfRule>
  </conditionalFormatting>
  <conditionalFormatting sqref="I71">
    <cfRule type="expression" dxfId="397" priority="9">
      <formula>I71&gt;0</formula>
    </cfRule>
    <cfRule type="expression" dxfId="396" priority="10">
      <formula>I71&lt;0</formula>
    </cfRule>
  </conditionalFormatting>
  <conditionalFormatting sqref="I72">
    <cfRule type="expression" dxfId="395" priority="7">
      <formula>I72&gt;0</formula>
    </cfRule>
    <cfRule type="expression" dxfId="394" priority="8">
      <formula>I72&lt;0</formula>
    </cfRule>
  </conditionalFormatting>
  <conditionalFormatting sqref="I73:I77">
    <cfRule type="expression" dxfId="393" priority="5">
      <formula>I73&gt;0</formula>
    </cfRule>
    <cfRule type="expression" dxfId="392" priority="6">
      <formula>I73&lt;0</formula>
    </cfRule>
  </conditionalFormatting>
  <conditionalFormatting sqref="I64:I67">
    <cfRule type="expression" dxfId="391" priority="3">
      <formula>I64&gt;0</formula>
    </cfRule>
    <cfRule type="expression" dxfId="390" priority="4">
      <formula>I64&lt;0</formula>
    </cfRule>
  </conditionalFormatting>
  <conditionalFormatting sqref="F75">
    <cfRule type="expression" dxfId="389" priority="1">
      <formula>F75&gt;0</formula>
    </cfRule>
    <cfRule type="expression" dxfId="388" priority="2">
      <formula>F75&lt;0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59.8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9">
        <v>2060</v>
      </c>
      <c r="AO3" s="229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59.8</v>
      </c>
      <c r="R4" s="487">
        <v>-3.7000000000000002E-3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90" t="s">
        <v>65</v>
      </c>
      <c r="G21" s="224" t="s">
        <v>151</v>
      </c>
      <c r="H21" s="190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8"/>
      <c r="C22" s="10"/>
      <c r="D22" s="39"/>
      <c r="E22" s="39"/>
      <c r="F22" s="39"/>
      <c r="G22" s="39"/>
      <c r="H22" s="226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8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209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77" t="s">
        <v>1</v>
      </c>
      <c r="B31" s="377" t="s">
        <v>2</v>
      </c>
      <c r="C31" s="377" t="s">
        <v>4</v>
      </c>
      <c r="D31" s="379" t="s">
        <v>5</v>
      </c>
      <c r="E31" s="379" t="s">
        <v>94</v>
      </c>
      <c r="F31" s="379" t="s">
        <v>60</v>
      </c>
      <c r="G31" s="377" t="s">
        <v>3</v>
      </c>
      <c r="H31" s="377" t="s">
        <v>6</v>
      </c>
      <c r="I31" s="379" t="s">
        <v>7</v>
      </c>
      <c r="J31" s="379" t="s">
        <v>95</v>
      </c>
      <c r="K31" s="379" t="s">
        <v>61</v>
      </c>
      <c r="L31" s="377" t="s">
        <v>77</v>
      </c>
      <c r="M31" s="377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80" t="s">
        <v>24</v>
      </c>
      <c r="B32" s="370">
        <v>42156</v>
      </c>
      <c r="C32" s="371">
        <v>5</v>
      </c>
      <c r="D32" s="372">
        <v>48.55</v>
      </c>
      <c r="E32" s="372">
        <v>0</v>
      </c>
      <c r="F32" s="372">
        <f>C32*D32</f>
        <v>242.75</v>
      </c>
      <c r="G32" s="370">
        <v>42186</v>
      </c>
      <c r="H32" s="371">
        <v>100</v>
      </c>
      <c r="I32" s="372">
        <v>44.99</v>
      </c>
      <c r="J32" s="372">
        <v>0.08</v>
      </c>
      <c r="K32" s="372">
        <f>H32*I32-J32</f>
        <v>4498.92</v>
      </c>
      <c r="L32" s="371" t="s">
        <v>80</v>
      </c>
      <c r="M32" s="371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81" t="s">
        <v>71</v>
      </c>
      <c r="B33" s="370">
        <v>42156</v>
      </c>
      <c r="C33" s="371">
        <v>5</v>
      </c>
      <c r="D33" s="372">
        <v>47.01</v>
      </c>
      <c r="E33" s="372">
        <v>0</v>
      </c>
      <c r="F33" s="372">
        <f t="shared" ref="F33:F44" si="2">C33*D33</f>
        <v>235.04999999999998</v>
      </c>
      <c r="G33" s="370">
        <v>42227</v>
      </c>
      <c r="H33" s="371">
        <v>100</v>
      </c>
      <c r="I33" s="372">
        <v>43</v>
      </c>
      <c r="J33" s="372">
        <v>0.08</v>
      </c>
      <c r="K33" s="372">
        <f>H33*I33-J33</f>
        <v>4299.92</v>
      </c>
      <c r="L33" s="371"/>
      <c r="M33" s="371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71"/>
      <c r="B34" s="370">
        <v>42156</v>
      </c>
      <c r="C34" s="371">
        <v>10</v>
      </c>
      <c r="D34" s="372">
        <v>46.5</v>
      </c>
      <c r="E34" s="372">
        <v>0</v>
      </c>
      <c r="F34" s="372">
        <f t="shared" si="2"/>
        <v>465</v>
      </c>
      <c r="G34" s="370">
        <v>42312</v>
      </c>
      <c r="H34" s="375">
        <v>40</v>
      </c>
      <c r="I34" s="372">
        <v>42.5</v>
      </c>
      <c r="J34" s="372">
        <v>0.03</v>
      </c>
      <c r="K34" s="372">
        <f>H34*I34-J34</f>
        <v>1699.97</v>
      </c>
      <c r="L34" s="371"/>
      <c r="M34" s="371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71"/>
      <c r="B35" s="370">
        <v>42156</v>
      </c>
      <c r="C35" s="371">
        <v>50</v>
      </c>
      <c r="D35" s="372">
        <v>45.95</v>
      </c>
      <c r="E35" s="372">
        <v>0</v>
      </c>
      <c r="F35" s="372">
        <f t="shared" si="2"/>
        <v>2297.5</v>
      </c>
      <c r="G35" s="370">
        <v>42318</v>
      </c>
      <c r="H35" s="375">
        <v>14</v>
      </c>
      <c r="I35" s="372">
        <v>43.5</v>
      </c>
      <c r="J35" s="372">
        <v>0.01</v>
      </c>
      <c r="K35" s="372">
        <f t="shared" ref="K35:K42" si="3">H35*I35-J35</f>
        <v>608.99</v>
      </c>
      <c r="L35" s="371"/>
      <c r="M35" s="371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71"/>
      <c r="B36" s="370">
        <v>42156</v>
      </c>
      <c r="C36" s="371">
        <v>30</v>
      </c>
      <c r="D36" s="372">
        <v>45.95</v>
      </c>
      <c r="E36" s="372">
        <v>0</v>
      </c>
      <c r="F36" s="372">
        <f t="shared" si="2"/>
        <v>1378.5</v>
      </c>
      <c r="G36" s="370">
        <v>42318</v>
      </c>
      <c r="H36" s="375">
        <v>26</v>
      </c>
      <c r="I36" s="372">
        <v>43.78</v>
      </c>
      <c r="J36" s="372">
        <v>0.02</v>
      </c>
      <c r="K36" s="372">
        <f t="shared" si="3"/>
        <v>1138.26</v>
      </c>
      <c r="L36" s="371"/>
      <c r="M36" s="371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71"/>
      <c r="B37" s="370">
        <v>42186</v>
      </c>
      <c r="C37" s="371">
        <v>100</v>
      </c>
      <c r="D37" s="372">
        <v>44.9</v>
      </c>
      <c r="E37" s="372">
        <v>0</v>
      </c>
      <c r="F37" s="372">
        <f t="shared" si="2"/>
        <v>4490</v>
      </c>
      <c r="G37" s="370">
        <v>42320</v>
      </c>
      <c r="H37" s="375">
        <v>10</v>
      </c>
      <c r="I37" s="372">
        <v>43.9</v>
      </c>
      <c r="J37" s="372">
        <v>0.01</v>
      </c>
      <c r="K37" s="372">
        <f t="shared" si="3"/>
        <v>438.99</v>
      </c>
      <c r="L37" s="371"/>
      <c r="M37" s="371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71"/>
      <c r="B38" s="370">
        <v>42206</v>
      </c>
      <c r="C38" s="371">
        <v>20</v>
      </c>
      <c r="D38" s="372">
        <v>41.2</v>
      </c>
      <c r="E38" s="372">
        <v>0</v>
      </c>
      <c r="F38" s="372">
        <f t="shared" si="2"/>
        <v>824</v>
      </c>
      <c r="G38" s="370">
        <v>42333</v>
      </c>
      <c r="H38" s="375">
        <v>50</v>
      </c>
      <c r="I38" s="372">
        <v>41.67</v>
      </c>
      <c r="J38" s="372">
        <v>0.04</v>
      </c>
      <c r="K38" s="372">
        <f t="shared" si="3"/>
        <v>2083.46</v>
      </c>
      <c r="L38" s="371"/>
      <c r="M38" s="371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71"/>
      <c r="B39" s="370">
        <v>42207</v>
      </c>
      <c r="C39" s="371">
        <v>20</v>
      </c>
      <c r="D39" s="372">
        <v>40.68</v>
      </c>
      <c r="E39" s="372">
        <v>0</v>
      </c>
      <c r="F39" s="372">
        <f t="shared" si="2"/>
        <v>813.6</v>
      </c>
      <c r="G39" s="370">
        <v>42335</v>
      </c>
      <c r="H39" s="375">
        <v>50</v>
      </c>
      <c r="I39" s="372">
        <v>41.85</v>
      </c>
      <c r="J39" s="372">
        <v>0.04</v>
      </c>
      <c r="K39" s="372">
        <f t="shared" si="3"/>
        <v>2092.46</v>
      </c>
      <c r="L39" s="371"/>
      <c r="M39" s="371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71"/>
      <c r="B40" s="370">
        <v>42292</v>
      </c>
      <c r="C40" s="371">
        <v>40</v>
      </c>
      <c r="D40" s="372">
        <v>41.65</v>
      </c>
      <c r="E40" s="372">
        <v>0</v>
      </c>
      <c r="F40" s="372">
        <f t="shared" si="2"/>
        <v>1666</v>
      </c>
      <c r="G40" s="370">
        <v>42335</v>
      </c>
      <c r="H40" s="375">
        <v>50</v>
      </c>
      <c r="I40" s="372">
        <v>42.4</v>
      </c>
      <c r="J40" s="372">
        <v>0.04</v>
      </c>
      <c r="K40" s="372">
        <f t="shared" si="3"/>
        <v>2119.96</v>
      </c>
      <c r="L40" s="371"/>
      <c r="M40" s="371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71"/>
      <c r="B41" s="370">
        <v>42298</v>
      </c>
      <c r="C41" s="371">
        <v>80</v>
      </c>
      <c r="D41" s="372">
        <v>40.450000000000003</v>
      </c>
      <c r="E41" s="372">
        <v>0</v>
      </c>
      <c r="F41" s="372">
        <f t="shared" si="2"/>
        <v>3236</v>
      </c>
      <c r="G41" s="370">
        <v>42398</v>
      </c>
      <c r="H41" s="375">
        <v>50</v>
      </c>
      <c r="I41" s="372">
        <v>39.65</v>
      </c>
      <c r="J41" s="372">
        <v>0.04</v>
      </c>
      <c r="K41" s="372">
        <f t="shared" si="3"/>
        <v>1982.46</v>
      </c>
      <c r="L41" s="371"/>
      <c r="M41" s="371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71"/>
      <c r="B42" s="370">
        <v>42298</v>
      </c>
      <c r="C42" s="371">
        <v>80</v>
      </c>
      <c r="D42" s="372">
        <v>39.9</v>
      </c>
      <c r="E42" s="372">
        <v>0</v>
      </c>
      <c r="F42" s="372">
        <f t="shared" si="2"/>
        <v>3192</v>
      </c>
      <c r="G42" s="370">
        <v>42408</v>
      </c>
      <c r="H42" s="375">
        <v>50</v>
      </c>
      <c r="I42" s="372">
        <v>51.5</v>
      </c>
      <c r="J42" s="372">
        <v>0.05</v>
      </c>
      <c r="K42" s="372">
        <f t="shared" si="3"/>
        <v>2574.9499999999998</v>
      </c>
      <c r="L42" s="371"/>
      <c r="M42" s="371"/>
      <c r="O42" s="156" t="s">
        <v>78</v>
      </c>
      <c r="P42" s="156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71"/>
      <c r="B43" s="370">
        <v>42333</v>
      </c>
      <c r="C43" s="371">
        <v>50</v>
      </c>
      <c r="D43" s="372">
        <v>41.2</v>
      </c>
      <c r="E43" s="372">
        <v>0</v>
      </c>
      <c r="F43" s="372">
        <f t="shared" si="2"/>
        <v>2060</v>
      </c>
      <c r="G43" s="371"/>
      <c r="H43" s="371"/>
      <c r="I43" s="372"/>
      <c r="J43" s="372"/>
      <c r="K43" s="372"/>
      <c r="L43" s="371"/>
      <c r="M43" s="371"/>
      <c r="O43" s="81">
        <v>1.1000000000000001</v>
      </c>
      <c r="P43" s="81">
        <f>O43*$Q$4</f>
        <v>65.78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71"/>
      <c r="B44" s="370">
        <v>42377</v>
      </c>
      <c r="C44" s="371">
        <v>50</v>
      </c>
      <c r="D44" s="372">
        <v>37.85</v>
      </c>
      <c r="E44" s="372">
        <v>0</v>
      </c>
      <c r="F44" s="372">
        <f t="shared" si="2"/>
        <v>1892.5</v>
      </c>
      <c r="G44" s="371"/>
      <c r="H44" s="371"/>
      <c r="I44" s="372"/>
      <c r="J44" s="372"/>
      <c r="K44" s="372"/>
      <c r="L44" s="371"/>
      <c r="M44" s="371"/>
      <c r="O44" s="81">
        <v>1.0900000000000001</v>
      </c>
      <c r="P44" s="81">
        <f t="shared" ref="P44:P63" si="4">O44*$Q$4</f>
        <v>65.182000000000002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71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1"/>
      <c r="M45" s="371"/>
      <c r="O45" s="81">
        <v>1.08</v>
      </c>
      <c r="P45" s="81">
        <f t="shared" si="4"/>
        <v>64.584000000000003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71"/>
      <c r="B46" s="370"/>
      <c r="C46" s="371"/>
      <c r="D46" s="372"/>
      <c r="E46" s="372"/>
      <c r="F46" s="372"/>
      <c r="G46" s="371"/>
      <c r="H46" s="371"/>
      <c r="I46" s="372"/>
      <c r="J46" s="372"/>
      <c r="K46" s="372"/>
      <c r="L46" s="371"/>
      <c r="M46" s="371"/>
      <c r="O46" s="81">
        <v>1.07</v>
      </c>
      <c r="P46" s="81">
        <f t="shared" si="4"/>
        <v>63.986000000000004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71"/>
      <c r="B47" s="370"/>
      <c r="C47" s="371"/>
      <c r="D47" s="372"/>
      <c r="E47" s="372"/>
      <c r="F47" s="372"/>
      <c r="G47" s="371"/>
      <c r="H47" s="371"/>
      <c r="I47" s="372"/>
      <c r="J47" s="372"/>
      <c r="K47" s="372"/>
      <c r="L47" s="371"/>
      <c r="M47" s="371"/>
      <c r="O47" s="81">
        <v>1.06</v>
      </c>
      <c r="P47" s="81">
        <f t="shared" si="4"/>
        <v>63.387999999999998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71"/>
      <c r="B48" s="370"/>
      <c r="C48" s="371"/>
      <c r="D48" s="372"/>
      <c r="E48" s="372"/>
      <c r="F48" s="372"/>
      <c r="G48" s="371"/>
      <c r="H48" s="371"/>
      <c r="I48" s="372"/>
      <c r="J48" s="372"/>
      <c r="K48" s="372"/>
      <c r="L48" s="371"/>
      <c r="M48" s="371"/>
      <c r="O48" s="81">
        <v>1.05</v>
      </c>
      <c r="P48" s="81">
        <f t="shared" si="4"/>
        <v>62.79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71"/>
      <c r="B49" s="370"/>
      <c r="C49" s="371"/>
      <c r="D49" s="372"/>
      <c r="E49" s="372"/>
      <c r="F49" s="372"/>
      <c r="G49" s="371"/>
      <c r="H49" s="371"/>
      <c r="I49" s="372"/>
      <c r="J49" s="372"/>
      <c r="K49" s="372"/>
      <c r="L49" s="371"/>
      <c r="M49" s="371"/>
      <c r="O49" s="81">
        <v>1.04</v>
      </c>
      <c r="P49" s="81">
        <f t="shared" si="4"/>
        <v>62.192</v>
      </c>
      <c r="Q49" s="33"/>
      <c r="R49" s="33"/>
      <c r="T49" s="91" t="s">
        <v>121</v>
      </c>
      <c r="U49" s="86" t="s">
        <v>488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71"/>
      <c r="B50" s="370"/>
      <c r="C50" s="371"/>
      <c r="D50" s="372"/>
      <c r="E50" s="372"/>
      <c r="F50" s="372"/>
      <c r="G50" s="371"/>
      <c r="H50" s="371"/>
      <c r="I50" s="372"/>
      <c r="J50" s="372"/>
      <c r="K50" s="372"/>
      <c r="L50" s="371"/>
      <c r="M50" s="371"/>
      <c r="O50" s="81">
        <v>1.03</v>
      </c>
      <c r="P50" s="81">
        <f t="shared" si="4"/>
        <v>61.594000000000001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71"/>
      <c r="B51" s="370"/>
      <c r="C51" s="371"/>
      <c r="D51" s="372"/>
      <c r="E51" s="372"/>
      <c r="F51" s="372"/>
      <c r="G51" s="371"/>
      <c r="H51" s="371"/>
      <c r="I51" s="372"/>
      <c r="J51" s="372"/>
      <c r="K51" s="372"/>
      <c r="L51" s="371"/>
      <c r="M51" s="371"/>
      <c r="O51" s="81">
        <v>1.02</v>
      </c>
      <c r="P51" s="81">
        <f t="shared" si="4"/>
        <v>60.995999999999995</v>
      </c>
      <c r="Q51" s="81"/>
      <c r="R51" s="33"/>
      <c r="T51" s="91" t="s">
        <v>104</v>
      </c>
      <c r="U51" s="86" t="s">
        <v>672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8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60.397999999999996</v>
      </c>
      <c r="Q52" s="81"/>
      <c r="R52" s="33"/>
      <c r="T52" s="91" t="s">
        <v>105</v>
      </c>
      <c r="U52" s="86" t="s">
        <v>517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71"/>
      <c r="B53" s="371"/>
      <c r="C53" s="371"/>
      <c r="D53" s="372"/>
      <c r="E53" s="372"/>
      <c r="F53" s="372"/>
      <c r="G53" s="372"/>
      <c r="H53" s="371"/>
      <c r="I53" s="372"/>
      <c r="J53" s="372"/>
      <c r="K53" s="372"/>
      <c r="L53" s="371"/>
      <c r="M53" s="371"/>
      <c r="O53" s="81">
        <v>1</v>
      </c>
      <c r="P53" s="81">
        <f t="shared" si="4"/>
        <v>59.8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59.201999999999998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58.603999999999999</v>
      </c>
      <c r="Q55" s="81"/>
      <c r="R55" s="33"/>
      <c r="T55" s="91" t="s">
        <v>107</v>
      </c>
      <c r="U55" s="86" t="s">
        <v>673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58.005999999999993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57.407999999999994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6" t="s">
        <v>113</v>
      </c>
      <c r="C58" s="186" t="s">
        <v>146</v>
      </c>
      <c r="D58" s="187" t="s">
        <v>145</v>
      </c>
      <c r="E58" s="189" t="s">
        <v>147</v>
      </c>
      <c r="F58" s="190" t="s">
        <v>65</v>
      </c>
      <c r="G58" s="224" t="s">
        <v>151</v>
      </c>
      <c r="H58" s="190" t="s">
        <v>88</v>
      </c>
      <c r="O58" s="81">
        <v>0.95</v>
      </c>
      <c r="P58" s="81">
        <f t="shared" si="4"/>
        <v>56.809999999999995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349</v>
      </c>
      <c r="B59" s="188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6">
        <f>(E59-D59)/D59</f>
        <v>5.2000000000000011E-2</v>
      </c>
      <c r="O59" s="81">
        <v>0.94</v>
      </c>
      <c r="P59" s="81">
        <f t="shared" si="4"/>
        <v>56.211999999999996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8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55.613999999999997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55.015999999999998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54.417999999999999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53.82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87" priority="11">
      <formula>Q8&gt;0</formula>
    </cfRule>
    <cfRule type="expression" dxfId="386" priority="12">
      <formula>Q8&lt;0</formula>
    </cfRule>
  </conditionalFormatting>
  <conditionalFormatting sqref="Q7">
    <cfRule type="expression" dxfId="385" priority="13">
      <formula>Q7&gt;0</formula>
    </cfRule>
    <cfRule type="expression" dxfId="384" priority="14">
      <formula>Q7&lt;0</formula>
    </cfRule>
  </conditionalFormatting>
  <conditionalFormatting sqref="F22">
    <cfRule type="expression" dxfId="383" priority="9">
      <formula>F22&gt;0</formula>
    </cfRule>
    <cfRule type="expression" dxfId="382" priority="10">
      <formula>F22&lt;0</formula>
    </cfRule>
  </conditionalFormatting>
  <conditionalFormatting sqref="H22">
    <cfRule type="expression" dxfId="381" priority="7">
      <formula>H22&gt;0</formula>
    </cfRule>
    <cfRule type="expression" dxfId="380" priority="8">
      <formula>H22&lt;0</formula>
    </cfRule>
  </conditionalFormatting>
  <conditionalFormatting sqref="F59">
    <cfRule type="expression" dxfId="379" priority="5">
      <formula>F59&gt;0</formula>
    </cfRule>
    <cfRule type="expression" dxfId="378" priority="6">
      <formula>F59&lt;0</formula>
    </cfRule>
  </conditionalFormatting>
  <conditionalFormatting sqref="H59">
    <cfRule type="expression" dxfId="377" priority="3">
      <formula>H59&gt;0</formula>
    </cfRule>
    <cfRule type="expression" dxfId="376" priority="4">
      <formula>H59&lt;0</formula>
    </cfRule>
  </conditionalFormatting>
  <conditionalFormatting sqref="M30">
    <cfRule type="expression" dxfId="375" priority="1">
      <formula>M30&gt;0</formula>
    </cfRule>
    <cfRule type="expression" dxfId="374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90.89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90.89</v>
      </c>
      <c r="R4" s="487">
        <v>9.1999999999999998E-3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61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210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209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80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6" t="s">
        <v>113</v>
      </c>
      <c r="C26" s="186" t="s">
        <v>146</v>
      </c>
      <c r="D26" s="187" t="s">
        <v>145</v>
      </c>
      <c r="E26" s="189" t="s">
        <v>147</v>
      </c>
      <c r="F26" s="190" t="s">
        <v>65</v>
      </c>
      <c r="G26" s="224" t="s">
        <v>151</v>
      </c>
      <c r="H26" s="224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8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6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8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6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8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6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8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6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8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6"/>
      <c r="I31" s="191"/>
      <c r="X31" s="108">
        <v>42790</v>
      </c>
      <c r="Y31" s="9" t="s">
        <v>465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8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6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8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6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6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6"/>
      <c r="O35" s="804" t="s">
        <v>78</v>
      </c>
      <c r="P35" s="80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6"/>
      <c r="O36" s="81">
        <v>1.1000000000000001</v>
      </c>
      <c r="P36" s="81">
        <f>O36*$Q$4</f>
        <v>99.979000000000013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6"/>
      <c r="O37" s="81">
        <v>1.0900000000000001</v>
      </c>
      <c r="P37" s="81">
        <f t="shared" ref="P37:P56" si="3">O37*$Q$4</f>
        <v>99.070100000000011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6"/>
      <c r="O38" s="81">
        <v>1.08</v>
      </c>
      <c r="P38" s="81">
        <f t="shared" si="3"/>
        <v>98.161200000000008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97.252300000000005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209</v>
      </c>
      <c r="M40" s="2">
        <f>K56+M56-F56</f>
        <v>523.61999999999898</v>
      </c>
      <c r="O40" s="81">
        <v>1.06</v>
      </c>
      <c r="P40" s="81">
        <f t="shared" si="3"/>
        <v>96.343400000000003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95.4345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94.525599999999997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93.616700000000009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92.707800000000006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91.798900000000003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90.89</v>
      </c>
      <c r="Q46" s="2"/>
      <c r="T46" s="111" t="s">
        <v>103</v>
      </c>
      <c r="U46" s="104" t="s">
        <v>406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89.981099999999998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89.072199999999995</v>
      </c>
      <c r="Q48" s="2"/>
      <c r="T48" s="111" t="s">
        <v>104</v>
      </c>
      <c r="U48" s="104" t="s">
        <v>674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88.163299999999992</v>
      </c>
      <c r="T49" s="111" t="s">
        <v>105</v>
      </c>
      <c r="U49" s="104" t="s">
        <v>527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87.254400000000004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86.345500000000001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85.436599999999999</v>
      </c>
      <c r="T52" s="111" t="s">
        <v>107</v>
      </c>
      <c r="U52" s="104" t="s">
        <v>675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84.52770000000001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83.618800000000007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82.709900000000005</v>
      </c>
      <c r="T55" s="111" t="s">
        <v>108</v>
      </c>
      <c r="U55" s="104" t="s">
        <v>573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81.801000000000002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73" priority="19">
      <formula>F27&gt;0</formula>
    </cfRule>
    <cfRule type="expression" dxfId="372" priority="20">
      <formula>F27&lt;0</formula>
    </cfRule>
  </conditionalFormatting>
  <conditionalFormatting sqref="F37:F38">
    <cfRule type="expression" dxfId="371" priority="17">
      <formula>F37&gt;0</formula>
    </cfRule>
    <cfRule type="expression" dxfId="370" priority="18">
      <formula>F37&lt;0</formula>
    </cfRule>
  </conditionalFormatting>
  <conditionalFormatting sqref="H27:H32">
    <cfRule type="expression" dxfId="369" priority="15">
      <formula>H27&gt;0</formula>
    </cfRule>
    <cfRule type="expression" dxfId="368" priority="16">
      <formula>H27&lt;0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2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100" t="s">
        <v>119</v>
      </c>
      <c r="AD1" s="11" t="s">
        <v>125</v>
      </c>
      <c r="AE1" s="11" t="s">
        <v>127</v>
      </c>
    </row>
    <row r="2" spans="1:31" x14ac:dyDescent="0.25">
      <c r="A2" s="6" t="s">
        <v>47</v>
      </c>
      <c r="B2" s="72"/>
      <c r="C2" s="4"/>
      <c r="D2" s="3"/>
      <c r="E2" s="3"/>
      <c r="F2" s="3"/>
      <c r="G2" s="72"/>
      <c r="H2" s="180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 s="153">
        <v>42830</v>
      </c>
      <c r="X2" s="39">
        <v>115.59</v>
      </c>
      <c r="Y2" s="39">
        <v>117.63</v>
      </c>
      <c r="Z2" s="39">
        <v>114.45</v>
      </c>
      <c r="AA2" s="39">
        <v>114.73</v>
      </c>
      <c r="AB2" s="93">
        <v>1715600</v>
      </c>
      <c r="AC2" s="39">
        <v>114.73</v>
      </c>
      <c r="AD2" s="2">
        <f>Y2-Z2</f>
        <v>3.1799999999999926</v>
      </c>
      <c r="AE2" s="134">
        <f>AC2/AC3-1</f>
        <v>-3.9934022050525098E-3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3"/>
      <c r="O3" s="11" t="s">
        <v>58</v>
      </c>
      <c r="Q3" s="2">
        <f>IF(Q2=0, Q4, (F18-K18-M18)/Q2)</f>
        <v>138.22</v>
      </c>
      <c r="W3" s="153">
        <v>42829</v>
      </c>
      <c r="X3" s="39">
        <v>113.73</v>
      </c>
      <c r="Y3" s="39">
        <v>115.25</v>
      </c>
      <c r="Z3" s="39">
        <v>113.26</v>
      </c>
      <c r="AA3" s="39">
        <v>115.19</v>
      </c>
      <c r="AB3" s="93">
        <v>2089400</v>
      </c>
      <c r="AC3" s="39">
        <v>115.19</v>
      </c>
      <c r="AD3" s="2">
        <f t="shared" ref="AD3:AD66" si="0">Y3-Z3</f>
        <v>1.9899999999999949</v>
      </c>
      <c r="AE3" s="134">
        <f t="shared" ref="AE3:AE66" si="1">AC3/AC4-1</f>
        <v>1.4889867841409776E-2</v>
      </c>
    </row>
    <row r="4" spans="1:31" x14ac:dyDescent="0.25">
      <c r="B4" s="72"/>
      <c r="C4" s="4"/>
      <c r="D4" s="3"/>
      <c r="E4" s="3"/>
      <c r="F4" s="3"/>
      <c r="G4" s="4"/>
      <c r="H4" s="180"/>
      <c r="I4" s="4"/>
      <c r="J4" s="4"/>
      <c r="K4" s="4"/>
      <c r="L4" s="4"/>
      <c r="M4" s="3"/>
      <c r="O4" s="11" t="s">
        <v>66</v>
      </c>
      <c r="Q4" s="54">
        <v>138.22</v>
      </c>
      <c r="R4" s="487">
        <v>9.4999999999999998E-3</v>
      </c>
      <c r="W4" s="153">
        <v>42828</v>
      </c>
      <c r="X4" s="39">
        <v>112.23</v>
      </c>
      <c r="Y4" s="39">
        <v>113.93</v>
      </c>
      <c r="Z4" s="39">
        <v>111.9</v>
      </c>
      <c r="AA4" s="39">
        <v>113.5</v>
      </c>
      <c r="AB4" s="93">
        <v>2288000</v>
      </c>
      <c r="AC4" s="39">
        <v>113.5</v>
      </c>
      <c r="AD4" s="2">
        <f t="shared" si="0"/>
        <v>2.0300000000000011</v>
      </c>
      <c r="AE4" s="134">
        <f t="shared" si="1"/>
        <v>1.3664374385996325E-2</v>
      </c>
    </row>
    <row r="5" spans="1:31" x14ac:dyDescent="0.25">
      <c r="B5" s="72"/>
      <c r="C5" s="4"/>
      <c r="D5" s="3"/>
      <c r="E5" s="3"/>
      <c r="F5" s="3"/>
      <c r="G5" s="4"/>
      <c r="H5" s="180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3">
        <v>42825</v>
      </c>
      <c r="X5" s="39">
        <v>113.56</v>
      </c>
      <c r="Y5" s="39">
        <v>113.73</v>
      </c>
      <c r="Z5" s="39">
        <v>111.94</v>
      </c>
      <c r="AA5" s="39">
        <v>111.97</v>
      </c>
      <c r="AB5" s="93">
        <v>2209100</v>
      </c>
      <c r="AC5" s="39">
        <v>111.97</v>
      </c>
      <c r="AD5" s="2">
        <f t="shared" si="0"/>
        <v>1.7900000000000063</v>
      </c>
      <c r="AE5" s="134">
        <f t="shared" si="1"/>
        <v>-1.995623632385124E-2</v>
      </c>
    </row>
    <row r="6" spans="1:31" x14ac:dyDescent="0.25">
      <c r="B6" s="72"/>
      <c r="C6" s="4"/>
      <c r="D6" s="3"/>
      <c r="E6" s="3"/>
      <c r="F6" s="3"/>
      <c r="G6" s="4"/>
      <c r="H6" s="180"/>
      <c r="I6" s="4"/>
      <c r="J6" s="4"/>
      <c r="K6" s="4"/>
      <c r="L6" s="4"/>
      <c r="M6" s="4"/>
      <c r="O6" s="11" t="s">
        <v>64</v>
      </c>
      <c r="Q6" s="2">
        <f>Q3*Q2</f>
        <v>0</v>
      </c>
      <c r="W6" s="153">
        <v>42824</v>
      </c>
      <c r="X6" s="39">
        <v>113.4</v>
      </c>
      <c r="Y6" s="39">
        <v>115.39</v>
      </c>
      <c r="Z6" s="39">
        <v>113.4</v>
      </c>
      <c r="AA6" s="39">
        <v>114.25</v>
      </c>
      <c r="AB6" s="93">
        <v>1283600</v>
      </c>
      <c r="AC6" s="39">
        <v>114.25</v>
      </c>
      <c r="AD6" s="2">
        <f t="shared" si="0"/>
        <v>1.9899999999999949</v>
      </c>
      <c r="AE6" s="134">
        <f t="shared" si="1"/>
        <v>9.1864676265347445E-3</v>
      </c>
    </row>
    <row r="7" spans="1:31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 s="153">
        <v>42823</v>
      </c>
      <c r="X7" s="39">
        <v>112.86</v>
      </c>
      <c r="Y7" s="39">
        <v>113.72</v>
      </c>
      <c r="Z7" s="39">
        <v>112.53</v>
      </c>
      <c r="AA7" s="39">
        <v>113.21</v>
      </c>
      <c r="AB7" s="93">
        <v>1139700</v>
      </c>
      <c r="AC7" s="39">
        <v>113.21</v>
      </c>
      <c r="AD7" s="2">
        <f t="shared" si="0"/>
        <v>1.1899999999999977</v>
      </c>
      <c r="AE7" s="134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0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53">
        <v>42822</v>
      </c>
      <c r="X8" s="39">
        <v>111</v>
      </c>
      <c r="Y8" s="39">
        <v>114.38</v>
      </c>
      <c r="Z8" s="39">
        <v>110.78</v>
      </c>
      <c r="AA8" s="39">
        <v>113.32</v>
      </c>
      <c r="AB8" s="93">
        <v>2241300</v>
      </c>
      <c r="AC8" s="39">
        <v>113.32</v>
      </c>
      <c r="AD8" s="2">
        <f t="shared" si="0"/>
        <v>3.5999999999999943</v>
      </c>
      <c r="AE8" s="134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53">
        <v>42821</v>
      </c>
      <c r="X9" s="39">
        <v>109.51</v>
      </c>
      <c r="Y9" s="39">
        <v>111.7</v>
      </c>
      <c r="Z9" s="39">
        <v>109.27</v>
      </c>
      <c r="AA9" s="39">
        <v>111.13</v>
      </c>
      <c r="AB9" s="93">
        <v>1781000</v>
      </c>
      <c r="AC9" s="39">
        <v>111.13</v>
      </c>
      <c r="AD9" s="2">
        <f t="shared" si="0"/>
        <v>2.4300000000000068</v>
      </c>
      <c r="AE9" s="134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M33</f>
        <v>-168.6200000000008</v>
      </c>
      <c r="W10" s="153">
        <v>42818</v>
      </c>
      <c r="X10" s="39">
        <v>110.8</v>
      </c>
      <c r="Y10" s="39">
        <v>111.51</v>
      </c>
      <c r="Z10" s="39">
        <v>110.14</v>
      </c>
      <c r="AA10" s="39">
        <v>110.66</v>
      </c>
      <c r="AB10" s="93">
        <v>1276700</v>
      </c>
      <c r="AC10" s="39">
        <v>110.66</v>
      </c>
      <c r="AD10" s="2">
        <f t="shared" si="0"/>
        <v>1.3700000000000045</v>
      </c>
      <c r="AE10" s="134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W11" s="153">
        <v>42817</v>
      </c>
      <c r="X11" s="39">
        <v>110.64</v>
      </c>
      <c r="Y11" s="39">
        <v>111.94</v>
      </c>
      <c r="Z11" s="39">
        <v>110.31</v>
      </c>
      <c r="AA11" s="39">
        <v>110.55</v>
      </c>
      <c r="AB11" s="93">
        <v>2412600</v>
      </c>
      <c r="AC11" s="39">
        <v>110.55</v>
      </c>
      <c r="AD11" s="2">
        <f t="shared" si="0"/>
        <v>1.6299999999999955</v>
      </c>
      <c r="AE11" s="134">
        <f t="shared" si="1"/>
        <v>-1.0915272434463663E-2</v>
      </c>
    </row>
    <row r="12" spans="1:31" x14ac:dyDescent="0.25">
      <c r="W12" s="153">
        <v>42816</v>
      </c>
      <c r="X12" s="39">
        <v>111.74</v>
      </c>
      <c r="Y12" s="39">
        <v>112.65</v>
      </c>
      <c r="Z12" s="39">
        <v>111.1</v>
      </c>
      <c r="AA12" s="39">
        <v>111.77</v>
      </c>
      <c r="AB12" s="93">
        <v>2378200</v>
      </c>
      <c r="AC12" s="39">
        <v>111.77</v>
      </c>
      <c r="AD12" s="2">
        <f t="shared" si="0"/>
        <v>1.5500000000000114</v>
      </c>
      <c r="AE12" s="134">
        <f t="shared" si="1"/>
        <v>2.421524663677177E-3</v>
      </c>
    </row>
    <row r="13" spans="1:31" x14ac:dyDescent="0.25">
      <c r="W13" s="153">
        <v>42815</v>
      </c>
      <c r="X13" s="39">
        <v>115.11</v>
      </c>
      <c r="Y13" s="39">
        <v>115.63</v>
      </c>
      <c r="Z13" s="39">
        <v>110.69</v>
      </c>
      <c r="AA13" s="39">
        <v>111.5</v>
      </c>
      <c r="AB13" s="93">
        <v>3362600</v>
      </c>
      <c r="AC13" s="39">
        <v>111.5</v>
      </c>
      <c r="AD13" s="2">
        <f t="shared" si="0"/>
        <v>4.9399999999999977</v>
      </c>
      <c r="AE13" s="134">
        <f t="shared" si="1"/>
        <v>-2.9083942877046409E-2</v>
      </c>
    </row>
    <row r="14" spans="1:31" x14ac:dyDescent="0.25">
      <c r="W14" s="153">
        <v>42814</v>
      </c>
      <c r="X14" s="39">
        <v>114.89</v>
      </c>
      <c r="Y14" s="39">
        <v>115.52</v>
      </c>
      <c r="Z14" s="39">
        <v>114.24</v>
      </c>
      <c r="AA14" s="39">
        <v>114.84</v>
      </c>
      <c r="AB14" s="93">
        <v>2530200</v>
      </c>
      <c r="AC14" s="39">
        <v>114.84</v>
      </c>
      <c r="AD14" s="2">
        <f t="shared" si="0"/>
        <v>1.2800000000000011</v>
      </c>
      <c r="AE14" s="134">
        <f t="shared" si="1"/>
        <v>1.1332926510330132E-3</v>
      </c>
    </row>
    <row r="15" spans="1:31" x14ac:dyDescent="0.25">
      <c r="W15" s="153">
        <v>42811</v>
      </c>
      <c r="X15" s="39">
        <v>115.42</v>
      </c>
      <c r="Y15" s="39">
        <v>115.74</v>
      </c>
      <c r="Z15" s="39">
        <v>114.21</v>
      </c>
      <c r="AA15" s="39">
        <v>114.71</v>
      </c>
      <c r="AB15" s="93">
        <v>4796600</v>
      </c>
      <c r="AC15" s="39">
        <v>114.71</v>
      </c>
      <c r="AD15" s="2">
        <f t="shared" si="0"/>
        <v>1.5300000000000011</v>
      </c>
      <c r="AE15" s="134">
        <f t="shared" si="1"/>
        <v>-5.5483311660164958E-3</v>
      </c>
    </row>
    <row r="16" spans="1:31" x14ac:dyDescent="0.25">
      <c r="W16" s="153">
        <v>42810</v>
      </c>
      <c r="X16" s="39">
        <v>117.4</v>
      </c>
      <c r="Y16" s="39">
        <v>117.67</v>
      </c>
      <c r="Z16" s="39">
        <v>115.13</v>
      </c>
      <c r="AA16" s="39">
        <v>115.35</v>
      </c>
      <c r="AB16" s="93">
        <v>3952800</v>
      </c>
      <c r="AC16" s="39">
        <v>115.35</v>
      </c>
      <c r="AD16" s="2">
        <f t="shared" si="0"/>
        <v>2.5400000000000063</v>
      </c>
      <c r="AE16" s="134">
        <f t="shared" si="1"/>
        <v>-1.838141434771523E-2</v>
      </c>
    </row>
    <row r="17" spans="1:31" x14ac:dyDescent="0.25">
      <c r="W17" s="153">
        <v>42809</v>
      </c>
      <c r="X17" s="39">
        <v>116.96</v>
      </c>
      <c r="Y17" s="39">
        <v>117.93</v>
      </c>
      <c r="Z17" s="39">
        <v>115.92</v>
      </c>
      <c r="AA17" s="39">
        <v>117.51</v>
      </c>
      <c r="AB17" s="93">
        <v>3160300</v>
      </c>
      <c r="AC17" s="39">
        <v>117.51</v>
      </c>
      <c r="AD17" s="2">
        <f t="shared" si="0"/>
        <v>2.0100000000000051</v>
      </c>
      <c r="AE17" s="134">
        <f t="shared" si="1"/>
        <v>-7.0975918884663702E-3</v>
      </c>
    </row>
    <row r="18" spans="1:31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3">
        <v>42808</v>
      </c>
      <c r="X18" s="39">
        <v>119.58</v>
      </c>
      <c r="Y18" s="39">
        <v>119.58</v>
      </c>
      <c r="Z18" s="39">
        <v>117.79</v>
      </c>
      <c r="AA18" s="39">
        <v>118.35</v>
      </c>
      <c r="AB18" s="93">
        <v>1664300</v>
      </c>
      <c r="AC18" s="39">
        <v>118.35</v>
      </c>
      <c r="AD18" s="2">
        <f t="shared" si="0"/>
        <v>1.789999999999992</v>
      </c>
      <c r="AE18" s="134">
        <f t="shared" si="1"/>
        <v>-9.8719986614239641E-3</v>
      </c>
    </row>
    <row r="19" spans="1:31" x14ac:dyDescent="0.25">
      <c r="W19" s="153">
        <v>42807</v>
      </c>
      <c r="X19" s="39">
        <v>119.74</v>
      </c>
      <c r="Y19" s="39">
        <v>120.26</v>
      </c>
      <c r="Z19" s="39">
        <v>118.92</v>
      </c>
      <c r="AA19" s="39">
        <v>119.53</v>
      </c>
      <c r="AB19" s="93">
        <v>1536200</v>
      </c>
      <c r="AC19" s="39">
        <v>119.53</v>
      </c>
      <c r="AD19" s="2">
        <f t="shared" si="0"/>
        <v>1.3400000000000034</v>
      </c>
      <c r="AE19" s="134">
        <f t="shared" si="1"/>
        <v>-1.0864114992478191E-3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89" t="s">
        <v>65</v>
      </c>
      <c r="G20" s="224" t="s">
        <v>151</v>
      </c>
      <c r="H20" s="224" t="s">
        <v>88</v>
      </c>
      <c r="I20" s="224" t="s">
        <v>154</v>
      </c>
      <c r="W20" s="153">
        <v>42804</v>
      </c>
      <c r="X20" s="39">
        <v>119.86</v>
      </c>
      <c r="Y20" s="39">
        <v>120.79</v>
      </c>
      <c r="Z20" s="39">
        <v>118.97</v>
      </c>
      <c r="AA20" s="39">
        <v>119.66</v>
      </c>
      <c r="AB20" s="93">
        <v>1362900</v>
      </c>
      <c r="AC20" s="39">
        <v>119.66</v>
      </c>
      <c r="AD20" s="2">
        <f t="shared" si="0"/>
        <v>1.8200000000000074</v>
      </c>
      <c r="AE20" s="134">
        <f t="shared" si="1"/>
        <v>2.177554438860918E-3</v>
      </c>
    </row>
    <row r="21" spans="1:31" x14ac:dyDescent="0.25">
      <c r="B21" s="188">
        <v>42304</v>
      </c>
      <c r="C21" s="10">
        <v>75</v>
      </c>
      <c r="D21" s="197">
        <v>82.82</v>
      </c>
      <c r="E21" s="39">
        <v>77.44</v>
      </c>
      <c r="F21" s="39">
        <v>-403.4</v>
      </c>
      <c r="G21" s="39"/>
      <c r="H21" s="226"/>
      <c r="I21" s="39"/>
      <c r="W21" s="153">
        <v>42803</v>
      </c>
      <c r="X21" s="39">
        <v>119.88</v>
      </c>
      <c r="Y21" s="39">
        <v>120.61</v>
      </c>
      <c r="Z21" s="39">
        <v>118.89</v>
      </c>
      <c r="AA21" s="39">
        <v>119.4</v>
      </c>
      <c r="AB21" s="93">
        <v>1658700</v>
      </c>
      <c r="AC21" s="39">
        <v>119.4</v>
      </c>
      <c r="AD21" s="2">
        <f t="shared" si="0"/>
        <v>1.7199999999999989</v>
      </c>
      <c r="AE21" s="134">
        <f t="shared" si="1"/>
        <v>-3.9209143238507771E-3</v>
      </c>
    </row>
    <row r="22" spans="1:31" x14ac:dyDescent="0.25">
      <c r="B22" s="188">
        <v>42305</v>
      </c>
      <c r="C22" s="10">
        <v>0</v>
      </c>
      <c r="D22" s="197" t="s">
        <v>128</v>
      </c>
      <c r="E22" s="39">
        <v>81.599999999999994</v>
      </c>
      <c r="F22" s="39">
        <v>-169.71000000000095</v>
      </c>
      <c r="G22" s="39"/>
      <c r="H22" s="226"/>
      <c r="I22" s="39"/>
      <c r="W22" s="153">
        <v>42802</v>
      </c>
      <c r="X22" s="39">
        <v>122</v>
      </c>
      <c r="Y22" s="39">
        <v>122.14</v>
      </c>
      <c r="Z22" s="39">
        <v>119.64</v>
      </c>
      <c r="AA22" s="39">
        <v>119.87</v>
      </c>
      <c r="AB22" s="93">
        <v>1807900</v>
      </c>
      <c r="AC22" s="39">
        <v>119.87</v>
      </c>
      <c r="AD22" s="2">
        <f t="shared" si="0"/>
        <v>2.5</v>
      </c>
      <c r="AE22" s="134">
        <f t="shared" si="1"/>
        <v>-1.7459016393442606E-2</v>
      </c>
    </row>
    <row r="23" spans="1:31" x14ac:dyDescent="0.25">
      <c r="B23" s="188">
        <v>42331</v>
      </c>
      <c r="C23" s="10">
        <v>0</v>
      </c>
      <c r="D23" s="197" t="s">
        <v>128</v>
      </c>
      <c r="E23" s="39">
        <v>95.56</v>
      </c>
      <c r="F23" s="39">
        <v>-168.62</v>
      </c>
      <c r="G23" s="39"/>
      <c r="H23" s="226"/>
      <c r="I23" s="39" t="s">
        <v>185</v>
      </c>
      <c r="W23" s="153">
        <v>42801</v>
      </c>
      <c r="X23" s="39">
        <v>122.94</v>
      </c>
      <c r="Y23" s="39">
        <v>123.17</v>
      </c>
      <c r="Z23" s="39">
        <v>121.63</v>
      </c>
      <c r="AA23" s="39">
        <v>122</v>
      </c>
      <c r="AB23" s="93">
        <v>1961200</v>
      </c>
      <c r="AC23" s="39">
        <v>122</v>
      </c>
      <c r="AD23" s="2">
        <f t="shared" si="0"/>
        <v>1.5400000000000063</v>
      </c>
      <c r="AE23" s="134">
        <f t="shared" si="1"/>
        <v>-7.5652810542585769E-3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53">
        <v>42800</v>
      </c>
      <c r="X24" s="39">
        <v>121.34</v>
      </c>
      <c r="Y24" s="39">
        <v>123.11</v>
      </c>
      <c r="Z24" s="39">
        <v>121.22</v>
      </c>
      <c r="AA24" s="39">
        <v>122.93</v>
      </c>
      <c r="AB24" s="93">
        <v>1542800</v>
      </c>
      <c r="AC24" s="39">
        <v>122.93</v>
      </c>
      <c r="AD24" s="2">
        <f t="shared" si="0"/>
        <v>1.8900000000000006</v>
      </c>
      <c r="AE24" s="134">
        <f t="shared" si="1"/>
        <v>4.3300653594771088E-3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53">
        <v>42797</v>
      </c>
      <c r="X25" s="39">
        <v>121.93</v>
      </c>
      <c r="Y25" s="39">
        <v>122.51</v>
      </c>
      <c r="Z25" s="39">
        <v>120.83</v>
      </c>
      <c r="AA25" s="39">
        <v>122.4</v>
      </c>
      <c r="AB25" s="93">
        <v>1790000</v>
      </c>
      <c r="AC25" s="39">
        <v>122.4</v>
      </c>
      <c r="AD25" s="2">
        <f t="shared" si="0"/>
        <v>1.6800000000000068</v>
      </c>
      <c r="AE25" s="134">
        <f t="shared" si="1"/>
        <v>5.1736881005175483E-3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53">
        <v>42796</v>
      </c>
      <c r="X26" s="39">
        <v>123.23</v>
      </c>
      <c r="Y26" s="39">
        <v>123.28</v>
      </c>
      <c r="Z26" s="39">
        <v>121.7</v>
      </c>
      <c r="AA26" s="39">
        <v>121.77</v>
      </c>
      <c r="AB26" s="93">
        <v>1106200</v>
      </c>
      <c r="AC26" s="39">
        <v>121.77</v>
      </c>
      <c r="AD26" s="2">
        <f t="shared" si="0"/>
        <v>1.5799999999999983</v>
      </c>
      <c r="AE26" s="134">
        <f t="shared" si="1"/>
        <v>-1.2809079854073757E-2</v>
      </c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53">
        <v>42795</v>
      </c>
      <c r="X27" s="39">
        <v>122.2</v>
      </c>
      <c r="Y27" s="39">
        <v>124.5</v>
      </c>
      <c r="Z27" s="39">
        <v>121.81</v>
      </c>
      <c r="AA27" s="39">
        <v>123.35</v>
      </c>
      <c r="AB27" s="93">
        <v>1580700</v>
      </c>
      <c r="AC27" s="39">
        <v>123.35</v>
      </c>
      <c r="AD27" s="2">
        <f t="shared" si="0"/>
        <v>2.6899999999999977</v>
      </c>
      <c r="AE27" s="134">
        <f t="shared" si="1"/>
        <v>1.916880112368835E-2</v>
      </c>
    </row>
    <row r="28" spans="1:31" x14ac:dyDescent="0.25">
      <c r="W28" s="153">
        <v>42794</v>
      </c>
      <c r="X28" s="39">
        <v>121.26</v>
      </c>
      <c r="Y28" s="39">
        <v>122.19</v>
      </c>
      <c r="Z28" s="39">
        <v>120.58</v>
      </c>
      <c r="AA28" s="39">
        <v>121.03</v>
      </c>
      <c r="AB28" s="93">
        <v>1302400</v>
      </c>
      <c r="AC28" s="39">
        <v>121.03</v>
      </c>
      <c r="AD28" s="2">
        <f t="shared" si="0"/>
        <v>1.6099999999999994</v>
      </c>
      <c r="AE28" s="134">
        <f t="shared" si="1"/>
        <v>-7.43064729194165E-4</v>
      </c>
    </row>
    <row r="29" spans="1:31" x14ac:dyDescent="0.25">
      <c r="W29" s="153">
        <v>42793</v>
      </c>
      <c r="X29" s="39">
        <v>120.2</v>
      </c>
      <c r="Y29" s="39">
        <v>121.22</v>
      </c>
      <c r="Z29" s="39">
        <v>118.93</v>
      </c>
      <c r="AA29" s="39">
        <v>121.12</v>
      </c>
      <c r="AB29" s="93">
        <v>1863400</v>
      </c>
      <c r="AC29" s="39">
        <v>121.12</v>
      </c>
      <c r="AD29" s="2">
        <f t="shared" si="0"/>
        <v>2.289999999999992</v>
      </c>
      <c r="AE29" s="134">
        <f t="shared" si="1"/>
        <v>8.6608927381746081E-3</v>
      </c>
    </row>
    <row r="30" spans="1:31" x14ac:dyDescent="0.25">
      <c r="W30" s="153">
        <v>42790</v>
      </c>
      <c r="X30" s="39">
        <v>119</v>
      </c>
      <c r="Y30" s="39">
        <v>120.1</v>
      </c>
      <c r="Z30" s="39">
        <v>118.65</v>
      </c>
      <c r="AA30" s="39">
        <v>120.08</v>
      </c>
      <c r="AB30" s="93">
        <v>2153000</v>
      </c>
      <c r="AC30" s="39">
        <v>120.08</v>
      </c>
      <c r="AD30" s="2">
        <f t="shared" si="0"/>
        <v>1.4499999999999886</v>
      </c>
      <c r="AE30" s="134">
        <f t="shared" si="1"/>
        <v>4.1656252603505806E-4</v>
      </c>
    </row>
    <row r="31" spans="1:31" x14ac:dyDescent="0.25">
      <c r="W31" s="153">
        <v>42789</v>
      </c>
      <c r="X31" s="39">
        <v>122.99</v>
      </c>
      <c r="Y31" s="39">
        <v>123.05</v>
      </c>
      <c r="Z31" s="39">
        <v>119.16</v>
      </c>
      <c r="AA31" s="39">
        <v>120.03</v>
      </c>
      <c r="AB31" s="93">
        <v>2376400</v>
      </c>
      <c r="AC31" s="39">
        <v>120.03</v>
      </c>
      <c r="AD31" s="2">
        <f t="shared" si="0"/>
        <v>3.8900000000000006</v>
      </c>
      <c r="AE31" s="134">
        <f t="shared" si="1"/>
        <v>-1.8721386527141837E-2</v>
      </c>
    </row>
    <row r="32" spans="1:31" x14ac:dyDescent="0.25">
      <c r="W32" s="153">
        <v>42788</v>
      </c>
      <c r="X32" s="39">
        <v>122.86</v>
      </c>
      <c r="Y32" s="39">
        <v>123.09</v>
      </c>
      <c r="Z32" s="39">
        <v>121.9</v>
      </c>
      <c r="AA32" s="39">
        <v>122.32</v>
      </c>
      <c r="AB32" s="93">
        <v>1729100</v>
      </c>
      <c r="AC32" s="39">
        <v>122.32</v>
      </c>
      <c r="AD32" s="2">
        <f t="shared" si="0"/>
        <v>1.1899999999999977</v>
      </c>
      <c r="AE32" s="134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3">
        <v>42787</v>
      </c>
      <c r="X33" s="39">
        <v>123.09</v>
      </c>
      <c r="Y33" s="39">
        <v>125</v>
      </c>
      <c r="Z33" s="39">
        <v>122.81</v>
      </c>
      <c r="AA33" s="39">
        <v>123.53</v>
      </c>
      <c r="AB33" s="93">
        <v>1382500</v>
      </c>
      <c r="AC33" s="39">
        <v>123.53</v>
      </c>
      <c r="AD33" s="2">
        <f t="shared" si="0"/>
        <v>2.1899999999999977</v>
      </c>
      <c r="AE33" s="134">
        <f t="shared" si="1"/>
        <v>6.1084867242222618E-3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53">
        <v>42783</v>
      </c>
      <c r="X34" s="39">
        <v>122.64</v>
      </c>
      <c r="Y34" s="39">
        <v>123.18</v>
      </c>
      <c r="Z34" s="39">
        <v>121.77</v>
      </c>
      <c r="AA34" s="39">
        <v>122.78</v>
      </c>
      <c r="AB34" s="93">
        <v>1265100</v>
      </c>
      <c r="AC34" s="39">
        <v>122.78</v>
      </c>
      <c r="AD34" s="2">
        <f t="shared" si="0"/>
        <v>1.4100000000000108</v>
      </c>
      <c r="AE34" s="134">
        <f t="shared" si="1"/>
        <v>-1.2202066216546736E-3</v>
      </c>
    </row>
    <row r="35" spans="1:31" x14ac:dyDescent="0.25">
      <c r="A35" s="380" t="s">
        <v>47</v>
      </c>
      <c r="B35" s="370">
        <v>42185</v>
      </c>
      <c r="C35" s="371">
        <v>10</v>
      </c>
      <c r="D35" s="372">
        <v>88.85</v>
      </c>
      <c r="E35" s="372">
        <v>0</v>
      </c>
      <c r="F35" s="372">
        <f t="shared" ref="F35:F40" si="2">C35*D35</f>
        <v>888.5</v>
      </c>
      <c r="G35" s="370">
        <v>42310</v>
      </c>
      <c r="H35" s="375">
        <v>75</v>
      </c>
      <c r="I35" s="372">
        <v>80.650000000000006</v>
      </c>
      <c r="J35" s="371">
        <v>7.06</v>
      </c>
      <c r="K35" s="371">
        <f>H35*I35-J35</f>
        <v>6041.69</v>
      </c>
      <c r="L35" s="370">
        <v>42257</v>
      </c>
      <c r="M35" s="372">
        <v>35.4</v>
      </c>
      <c r="W35" s="153">
        <v>42782</v>
      </c>
      <c r="X35" s="39">
        <v>122.63</v>
      </c>
      <c r="Y35" s="39">
        <v>123.32</v>
      </c>
      <c r="Z35" s="39">
        <v>121.72</v>
      </c>
      <c r="AA35" s="39">
        <v>122.93</v>
      </c>
      <c r="AB35" s="93">
        <v>1482100</v>
      </c>
      <c r="AC35" s="39">
        <v>122.93</v>
      </c>
      <c r="AD35" s="2">
        <f t="shared" si="0"/>
        <v>1.5999999999999943</v>
      </c>
      <c r="AE35" s="134">
        <f t="shared" si="1"/>
        <v>1.7928449189146267E-3</v>
      </c>
    </row>
    <row r="36" spans="1:31" x14ac:dyDescent="0.25">
      <c r="A36" s="381" t="s">
        <v>71</v>
      </c>
      <c r="B36" s="370">
        <v>42214</v>
      </c>
      <c r="C36" s="371">
        <v>10</v>
      </c>
      <c r="D36" s="372">
        <v>83</v>
      </c>
      <c r="E36" s="372">
        <v>0</v>
      </c>
      <c r="F36" s="372">
        <f t="shared" si="2"/>
        <v>830</v>
      </c>
      <c r="G36" s="370">
        <v>42335</v>
      </c>
      <c r="H36" s="375">
        <v>60</v>
      </c>
      <c r="I36" s="372">
        <v>95.71</v>
      </c>
      <c r="J36" s="372">
        <v>0.11</v>
      </c>
      <c r="K36" s="371">
        <f>H36*I36-J36</f>
        <v>5742.49</v>
      </c>
      <c r="L36" s="371"/>
      <c r="M36" s="372"/>
      <c r="W36" s="153">
        <v>42781</v>
      </c>
      <c r="X36" s="39">
        <v>122.44</v>
      </c>
      <c r="Y36" s="39">
        <v>123.42</v>
      </c>
      <c r="Z36" s="39">
        <v>121.16</v>
      </c>
      <c r="AA36" s="39">
        <v>122.71</v>
      </c>
      <c r="AB36" s="93">
        <v>2279000</v>
      </c>
      <c r="AC36" s="39">
        <v>122.71</v>
      </c>
      <c r="AD36" s="2">
        <f t="shared" si="0"/>
        <v>2.2600000000000051</v>
      </c>
      <c r="AE36" s="134">
        <f t="shared" si="1"/>
        <v>1.7960649848967059E-3</v>
      </c>
    </row>
    <row r="37" spans="1:31" x14ac:dyDescent="0.25">
      <c r="A37" s="371"/>
      <c r="B37" s="370">
        <v>42221</v>
      </c>
      <c r="C37" s="371">
        <v>30</v>
      </c>
      <c r="D37" s="372">
        <v>84.6</v>
      </c>
      <c r="E37" s="372">
        <v>0</v>
      </c>
      <c r="F37" s="372">
        <f t="shared" si="2"/>
        <v>2538</v>
      </c>
      <c r="G37" s="371"/>
      <c r="H37" s="375"/>
      <c r="I37" s="371"/>
      <c r="J37" s="371"/>
      <c r="K37" s="371"/>
      <c r="L37" s="371"/>
      <c r="M37" s="372"/>
      <c r="W37" s="153">
        <v>42780</v>
      </c>
      <c r="X37" s="39">
        <v>121.83</v>
      </c>
      <c r="Y37" s="39">
        <v>123</v>
      </c>
      <c r="Z37" s="39">
        <v>121.62</v>
      </c>
      <c r="AA37" s="39">
        <v>122.49</v>
      </c>
      <c r="AB37" s="93">
        <v>1326200</v>
      </c>
      <c r="AC37" s="39">
        <v>122.49</v>
      </c>
      <c r="AD37" s="2">
        <f t="shared" si="0"/>
        <v>1.3799999999999955</v>
      </c>
      <c r="AE37" s="134">
        <f t="shared" si="1"/>
        <v>2.2911382047294815E-3</v>
      </c>
    </row>
    <row r="38" spans="1:31" x14ac:dyDescent="0.25">
      <c r="A38" s="371"/>
      <c r="B38" s="370">
        <v>42222</v>
      </c>
      <c r="C38" s="371">
        <v>10</v>
      </c>
      <c r="D38" s="372">
        <v>83.08</v>
      </c>
      <c r="E38" s="372">
        <v>0</v>
      </c>
      <c r="F38" s="372">
        <f t="shared" si="2"/>
        <v>830.8</v>
      </c>
      <c r="G38" s="371"/>
      <c r="H38" s="375"/>
      <c r="I38" s="371"/>
      <c r="J38" s="371"/>
      <c r="K38" s="371"/>
      <c r="L38" s="371"/>
      <c r="M38" s="372"/>
      <c r="W38" s="153">
        <v>42779</v>
      </c>
      <c r="X38" s="39">
        <v>121.33</v>
      </c>
      <c r="Y38" s="39">
        <v>123.3</v>
      </c>
      <c r="Z38" s="39">
        <v>121.17</v>
      </c>
      <c r="AA38" s="39">
        <v>122.21</v>
      </c>
      <c r="AB38" s="93">
        <v>1565000</v>
      </c>
      <c r="AC38" s="39">
        <v>122.21</v>
      </c>
      <c r="AD38" s="2">
        <f t="shared" si="0"/>
        <v>2.1299999999999955</v>
      </c>
      <c r="AE38" s="134">
        <f t="shared" si="1"/>
        <v>8.9993394980183439E-3</v>
      </c>
    </row>
    <row r="39" spans="1:31" x14ac:dyDescent="0.25">
      <c r="A39" s="371"/>
      <c r="B39" s="370">
        <v>42272</v>
      </c>
      <c r="C39" s="371">
        <v>15</v>
      </c>
      <c r="D39" s="372">
        <v>77.3</v>
      </c>
      <c r="E39" s="372">
        <v>0</v>
      </c>
      <c r="F39" s="372">
        <f t="shared" si="2"/>
        <v>1159.5</v>
      </c>
      <c r="G39" s="371"/>
      <c r="H39" s="375"/>
      <c r="I39" s="371"/>
      <c r="J39" s="371"/>
      <c r="K39" s="371"/>
      <c r="L39" s="371"/>
      <c r="M39" s="371"/>
      <c r="W39" s="153">
        <v>42776</v>
      </c>
      <c r="X39" s="39">
        <v>121</v>
      </c>
      <c r="Y39" s="39">
        <v>121.75</v>
      </c>
      <c r="Z39" s="39">
        <v>119.95</v>
      </c>
      <c r="AA39" s="39">
        <v>121.12</v>
      </c>
      <c r="AB39" s="93">
        <v>1929900</v>
      </c>
      <c r="AC39" s="39">
        <v>121.12</v>
      </c>
      <c r="AD39" s="2">
        <f t="shared" si="0"/>
        <v>1.7999999999999972</v>
      </c>
      <c r="AE39" s="134">
        <f t="shared" si="1"/>
        <v>3.8955656858681298E-3</v>
      </c>
    </row>
    <row r="40" spans="1:31" x14ac:dyDescent="0.25">
      <c r="A40" s="371"/>
      <c r="B40" s="370">
        <v>42335</v>
      </c>
      <c r="C40" s="371">
        <v>60</v>
      </c>
      <c r="D40" s="372">
        <v>95.69</v>
      </c>
      <c r="E40" s="372">
        <v>0</v>
      </c>
      <c r="F40" s="372">
        <f t="shared" si="2"/>
        <v>5741.4</v>
      </c>
      <c r="G40" s="371"/>
      <c r="H40" s="375"/>
      <c r="I40" s="371"/>
      <c r="J40" s="371"/>
      <c r="K40" s="371"/>
      <c r="L40" s="371"/>
      <c r="M40" s="371"/>
      <c r="W40" s="153">
        <v>42775</v>
      </c>
      <c r="X40" s="39">
        <v>120.94</v>
      </c>
      <c r="Y40" s="39">
        <v>121.99</v>
      </c>
      <c r="Z40" s="39">
        <v>120.51</v>
      </c>
      <c r="AA40" s="39">
        <v>120.65</v>
      </c>
      <c r="AB40" s="93">
        <v>1817400</v>
      </c>
      <c r="AC40" s="39">
        <v>120.65</v>
      </c>
      <c r="AD40" s="2">
        <f t="shared" si="0"/>
        <v>1.4799999999999898</v>
      </c>
      <c r="AE40" s="134">
        <f t="shared" si="1"/>
        <v>-2.3978832478914747E-3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5"/>
      <c r="I41" s="371"/>
      <c r="J41" s="371"/>
      <c r="K41" s="371"/>
      <c r="L41" s="371"/>
      <c r="M41" s="371"/>
      <c r="W41" s="153">
        <v>42774</v>
      </c>
      <c r="X41" s="39">
        <v>120.46</v>
      </c>
      <c r="Y41" s="39">
        <v>121.1</v>
      </c>
      <c r="Z41" s="39">
        <v>119.09</v>
      </c>
      <c r="AA41" s="39">
        <v>120.94</v>
      </c>
      <c r="AB41" s="93">
        <v>1440800</v>
      </c>
      <c r="AC41" s="39">
        <v>120.94</v>
      </c>
      <c r="AD41" s="2">
        <f t="shared" si="0"/>
        <v>2.0099999999999909</v>
      </c>
      <c r="AE41" s="134">
        <f t="shared" si="1"/>
        <v>4.9636002647246436E-4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150" t="s">
        <v>78</v>
      </c>
      <c r="P42" s="150"/>
      <c r="R42" s="33"/>
      <c r="T42" s="151" t="s">
        <v>92</v>
      </c>
      <c r="W42" s="153">
        <v>42773</v>
      </c>
      <c r="X42" s="39">
        <v>120.16</v>
      </c>
      <c r="Y42" s="39">
        <v>122.5</v>
      </c>
      <c r="Z42" s="39">
        <v>120</v>
      </c>
      <c r="AA42" s="39">
        <v>120.88</v>
      </c>
      <c r="AB42" s="93">
        <v>2004300</v>
      </c>
      <c r="AC42" s="39">
        <v>120.88</v>
      </c>
      <c r="AD42" s="2">
        <f t="shared" si="0"/>
        <v>2.5</v>
      </c>
      <c r="AE42" s="134">
        <f t="shared" si="1"/>
        <v>8.4257946108283743E-3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 t="shared" ref="P43:P63" si="3">O43*$Q$4</f>
        <v>152.042</v>
      </c>
      <c r="Q43" s="2"/>
      <c r="R43" s="33"/>
      <c r="T43" s="10" t="s">
        <v>97</v>
      </c>
      <c r="U43" s="86">
        <v>115.19</v>
      </c>
      <c r="W43" s="153">
        <v>42772</v>
      </c>
      <c r="X43" s="39">
        <v>120.13</v>
      </c>
      <c r="Y43" s="39">
        <v>120.74</v>
      </c>
      <c r="Z43" s="39">
        <v>118.6</v>
      </c>
      <c r="AA43" s="39">
        <v>119.87</v>
      </c>
      <c r="AB43" s="93">
        <v>2205800</v>
      </c>
      <c r="AC43" s="39">
        <v>119.87</v>
      </c>
      <c r="AD43" s="2">
        <f t="shared" si="0"/>
        <v>2.1400000000000006</v>
      </c>
      <c r="AE43" s="134">
        <f t="shared" si="1"/>
        <v>-4.897891416237643E-3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si="3"/>
        <v>150.65980000000002</v>
      </c>
      <c r="Q44" s="2"/>
      <c r="R44" s="33"/>
      <c r="T44" s="10" t="s">
        <v>98</v>
      </c>
      <c r="U44" s="86">
        <v>115.59</v>
      </c>
      <c r="W44" s="153">
        <v>42769</v>
      </c>
      <c r="X44" s="39">
        <v>119.82</v>
      </c>
      <c r="Y44" s="39">
        <v>121.22</v>
      </c>
      <c r="Z44" s="39">
        <v>118.94</v>
      </c>
      <c r="AA44" s="39">
        <v>120.46</v>
      </c>
      <c r="AB44" s="93">
        <v>1683900</v>
      </c>
      <c r="AC44" s="39">
        <v>120.46</v>
      </c>
      <c r="AD44" s="2">
        <f t="shared" si="0"/>
        <v>2.2800000000000011</v>
      </c>
      <c r="AE44" s="134">
        <f t="shared" si="1"/>
        <v>8.28659914622909E-3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3"/>
        <v>149.27760000000001</v>
      </c>
      <c r="Q45" s="2"/>
      <c r="R45" s="33"/>
      <c r="T45" s="10" t="s">
        <v>99</v>
      </c>
      <c r="U45" s="86" t="s">
        <v>128</v>
      </c>
      <c r="W45" s="153">
        <v>42768</v>
      </c>
      <c r="X45" s="39">
        <v>119.12</v>
      </c>
      <c r="Y45" s="39">
        <v>120</v>
      </c>
      <c r="Z45" s="39">
        <v>117.61</v>
      </c>
      <c r="AA45" s="39">
        <v>119.47</v>
      </c>
      <c r="AB45" s="93">
        <v>2305300</v>
      </c>
      <c r="AC45" s="39">
        <v>119.47</v>
      </c>
      <c r="AD45" s="2">
        <f t="shared" si="0"/>
        <v>2.3900000000000006</v>
      </c>
      <c r="AE45" s="134">
        <f t="shared" si="1"/>
        <v>-3.8355707496040559E-3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3"/>
        <v>147.8954</v>
      </c>
      <c r="Q46" s="2"/>
      <c r="R46" s="33"/>
      <c r="T46" s="10" t="s">
        <v>100</v>
      </c>
      <c r="U46" s="86" t="s">
        <v>128</v>
      </c>
      <c r="W46" s="153">
        <v>42767</v>
      </c>
      <c r="X46" s="39">
        <v>117.37</v>
      </c>
      <c r="Y46" s="39">
        <v>120</v>
      </c>
      <c r="Z46" s="39">
        <v>117.25</v>
      </c>
      <c r="AA46" s="39">
        <v>119.93</v>
      </c>
      <c r="AB46" s="93">
        <v>2913800</v>
      </c>
      <c r="AC46" s="39">
        <v>119.93</v>
      </c>
      <c r="AD46" s="2">
        <f t="shared" si="0"/>
        <v>2.75</v>
      </c>
      <c r="AE46" s="134" t="e">
        <f t="shared" si="1"/>
        <v>#DIV/0!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3"/>
        <v>146.51320000000001</v>
      </c>
      <c r="Q47" s="2"/>
      <c r="R47" s="33"/>
      <c r="T47" s="10" t="s">
        <v>101</v>
      </c>
      <c r="U47" s="86">
        <v>119.17</v>
      </c>
      <c r="W47" s="153">
        <v>42767</v>
      </c>
      <c r="X47" s="39" t="s">
        <v>401</v>
      </c>
      <c r="Y47" s="39"/>
      <c r="Z47" s="39"/>
      <c r="AA47" s="39"/>
      <c r="AB47" s="93"/>
      <c r="AC47" s="39"/>
      <c r="AD47" s="2">
        <f t="shared" si="0"/>
        <v>0</v>
      </c>
      <c r="AE47" s="134">
        <f t="shared" si="1"/>
        <v>-1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3"/>
        <v>145.131</v>
      </c>
      <c r="Q48" s="2"/>
      <c r="R48" s="33"/>
      <c r="T48" s="10" t="s">
        <v>102</v>
      </c>
      <c r="U48" s="86">
        <v>1.4616</v>
      </c>
      <c r="W48" s="153">
        <v>42766</v>
      </c>
      <c r="X48" s="39">
        <v>119.44</v>
      </c>
      <c r="Y48" s="39">
        <v>119.75</v>
      </c>
      <c r="Z48" s="39">
        <v>117.11</v>
      </c>
      <c r="AA48" s="39">
        <v>117.46</v>
      </c>
      <c r="AB48" s="93">
        <v>3474900</v>
      </c>
      <c r="AC48" s="39">
        <v>116.85</v>
      </c>
      <c r="AD48" s="2">
        <f t="shared" si="0"/>
        <v>2.6400000000000006</v>
      </c>
      <c r="AE48" s="134">
        <f t="shared" si="1"/>
        <v>-1.8149735316360105E-2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3"/>
        <v>143.74880000000002</v>
      </c>
      <c r="Q49" s="2"/>
      <c r="R49" s="33"/>
      <c r="T49" s="10" t="s">
        <v>103</v>
      </c>
      <c r="U49" s="86" t="s">
        <v>646</v>
      </c>
      <c r="W49" s="153">
        <v>42765</v>
      </c>
      <c r="X49" s="39">
        <v>119.27</v>
      </c>
      <c r="Y49" s="39">
        <v>120.1</v>
      </c>
      <c r="Z49" s="39">
        <v>117.57</v>
      </c>
      <c r="AA49" s="39">
        <v>119.63</v>
      </c>
      <c r="AB49" s="93">
        <v>2510300</v>
      </c>
      <c r="AC49" s="39">
        <v>119.01</v>
      </c>
      <c r="AD49" s="2">
        <f t="shared" si="0"/>
        <v>2.5300000000000011</v>
      </c>
      <c r="AE49" s="134">
        <f t="shared" si="1"/>
        <v>-5.9305045105244591E-3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3"/>
        <v>142.36660000000001</v>
      </c>
      <c r="Q50" s="2"/>
      <c r="R50" s="33"/>
      <c r="T50" s="10"/>
      <c r="U50" s="86"/>
      <c r="W50" s="153">
        <v>42762</v>
      </c>
      <c r="X50" s="39">
        <v>120.18</v>
      </c>
      <c r="Y50" s="39">
        <v>120.62</v>
      </c>
      <c r="Z50" s="39">
        <v>118.95</v>
      </c>
      <c r="AA50" s="39">
        <v>120.35</v>
      </c>
      <c r="AB50" s="93">
        <v>2190000</v>
      </c>
      <c r="AC50" s="39">
        <v>119.72</v>
      </c>
      <c r="AD50" s="2">
        <f t="shared" si="0"/>
        <v>1.6700000000000017</v>
      </c>
      <c r="AE50" s="134">
        <f t="shared" si="1"/>
        <v>6.9812431659517227E-3</v>
      </c>
    </row>
    <row r="51" spans="1:31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1">
        <v>1.02</v>
      </c>
      <c r="P51" s="81">
        <f t="shared" si="3"/>
        <v>140.98439999999999</v>
      </c>
      <c r="Q51" s="2"/>
      <c r="R51" s="33"/>
      <c r="T51" s="10" t="s">
        <v>104</v>
      </c>
      <c r="U51" s="86" t="s">
        <v>647</v>
      </c>
      <c r="W51" s="153">
        <v>42761</v>
      </c>
      <c r="X51" s="39">
        <v>118.79</v>
      </c>
      <c r="Y51" s="39">
        <v>122.17</v>
      </c>
      <c r="Z51" s="39">
        <v>118.32</v>
      </c>
      <c r="AA51" s="39">
        <v>119.51</v>
      </c>
      <c r="AB51" s="93">
        <v>2586500</v>
      </c>
      <c r="AC51" s="39">
        <v>118.89</v>
      </c>
      <c r="AD51" s="2">
        <f t="shared" si="0"/>
        <v>3.8500000000000085</v>
      </c>
      <c r="AE51" s="134">
        <f t="shared" si="1"/>
        <v>-8.4236864053378602E-3</v>
      </c>
    </row>
    <row r="52" spans="1:31" x14ac:dyDescent="0.25">
      <c r="O52" s="81">
        <v>1.01</v>
      </c>
      <c r="P52" s="81">
        <f t="shared" si="3"/>
        <v>139.60220000000001</v>
      </c>
      <c r="Q52" s="2"/>
      <c r="R52" s="33"/>
      <c r="T52" s="10" t="s">
        <v>105</v>
      </c>
      <c r="U52" s="86" t="s">
        <v>518</v>
      </c>
      <c r="W52" s="153">
        <v>42760</v>
      </c>
      <c r="X52" s="39">
        <v>117.41</v>
      </c>
      <c r="Y52" s="39">
        <v>121.3</v>
      </c>
      <c r="Z52" s="39">
        <v>116.81</v>
      </c>
      <c r="AA52" s="39">
        <v>120.53</v>
      </c>
      <c r="AB52" s="93">
        <v>3832900</v>
      </c>
      <c r="AC52" s="39">
        <v>119.9</v>
      </c>
      <c r="AD52" s="2">
        <f t="shared" si="0"/>
        <v>4.4899999999999949</v>
      </c>
      <c r="AE52" s="134">
        <f t="shared" si="1"/>
        <v>3.3531592104129038E-2</v>
      </c>
    </row>
    <row r="53" spans="1:31" x14ac:dyDescent="0.25">
      <c r="O53" s="81">
        <v>1</v>
      </c>
      <c r="P53" s="81">
        <f t="shared" si="3"/>
        <v>138.22</v>
      </c>
      <c r="Q53" s="2"/>
      <c r="R53" s="33"/>
      <c r="T53" s="10" t="s">
        <v>106</v>
      </c>
      <c r="U53" s="88">
        <v>1726477</v>
      </c>
      <c r="W53" s="153">
        <v>42759</v>
      </c>
      <c r="X53" s="39">
        <v>114</v>
      </c>
      <c r="Y53" s="39">
        <v>117.09</v>
      </c>
      <c r="Z53" s="39">
        <v>113.3</v>
      </c>
      <c r="AA53" s="39">
        <v>116.62</v>
      </c>
      <c r="AB53" s="93">
        <v>3460700</v>
      </c>
      <c r="AC53" s="39">
        <v>116.01</v>
      </c>
      <c r="AD53" s="2">
        <f t="shared" si="0"/>
        <v>3.7900000000000063</v>
      </c>
      <c r="AE53" s="134">
        <f t="shared" si="1"/>
        <v>2.7000708215297653E-2</v>
      </c>
    </row>
    <row r="54" spans="1:31" x14ac:dyDescent="0.25">
      <c r="O54" s="81">
        <v>0.99</v>
      </c>
      <c r="P54" s="81">
        <f t="shared" si="3"/>
        <v>136.83779999999999</v>
      </c>
      <c r="Q54" s="2"/>
      <c r="R54" s="33"/>
      <c r="T54" s="10" t="s">
        <v>109</v>
      </c>
      <c r="U54" s="88">
        <v>2143790</v>
      </c>
      <c r="W54" s="153">
        <v>42758</v>
      </c>
      <c r="X54" s="39">
        <v>113.7</v>
      </c>
      <c r="Y54" s="39">
        <v>113.91</v>
      </c>
      <c r="Z54" s="39">
        <v>112.38</v>
      </c>
      <c r="AA54" s="39">
        <v>113.55</v>
      </c>
      <c r="AB54" s="93">
        <v>1951200</v>
      </c>
      <c r="AC54" s="39">
        <v>112.96</v>
      </c>
      <c r="AD54" s="2">
        <f t="shared" si="0"/>
        <v>1.5300000000000011</v>
      </c>
      <c r="AE54" s="134">
        <f t="shared" si="1"/>
        <v>-3.5398230088501403E-4</v>
      </c>
    </row>
    <row r="55" spans="1:31" x14ac:dyDescent="0.25">
      <c r="O55" s="81">
        <v>0.98</v>
      </c>
      <c r="P55" s="81">
        <f t="shared" si="3"/>
        <v>135.4556</v>
      </c>
      <c r="Q55" s="2"/>
      <c r="R55" s="33"/>
      <c r="T55" s="10" t="s">
        <v>107</v>
      </c>
      <c r="U55" s="86" t="s">
        <v>648</v>
      </c>
      <c r="W55" s="153">
        <v>42755</v>
      </c>
      <c r="X55" s="39">
        <v>113.68</v>
      </c>
      <c r="Y55" s="39">
        <v>113.8</v>
      </c>
      <c r="Z55" s="39">
        <v>111.75</v>
      </c>
      <c r="AA55" s="39">
        <v>113.59</v>
      </c>
      <c r="AB55" s="93">
        <v>2656400</v>
      </c>
      <c r="AC55" s="39">
        <v>113</v>
      </c>
      <c r="AD55" s="2">
        <f t="shared" si="0"/>
        <v>2.0499999999999972</v>
      </c>
      <c r="AE55" s="134">
        <f t="shared" si="1"/>
        <v>-7.2915751559342601E-3</v>
      </c>
    </row>
    <row r="56" spans="1:31" x14ac:dyDescent="0.25">
      <c r="O56" s="81">
        <v>0.97</v>
      </c>
      <c r="P56" s="81">
        <f t="shared" si="3"/>
        <v>134.07339999999999</v>
      </c>
      <c r="T56" s="10" t="s">
        <v>110</v>
      </c>
      <c r="U56" s="86">
        <v>20.41</v>
      </c>
      <c r="W56" s="153">
        <v>42754</v>
      </c>
      <c r="X56" s="39">
        <v>115.57</v>
      </c>
      <c r="Y56" s="39">
        <v>116</v>
      </c>
      <c r="Z56" s="39">
        <v>112.56</v>
      </c>
      <c r="AA56" s="39">
        <v>114.42</v>
      </c>
      <c r="AB56" s="93">
        <v>5852900</v>
      </c>
      <c r="AC56" s="39">
        <v>113.83</v>
      </c>
      <c r="AD56" s="2">
        <f t="shared" si="0"/>
        <v>3.4399999999999977</v>
      </c>
      <c r="AE56" s="134">
        <f t="shared" si="1"/>
        <v>4.0493601462522788E-2</v>
      </c>
    </row>
    <row r="57" spans="1:31" x14ac:dyDescent="0.25">
      <c r="O57" s="81">
        <v>0.96</v>
      </c>
      <c r="P57" s="81">
        <f t="shared" si="3"/>
        <v>132.69119999999998</v>
      </c>
      <c r="T57" s="10" t="s">
        <v>111</v>
      </c>
      <c r="U57" s="86">
        <v>5.62</v>
      </c>
      <c r="W57" s="153">
        <v>42753</v>
      </c>
      <c r="X57" s="39">
        <v>106.96</v>
      </c>
      <c r="Y57" s="39">
        <v>110.04</v>
      </c>
      <c r="Z57" s="39">
        <v>105.89</v>
      </c>
      <c r="AA57" s="39">
        <v>109.97</v>
      </c>
      <c r="AB57" s="93">
        <v>2589600</v>
      </c>
      <c r="AC57" s="39">
        <v>109.4</v>
      </c>
      <c r="AD57" s="2">
        <f t="shared" si="0"/>
        <v>4.1500000000000057</v>
      </c>
      <c r="AE57" s="134">
        <f t="shared" si="1"/>
        <v>9.8772269915998745E-3</v>
      </c>
    </row>
    <row r="58" spans="1:31" x14ac:dyDescent="0.25">
      <c r="O58" s="81">
        <v>0.95</v>
      </c>
      <c r="P58" s="81">
        <f t="shared" si="3"/>
        <v>131.309</v>
      </c>
      <c r="T58" s="10" t="s">
        <v>108</v>
      </c>
      <c r="U58" s="86" t="s">
        <v>566</v>
      </c>
      <c r="W58" s="153">
        <v>42752</v>
      </c>
      <c r="X58" s="39">
        <v>111.18</v>
      </c>
      <c r="Y58" s="39">
        <v>111.45</v>
      </c>
      <c r="Z58" s="39">
        <v>108.47</v>
      </c>
      <c r="AA58" s="39">
        <v>108.9</v>
      </c>
      <c r="AB58" s="93">
        <v>1876300</v>
      </c>
      <c r="AC58" s="39">
        <v>108.33</v>
      </c>
      <c r="AD58" s="2">
        <f t="shared" si="0"/>
        <v>2.980000000000004</v>
      </c>
      <c r="AE58" s="134">
        <f t="shared" si="1"/>
        <v>-2.4141969191964763E-2</v>
      </c>
    </row>
    <row r="59" spans="1:31" x14ac:dyDescent="0.25">
      <c r="O59" s="81">
        <v>0.94</v>
      </c>
      <c r="P59" s="81">
        <f t="shared" si="3"/>
        <v>129.92679999999999</v>
      </c>
      <c r="W59" s="153">
        <v>42748</v>
      </c>
      <c r="X59" s="39">
        <v>111.01</v>
      </c>
      <c r="Y59" s="39">
        <v>111.85</v>
      </c>
      <c r="Z59" s="39">
        <v>110.55</v>
      </c>
      <c r="AA59" s="39">
        <v>111.59</v>
      </c>
      <c r="AB59" s="93">
        <v>1702800</v>
      </c>
      <c r="AC59" s="39">
        <v>111.01</v>
      </c>
      <c r="AD59" s="2">
        <f t="shared" si="0"/>
        <v>1.2999999999999972</v>
      </c>
      <c r="AE59" s="134">
        <f t="shared" si="1"/>
        <v>5.2521959612423785E-3</v>
      </c>
    </row>
    <row r="60" spans="1:31" x14ac:dyDescent="0.25">
      <c r="O60" s="81">
        <v>0.93</v>
      </c>
      <c r="P60" s="81">
        <f t="shared" si="3"/>
        <v>128.5446</v>
      </c>
      <c r="W60" s="153">
        <v>42747</v>
      </c>
      <c r="X60" s="39">
        <v>110.61</v>
      </c>
      <c r="Y60" s="39">
        <v>111.44</v>
      </c>
      <c r="Z60" s="39">
        <v>109.36</v>
      </c>
      <c r="AA60" s="39">
        <v>111.01</v>
      </c>
      <c r="AB60" s="93">
        <v>1239600</v>
      </c>
      <c r="AC60" s="39">
        <v>110.43</v>
      </c>
      <c r="AD60" s="2">
        <f t="shared" si="0"/>
        <v>2.0799999999999983</v>
      </c>
      <c r="AE60" s="134">
        <f t="shared" si="1"/>
        <v>4.0916530278232166E-3</v>
      </c>
    </row>
    <row r="61" spans="1:31" x14ac:dyDescent="0.25">
      <c r="O61" s="81">
        <v>0.92</v>
      </c>
      <c r="P61" s="81">
        <f t="shared" si="3"/>
        <v>127.16240000000001</v>
      </c>
      <c r="W61" s="153">
        <v>42746</v>
      </c>
      <c r="X61" s="39">
        <v>109.35</v>
      </c>
      <c r="Y61" s="39">
        <v>110.65</v>
      </c>
      <c r="Z61" s="39">
        <v>108.77</v>
      </c>
      <c r="AA61" s="39">
        <v>110.55</v>
      </c>
      <c r="AB61" s="93">
        <v>1180200</v>
      </c>
      <c r="AC61" s="39">
        <v>109.98</v>
      </c>
      <c r="AD61" s="2">
        <f t="shared" si="0"/>
        <v>1.8800000000000097</v>
      </c>
      <c r="AE61" s="134">
        <f t="shared" si="1"/>
        <v>1.1868617168092843E-2</v>
      </c>
    </row>
    <row r="62" spans="1:31" x14ac:dyDescent="0.25">
      <c r="O62" s="81">
        <v>0.91</v>
      </c>
      <c r="P62" s="81">
        <f t="shared" si="3"/>
        <v>125.78020000000001</v>
      </c>
      <c r="W62" s="153">
        <v>42745</v>
      </c>
      <c r="X62" s="39">
        <v>109.23</v>
      </c>
      <c r="Y62" s="39">
        <v>110.05</v>
      </c>
      <c r="Z62" s="39">
        <v>108.33</v>
      </c>
      <c r="AA62" s="39">
        <v>109.26</v>
      </c>
      <c r="AB62" s="93">
        <v>1814500</v>
      </c>
      <c r="AC62" s="39">
        <v>108.69</v>
      </c>
      <c r="AD62" s="2">
        <f t="shared" si="0"/>
        <v>1.7199999999999989</v>
      </c>
      <c r="AE62" s="134">
        <f t="shared" si="1"/>
        <v>7.3658042537516621E-4</v>
      </c>
    </row>
    <row r="63" spans="1:31" x14ac:dyDescent="0.25">
      <c r="O63" s="81">
        <v>0.9</v>
      </c>
      <c r="P63" s="81">
        <f t="shared" si="3"/>
        <v>124.398</v>
      </c>
      <c r="W63" s="153">
        <v>42744</v>
      </c>
      <c r="X63" s="39">
        <v>110.89</v>
      </c>
      <c r="Y63" s="39">
        <v>110.89</v>
      </c>
      <c r="Z63" s="39">
        <v>108.28</v>
      </c>
      <c r="AA63" s="39">
        <v>109.18</v>
      </c>
      <c r="AB63" s="93">
        <v>1972000</v>
      </c>
      <c r="AC63" s="39">
        <v>108.61</v>
      </c>
      <c r="AD63" s="2">
        <f t="shared" si="0"/>
        <v>2.6099999999999994</v>
      </c>
      <c r="AE63" s="134">
        <f t="shared" si="1"/>
        <v>-2.2236226143320104E-2</v>
      </c>
    </row>
    <row r="64" spans="1:31" x14ac:dyDescent="0.25">
      <c r="W64" s="153">
        <v>42741</v>
      </c>
      <c r="X64" s="39">
        <v>110.18</v>
      </c>
      <c r="Y64" s="39">
        <v>112.99</v>
      </c>
      <c r="Z64" s="39">
        <v>109.92</v>
      </c>
      <c r="AA64" s="39">
        <v>111.66</v>
      </c>
      <c r="AB64" s="93">
        <v>2009200</v>
      </c>
      <c r="AC64" s="39">
        <v>111.08</v>
      </c>
      <c r="AD64" s="2">
        <f t="shared" si="0"/>
        <v>3.0699999999999932</v>
      </c>
      <c r="AE64" s="134">
        <f t="shared" si="1"/>
        <v>1.2395187750638081E-2</v>
      </c>
    </row>
    <row r="65" spans="23:31" x14ac:dyDescent="0.25">
      <c r="W65" s="153">
        <v>42740</v>
      </c>
      <c r="X65" s="39">
        <v>110.18</v>
      </c>
      <c r="Y65" s="39">
        <v>111.65</v>
      </c>
      <c r="Z65" s="39">
        <v>110.16</v>
      </c>
      <c r="AA65" s="39">
        <v>110.29</v>
      </c>
      <c r="AB65" s="93">
        <v>3135300</v>
      </c>
      <c r="AC65" s="39">
        <v>109.72</v>
      </c>
      <c r="AD65" s="2">
        <f t="shared" si="0"/>
        <v>1.4900000000000091</v>
      </c>
      <c r="AE65" s="134">
        <f t="shared" si="1"/>
        <v>-3.1797946761151774E-3</v>
      </c>
    </row>
    <row r="66" spans="23:31" x14ac:dyDescent="0.25">
      <c r="W66" s="153">
        <v>42739</v>
      </c>
      <c r="X66" s="39">
        <v>107.57</v>
      </c>
      <c r="Y66" s="39">
        <v>110.98</v>
      </c>
      <c r="Z66" s="39">
        <v>107.15</v>
      </c>
      <c r="AA66" s="39">
        <v>110.64</v>
      </c>
      <c r="AB66" s="93">
        <v>2705500</v>
      </c>
      <c r="AC66" s="39">
        <v>110.07</v>
      </c>
      <c r="AD66" s="2">
        <f t="shared" si="0"/>
        <v>3.8299999999999983</v>
      </c>
      <c r="AE66" s="134">
        <f t="shared" si="1"/>
        <v>3.4200883209621225E-2</v>
      </c>
    </row>
    <row r="67" spans="23:31" x14ac:dyDescent="0.25">
      <c r="W67" s="153">
        <v>42738</v>
      </c>
      <c r="X67" s="39">
        <v>108.91</v>
      </c>
      <c r="Y67" s="39">
        <v>109.52</v>
      </c>
      <c r="Z67" s="39">
        <v>106.15</v>
      </c>
      <c r="AA67" s="39">
        <v>106.99</v>
      </c>
      <c r="AB67" s="93">
        <v>1770100</v>
      </c>
      <c r="AC67" s="39">
        <v>106.43</v>
      </c>
      <c r="AD67" s="2">
        <f>Y67-Z67</f>
        <v>3.3699999999999903</v>
      </c>
      <c r="AE67" s="134" t="e">
        <f>AC67/#REF!-1</f>
        <v>#REF!</v>
      </c>
    </row>
    <row r="68" spans="23:31" x14ac:dyDescent="0.25">
      <c r="W68" s="153">
        <v>42734</v>
      </c>
      <c r="X68" s="39">
        <v>108.85</v>
      </c>
      <c r="Y68" s="39">
        <v>108.99</v>
      </c>
      <c r="Z68" s="39">
        <v>107.5</v>
      </c>
      <c r="AA68" s="39">
        <v>108.07</v>
      </c>
      <c r="AB68" s="93">
        <v>1487300</v>
      </c>
      <c r="AC68" s="39">
        <v>107.51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53" t="s">
        <v>120</v>
      </c>
      <c r="X69" s="39"/>
      <c r="Y69" s="39"/>
      <c r="Z69" s="39"/>
      <c r="AA69" s="39"/>
      <c r="AB69" s="93"/>
      <c r="AC69" s="39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363" priority="25">
      <formula>F24&gt;0</formula>
    </cfRule>
    <cfRule type="expression" dxfId="362" priority="26">
      <formula>F24&lt;0</formula>
    </cfRule>
  </conditionalFormatting>
  <conditionalFormatting sqref="H21:H27">
    <cfRule type="expression" dxfId="361" priority="19">
      <formula>H21&gt;0</formula>
    </cfRule>
    <cfRule type="expression" dxfId="360" priority="20">
      <formula>H21&lt;0</formula>
    </cfRule>
  </conditionalFormatting>
  <conditionalFormatting sqref="F21:F23">
    <cfRule type="expression" dxfId="359" priority="5">
      <formula>F21&gt;0</formula>
    </cfRule>
    <cfRule type="expression" dxfId="358" priority="6">
      <formula>F21&lt;0</formula>
    </cfRule>
  </conditionalFormatting>
  <conditionalFormatting sqref="Q8">
    <cfRule type="expression" dxfId="357" priority="1">
      <formula>Q8&gt;0</formula>
    </cfRule>
    <cfRule type="expression" dxfId="356" priority="2">
      <formula>Q8&lt;0</formula>
    </cfRule>
  </conditionalFormatting>
  <conditionalFormatting sqref="Q7">
    <cfRule type="expression" dxfId="355" priority="3">
      <formula>Q7&gt;0</formula>
    </cfRule>
    <cfRule type="expression" dxfId="3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235.5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60"/>
      <c r="C4" s="4"/>
      <c r="D4" s="3"/>
      <c r="E4" s="3"/>
      <c r="F4" s="3"/>
      <c r="G4" s="72"/>
      <c r="H4" s="180"/>
      <c r="I4" s="3"/>
      <c r="J4" s="3"/>
      <c r="K4" s="3"/>
      <c r="L4" s="4"/>
      <c r="M4" s="3"/>
      <c r="O4" s="11" t="s">
        <v>66</v>
      </c>
      <c r="Q4" s="54">
        <v>235.5</v>
      </c>
      <c r="R4" s="487">
        <v>2.58E-2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68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68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9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9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328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8"/>
      <c r="C21" s="10"/>
      <c r="D21" s="39"/>
      <c r="E21" s="39"/>
      <c r="F21" s="39"/>
      <c r="G21" s="39"/>
      <c r="H21" s="227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8"/>
      <c r="C22" s="10"/>
      <c r="D22" s="197"/>
      <c r="E22" s="197"/>
      <c r="F22" s="39"/>
      <c r="G22" s="39"/>
      <c r="H22" s="227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7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7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7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7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7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7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209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09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09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09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10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04" t="s">
        <v>78</v>
      </c>
      <c r="P41" s="80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259.05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256.69499999999999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254.34</v>
      </c>
      <c r="Q44" s="2"/>
      <c r="T44" s="132" t="s">
        <v>99</v>
      </c>
      <c r="U44" s="86" t="s">
        <v>676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251.98500000000001</v>
      </c>
      <c r="Q45" s="2"/>
      <c r="T45" s="132" t="s">
        <v>100</v>
      </c>
      <c r="U45" s="86" t="s">
        <v>677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249.63000000000002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247.27500000000001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244.92000000000002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242.565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240.21</v>
      </c>
      <c r="Q50" s="2"/>
      <c r="T50" s="132" t="s">
        <v>104</v>
      </c>
      <c r="U50" s="86" t="s">
        <v>678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237.85499999999999</v>
      </c>
      <c r="Q51" s="2"/>
      <c r="T51" s="132" t="s">
        <v>105</v>
      </c>
      <c r="U51" s="86" t="s">
        <v>513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235.5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233.14500000000001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230.79</v>
      </c>
      <c r="Q54" s="2"/>
      <c r="T54" s="132" t="s">
        <v>107</v>
      </c>
      <c r="U54" s="86" t="s">
        <v>679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228.435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226.07999999999998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223.72499999999999</v>
      </c>
      <c r="T57" s="132" t="s">
        <v>108</v>
      </c>
      <c r="U57" s="86" t="s">
        <v>574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221.36999999999998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219.01500000000001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216.66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214.30500000000001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211.95000000000002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53" priority="11">
      <formula>F21&gt;0</formula>
    </cfRule>
    <cfRule type="expression" dxfId="352" priority="12">
      <formula>F21&lt;0</formula>
    </cfRule>
  </conditionalFormatting>
  <conditionalFormatting sqref="H21:H23">
    <cfRule type="expression" dxfId="351" priority="9">
      <formula>H21&gt;0</formula>
    </cfRule>
    <cfRule type="expression" dxfId="350" priority="10">
      <formula>H21&lt;0</formula>
    </cfRule>
  </conditionalFormatting>
  <conditionalFormatting sqref="Q8">
    <cfRule type="expression" dxfId="349" priority="1">
      <formula>Q8&gt;0</formula>
    </cfRule>
    <cfRule type="expression" dxfId="348" priority="2">
      <formula>Q8&lt;0</formula>
    </cfRule>
  </conditionalFormatting>
  <conditionalFormatting sqref="Q7">
    <cfRule type="expression" dxfId="347" priority="3">
      <formula>Q7&gt;0</formula>
    </cfRule>
    <cfRule type="expression" dxfId="346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5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245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5">
        <f>IF(Q2=0, Q4, (F18-K18-M18)/Q2)</f>
        <v>62.98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62.98</v>
      </c>
      <c r="R4" s="487">
        <v>-6.4999999999999997E-3</v>
      </c>
      <c r="T4" s="159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210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209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SumByColor($A$19,H3:H17)</f>
        <v>0</v>
      </c>
      <c r="I19" s="349"/>
      <c r="J19" s="349"/>
      <c r="K19" s="350">
        <f>SumByColor($A$19,K3:K17)</f>
        <v>0</v>
      </c>
      <c r="L19" s="349"/>
      <c r="M19" s="35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8">
        <v>42485</v>
      </c>
      <c r="C25" s="232">
        <v>80</v>
      </c>
      <c r="D25" s="233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6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8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6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8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6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8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6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8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6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8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6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8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6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8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6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8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6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8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6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8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6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8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6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8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6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8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6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8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6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8">
        <v>42549</v>
      </c>
      <c r="C40" s="435">
        <v>450</v>
      </c>
      <c r="D40" s="43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6">
        <f t="shared" ref="H40:H57" si="7">(E40-D40)/D40</f>
        <v>-0.11924456283325108</v>
      </c>
      <c r="I40" s="39"/>
      <c r="O40" s="804" t="s">
        <v>78</v>
      </c>
      <c r="P40" s="80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8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6">
        <f t="shared" si="7"/>
        <v>-8.261237263530162E-2</v>
      </c>
      <c r="I41" s="39"/>
      <c r="O41" s="81">
        <v>1.1000000000000001</v>
      </c>
      <c r="P41" s="81">
        <f>O41*$Q$4</f>
        <v>69.278000000000006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8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6">
        <f t="shared" si="7"/>
        <v>-6.4522402167178472E-2</v>
      </c>
      <c r="I42" s="39"/>
      <c r="O42" s="81">
        <v>1.0900000000000001</v>
      </c>
      <c r="P42" s="81">
        <f t="shared" ref="P42:P61" si="8">O42*$Q$4</f>
        <v>68.648200000000003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8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6">
        <f t="shared" si="7"/>
        <v>-8.8943862299144777E-2</v>
      </c>
      <c r="I43" s="39"/>
      <c r="O43" s="81">
        <v>1.08</v>
      </c>
      <c r="P43" s="81">
        <f t="shared" si="8"/>
        <v>68.0184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8">
        <v>42557</v>
      </c>
      <c r="C44" s="435">
        <v>450</v>
      </c>
      <c r="D44" s="43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6">
        <f t="shared" si="7"/>
        <v>-0.10299678028098951</v>
      </c>
      <c r="I44" s="39"/>
      <c r="O44" s="81">
        <v>1.07</v>
      </c>
      <c r="P44" s="81">
        <f t="shared" si="8"/>
        <v>67.388599999999997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8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6">
        <f t="shared" si="7"/>
        <v>-5.3480194506625535E-2</v>
      </c>
      <c r="I45" s="39"/>
      <c r="O45" s="81">
        <v>1.06</v>
      </c>
      <c r="P45" s="81">
        <f t="shared" si="8"/>
        <v>66.758799999999994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8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6">
        <f t="shared" si="7"/>
        <v>-3.5408535531355541E-2</v>
      </c>
      <c r="I46" s="39"/>
      <c r="O46" s="81">
        <v>1.05</v>
      </c>
      <c r="P46" s="81">
        <f t="shared" si="8"/>
        <v>66.129000000000005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8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6">
        <f t="shared" si="7"/>
        <v>4.9883093606994312E-2</v>
      </c>
      <c r="I47" s="39"/>
      <c r="O47" s="81">
        <v>1.04</v>
      </c>
      <c r="P47" s="81">
        <f t="shared" si="8"/>
        <v>65.499200000000002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8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6">
        <f t="shared" si="7"/>
        <v>9.4936578133857141E-2</v>
      </c>
      <c r="I48" s="39"/>
      <c r="O48" s="81">
        <v>1.03</v>
      </c>
      <c r="P48" s="81">
        <f t="shared" si="8"/>
        <v>64.869399999999999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8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6">
        <f t="shared" si="7"/>
        <v>9.8149554887970336E-2</v>
      </c>
      <c r="I49" s="39"/>
      <c r="O49" s="81">
        <v>1.02</v>
      </c>
      <c r="P49" s="81">
        <f t="shared" si="8"/>
        <v>64.239599999999996</v>
      </c>
      <c r="Q49" s="2"/>
      <c r="T49" s="91" t="s">
        <v>121</v>
      </c>
      <c r="U49" s="86" t="s">
        <v>352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8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6">
        <f t="shared" si="7"/>
        <v>0.10847698016904833</v>
      </c>
      <c r="I50" s="39"/>
      <c r="O50" s="81">
        <v>1.01</v>
      </c>
      <c r="P50" s="81">
        <f t="shared" si="8"/>
        <v>63.6098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8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6">
        <f t="shared" si="7"/>
        <v>7.0839252478008166E-2</v>
      </c>
      <c r="I51" s="39"/>
      <c r="O51" s="81">
        <v>1</v>
      </c>
      <c r="P51" s="81">
        <f t="shared" si="8"/>
        <v>62.98</v>
      </c>
      <c r="Q51" s="2"/>
      <c r="T51" s="91" t="s">
        <v>104</v>
      </c>
      <c r="U51" s="86" t="s">
        <v>712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8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6">
        <f t="shared" si="7"/>
        <v>9.1723601379743946E-2</v>
      </c>
      <c r="I52" s="39"/>
      <c r="O52" s="81">
        <v>0.99</v>
      </c>
      <c r="P52" s="81">
        <f t="shared" si="8"/>
        <v>62.350199999999994</v>
      </c>
      <c r="Q52" s="2"/>
      <c r="T52" s="91" t="s">
        <v>105</v>
      </c>
      <c r="U52" s="86" t="s">
        <v>330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8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6">
        <f t="shared" si="7"/>
        <v>7.6117714288337052E-2</v>
      </c>
      <c r="I53" s="39"/>
      <c r="O53" s="81">
        <v>0.98</v>
      </c>
      <c r="P53" s="81">
        <f t="shared" si="8"/>
        <v>61.720399999999998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8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6">
        <f t="shared" si="7"/>
        <v>9.5395574813016068E-2</v>
      </c>
      <c r="I54" s="39"/>
      <c r="O54" s="81">
        <v>0.97</v>
      </c>
      <c r="P54" s="81">
        <f t="shared" si="8"/>
        <v>61.090599999999995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8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6">
        <f t="shared" si="7"/>
        <v>7.6117714288337052E-2</v>
      </c>
      <c r="I55" s="39"/>
      <c r="O55" s="81">
        <v>0.96</v>
      </c>
      <c r="P55" s="81">
        <f t="shared" si="8"/>
        <v>60.460799999999992</v>
      </c>
      <c r="T55" s="91" t="s">
        <v>107</v>
      </c>
      <c r="U55" s="86" t="s">
        <v>713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8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6">
        <f t="shared" si="7"/>
        <v>1.8972627733038244E-2</v>
      </c>
      <c r="I56" s="39"/>
      <c r="O56" s="81">
        <v>0.95</v>
      </c>
      <c r="P56" s="81">
        <f t="shared" si="8"/>
        <v>59.830999999999996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8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6">
        <f t="shared" si="7"/>
        <v>0.24429413174662135</v>
      </c>
      <c r="I57" s="39"/>
      <c r="O57" s="81">
        <v>0.94</v>
      </c>
      <c r="P57" s="81">
        <f t="shared" si="8"/>
        <v>59.201199999999993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8">
        <v>42598</v>
      </c>
      <c r="C58" s="10">
        <v>0</v>
      </c>
      <c r="D58" s="39"/>
      <c r="E58" s="39"/>
      <c r="F58" s="39">
        <v>1461.56</v>
      </c>
      <c r="G58" s="39"/>
      <c r="H58" s="226"/>
      <c r="I58" s="39"/>
      <c r="O58" s="81">
        <v>0.93</v>
      </c>
      <c r="P58" s="81">
        <f t="shared" si="8"/>
        <v>58.571399999999997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8"/>
        <v>57.941600000000001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8"/>
        <v>57.311799999999998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8"/>
        <v>56.681999999999995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77" t="s">
        <v>1</v>
      </c>
      <c r="B76" s="377" t="s">
        <v>2</v>
      </c>
      <c r="C76" s="377" t="s">
        <v>4</v>
      </c>
      <c r="D76" s="379" t="s">
        <v>5</v>
      </c>
      <c r="E76" s="379" t="s">
        <v>94</v>
      </c>
      <c r="F76" s="379" t="s">
        <v>60</v>
      </c>
      <c r="G76" s="377" t="s">
        <v>3</v>
      </c>
      <c r="H76" s="377" t="s">
        <v>6</v>
      </c>
      <c r="I76" s="379" t="s">
        <v>7</v>
      </c>
      <c r="J76" s="379" t="s">
        <v>95</v>
      </c>
      <c r="K76" s="379" t="s">
        <v>61</v>
      </c>
      <c r="L76" s="377" t="s">
        <v>37</v>
      </c>
      <c r="M76" s="377" t="s">
        <v>38</v>
      </c>
    </row>
    <row r="77" spans="1:31" x14ac:dyDescent="0.25">
      <c r="A77" s="380" t="s">
        <v>13</v>
      </c>
      <c r="B77" s="370">
        <v>42485</v>
      </c>
      <c r="C77" s="371">
        <v>80</v>
      </c>
      <c r="D77" s="372">
        <v>49.5</v>
      </c>
      <c r="E77" s="372">
        <v>0</v>
      </c>
      <c r="F77" s="372">
        <f t="shared" ref="F77:F85" si="9">D77*C77+E77</f>
        <v>3960</v>
      </c>
      <c r="G77" s="371"/>
      <c r="H77" s="371"/>
      <c r="I77" s="372"/>
      <c r="J77" s="372"/>
      <c r="K77" s="372"/>
      <c r="L77" s="370"/>
      <c r="M77" s="371"/>
    </row>
    <row r="78" spans="1:31" x14ac:dyDescent="0.25">
      <c r="A78" s="381" t="s">
        <v>71</v>
      </c>
      <c r="B78" s="370">
        <v>42489</v>
      </c>
      <c r="C78" s="371">
        <v>20</v>
      </c>
      <c r="D78" s="372">
        <v>46.95</v>
      </c>
      <c r="E78" s="372">
        <v>0</v>
      </c>
      <c r="F78" s="372">
        <f t="shared" si="9"/>
        <v>939</v>
      </c>
      <c r="G78" s="371"/>
      <c r="H78" s="372"/>
      <c r="I78" s="372"/>
      <c r="J78" s="372"/>
      <c r="K78" s="372"/>
      <c r="L78" s="371"/>
      <c r="M78" s="371"/>
    </row>
    <row r="79" spans="1:31" x14ac:dyDescent="0.25">
      <c r="A79" s="371"/>
      <c r="B79" s="370">
        <v>42489</v>
      </c>
      <c r="C79" s="371">
        <v>50</v>
      </c>
      <c r="D79" s="372">
        <v>45.91</v>
      </c>
      <c r="E79" s="372">
        <v>0</v>
      </c>
      <c r="F79" s="372">
        <f t="shared" si="9"/>
        <v>2295.5</v>
      </c>
      <c r="G79" s="371"/>
      <c r="H79" s="371"/>
      <c r="I79" s="372"/>
      <c r="J79" s="372"/>
      <c r="K79" s="372"/>
      <c r="L79" s="371"/>
      <c r="M79" s="371"/>
    </row>
    <row r="80" spans="1:31" x14ac:dyDescent="0.25">
      <c r="A80" s="371"/>
      <c r="B80" s="370">
        <v>42495</v>
      </c>
      <c r="C80" s="371">
        <v>25</v>
      </c>
      <c r="D80" s="372">
        <v>45</v>
      </c>
      <c r="E80" s="372">
        <v>0</v>
      </c>
      <c r="F80" s="372">
        <f t="shared" si="9"/>
        <v>1125</v>
      </c>
      <c r="G80" s="370">
        <v>42557</v>
      </c>
      <c r="H80" s="371">
        <v>150</v>
      </c>
      <c r="I80" s="372">
        <v>39.28</v>
      </c>
      <c r="J80" s="372">
        <v>0.13</v>
      </c>
      <c r="K80" s="372">
        <f t="shared" ref="K80:K85" si="10">I80*H80-J80</f>
        <v>5891.87</v>
      </c>
      <c r="L80" s="371"/>
      <c r="M80" s="371"/>
    </row>
    <row r="81" spans="1:13" x14ac:dyDescent="0.25">
      <c r="A81" s="371"/>
      <c r="B81" s="370">
        <v>42502</v>
      </c>
      <c r="C81" s="371">
        <v>25</v>
      </c>
      <c r="D81" s="372">
        <v>44.09</v>
      </c>
      <c r="E81" s="372">
        <v>0</v>
      </c>
      <c r="F81" s="372">
        <f t="shared" si="9"/>
        <v>1102.25</v>
      </c>
      <c r="G81" s="370">
        <v>42562</v>
      </c>
      <c r="H81" s="371">
        <v>50</v>
      </c>
      <c r="I81" s="372">
        <v>42.68</v>
      </c>
      <c r="J81" s="372">
        <v>0.05</v>
      </c>
      <c r="K81" s="372">
        <f t="shared" si="10"/>
        <v>2133.9499999999998</v>
      </c>
      <c r="L81" s="371"/>
      <c r="M81" s="371"/>
    </row>
    <row r="82" spans="1:13" x14ac:dyDescent="0.25">
      <c r="A82" s="371"/>
      <c r="B82" s="370">
        <v>42535</v>
      </c>
      <c r="C82" s="371">
        <v>40</v>
      </c>
      <c r="D82" s="372">
        <v>43.19</v>
      </c>
      <c r="E82" s="372">
        <v>0</v>
      </c>
      <c r="F82" s="372">
        <f t="shared" si="9"/>
        <v>1727.6</v>
      </c>
      <c r="G82" s="370">
        <v>42566</v>
      </c>
      <c r="H82" s="371">
        <v>40</v>
      </c>
      <c r="I82" s="372">
        <v>47.51</v>
      </c>
      <c r="J82" s="372">
        <v>0.04</v>
      </c>
      <c r="K82" s="372">
        <f t="shared" si="10"/>
        <v>1900.36</v>
      </c>
      <c r="L82" s="371"/>
      <c r="M82" s="371"/>
    </row>
    <row r="83" spans="1:13" x14ac:dyDescent="0.25">
      <c r="A83" s="371"/>
      <c r="B83" s="370">
        <v>42545</v>
      </c>
      <c r="C83" s="371">
        <v>100</v>
      </c>
      <c r="D83" s="372">
        <v>42.28</v>
      </c>
      <c r="E83" s="372">
        <v>0</v>
      </c>
      <c r="F83" s="372">
        <f t="shared" si="9"/>
        <v>4228</v>
      </c>
      <c r="G83" s="370">
        <v>42587</v>
      </c>
      <c r="H83" s="371">
        <v>210</v>
      </c>
      <c r="I83" s="372">
        <v>47.58</v>
      </c>
      <c r="J83" s="372">
        <v>0.22</v>
      </c>
      <c r="K83" s="372">
        <f t="shared" si="10"/>
        <v>9991.58</v>
      </c>
      <c r="L83" s="371"/>
      <c r="M83" s="371"/>
    </row>
    <row r="84" spans="1:13" x14ac:dyDescent="0.25">
      <c r="A84" s="371"/>
      <c r="B84" s="370">
        <v>42545</v>
      </c>
      <c r="C84" s="371">
        <v>110</v>
      </c>
      <c r="D84" s="372">
        <v>41.12</v>
      </c>
      <c r="E84" s="372">
        <v>0</v>
      </c>
      <c r="F84" s="372">
        <f t="shared" si="9"/>
        <v>4523.2</v>
      </c>
      <c r="G84" s="370">
        <v>42593</v>
      </c>
      <c r="H84" s="371">
        <v>50</v>
      </c>
      <c r="I84" s="372">
        <v>47.35</v>
      </c>
      <c r="J84" s="372">
        <v>0.05</v>
      </c>
      <c r="K84" s="372">
        <f t="shared" si="10"/>
        <v>2367.4499999999998</v>
      </c>
      <c r="L84" s="371"/>
      <c r="M84" s="371"/>
    </row>
    <row r="85" spans="1:13" x14ac:dyDescent="0.25">
      <c r="A85" s="371"/>
      <c r="B85" s="370">
        <v>42557</v>
      </c>
      <c r="C85" s="371">
        <v>150</v>
      </c>
      <c r="D85" s="372">
        <v>38.08</v>
      </c>
      <c r="E85" s="372">
        <v>0</v>
      </c>
      <c r="F85" s="372">
        <f t="shared" si="9"/>
        <v>5712</v>
      </c>
      <c r="G85" s="370">
        <v>42597</v>
      </c>
      <c r="H85" s="371">
        <v>100</v>
      </c>
      <c r="I85" s="372">
        <v>47.89</v>
      </c>
      <c r="J85" s="372">
        <v>0.1</v>
      </c>
      <c r="K85" s="372">
        <f t="shared" si="10"/>
        <v>4788.8999999999996</v>
      </c>
      <c r="L85" s="371"/>
      <c r="M85" s="371"/>
    </row>
    <row r="86" spans="1:13" x14ac:dyDescent="0.25">
      <c r="A86" s="371"/>
      <c r="B86" s="370"/>
      <c r="C86" s="371"/>
      <c r="D86" s="372"/>
      <c r="E86" s="372"/>
      <c r="F86" s="372"/>
      <c r="G86" s="371"/>
      <c r="H86" s="371"/>
      <c r="I86" s="372"/>
      <c r="J86" s="372"/>
      <c r="K86" s="372"/>
      <c r="L86" s="371"/>
      <c r="M86" s="371"/>
    </row>
    <row r="87" spans="1:13" x14ac:dyDescent="0.25">
      <c r="A87" s="371"/>
      <c r="B87" s="371"/>
      <c r="C87" s="371"/>
      <c r="D87" s="372"/>
      <c r="E87" s="372"/>
      <c r="F87" s="372"/>
      <c r="G87" s="371"/>
      <c r="H87" s="371"/>
      <c r="I87" s="372"/>
      <c r="J87" s="372"/>
      <c r="K87" s="372"/>
      <c r="L87" s="371"/>
      <c r="M87" s="371"/>
    </row>
    <row r="88" spans="1:13" x14ac:dyDescent="0.25">
      <c r="A88" s="371"/>
      <c r="B88" s="371"/>
      <c r="C88" s="371"/>
      <c r="D88" s="372"/>
      <c r="E88" s="372"/>
      <c r="F88" s="372"/>
      <c r="G88" s="371"/>
      <c r="H88" s="371"/>
      <c r="I88" s="372"/>
      <c r="J88" s="372"/>
      <c r="K88" s="372"/>
      <c r="L88" s="371"/>
      <c r="M88" s="371"/>
    </row>
    <row r="89" spans="1:13" x14ac:dyDescent="0.25">
      <c r="A89" s="371"/>
      <c r="B89" s="371"/>
      <c r="C89" s="371"/>
      <c r="D89" s="372"/>
      <c r="E89" s="372"/>
      <c r="F89" s="372"/>
      <c r="G89" s="371"/>
      <c r="H89" s="371"/>
      <c r="I89" s="372"/>
      <c r="J89" s="372"/>
      <c r="K89" s="372"/>
      <c r="L89" s="371"/>
      <c r="M89" s="371"/>
    </row>
    <row r="90" spans="1:13" x14ac:dyDescent="0.25">
      <c r="A90" s="371"/>
      <c r="B90" s="371"/>
      <c r="C90" s="371"/>
      <c r="D90" s="372"/>
      <c r="E90" s="372"/>
      <c r="F90" s="372"/>
      <c r="G90" s="371"/>
      <c r="H90" s="371"/>
      <c r="I90" s="372"/>
      <c r="J90" s="372"/>
      <c r="K90" s="372"/>
      <c r="L90" s="371"/>
      <c r="M90" s="371"/>
    </row>
    <row r="91" spans="1:13" x14ac:dyDescent="0.25">
      <c r="A91" s="371"/>
      <c r="B91" s="371"/>
      <c r="C91" s="371"/>
      <c r="D91" s="372"/>
      <c r="E91" s="372"/>
      <c r="F91" s="372"/>
      <c r="G91" s="371"/>
      <c r="H91" s="371"/>
      <c r="I91" s="372"/>
      <c r="J91" s="372"/>
      <c r="K91" s="372"/>
      <c r="L91" s="371"/>
      <c r="M91" s="371"/>
    </row>
    <row r="92" spans="1:13" x14ac:dyDescent="0.25">
      <c r="A92" s="371"/>
      <c r="B92" s="371"/>
      <c r="C92" s="371"/>
      <c r="D92" s="372"/>
      <c r="E92" s="372"/>
      <c r="F92" s="372"/>
      <c r="G92" s="371"/>
      <c r="H92" s="371"/>
      <c r="I92" s="372"/>
      <c r="J92" s="372"/>
      <c r="K92" s="372"/>
      <c r="L92" s="371"/>
      <c r="M92" s="371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55" t="s">
        <v>194</v>
      </c>
      <c r="B94" s="456"/>
      <c r="C94" s="457">
        <f>SumByColor($A$19,C77:C92)</f>
        <v>0</v>
      </c>
      <c r="D94" s="457"/>
      <c r="E94" s="457"/>
      <c r="F94" s="458">
        <f>SumByColor($A$19,F77:F92)</f>
        <v>0</v>
      </c>
      <c r="G94" s="457"/>
      <c r="H94" s="457">
        <f>SumByColor($A$19,H78:H92)</f>
        <v>0</v>
      </c>
      <c r="I94" s="457"/>
      <c r="J94" s="457"/>
      <c r="K94" s="458">
        <f>SumByColor($A$19,K78:K92)</f>
        <v>0</v>
      </c>
      <c r="L94" s="457"/>
      <c r="M94" s="458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45" priority="15">
      <formula>F29&gt;0</formula>
    </cfRule>
    <cfRule type="expression" dxfId="344" priority="16">
      <formula>F29&lt;0</formula>
    </cfRule>
  </conditionalFormatting>
  <conditionalFormatting sqref="F34:F62">
    <cfRule type="expression" dxfId="343" priority="11">
      <formula>F34&gt;0</formula>
    </cfRule>
    <cfRule type="expression" dxfId="342" priority="12">
      <formula>F34&lt;0</formula>
    </cfRule>
  </conditionalFormatting>
  <conditionalFormatting sqref="F34:F62">
    <cfRule type="expression" dxfId="341" priority="13">
      <formula>F34&gt;0</formula>
    </cfRule>
    <cfRule type="expression" dxfId="340" priority="14">
      <formula>F34&lt;0</formula>
    </cfRule>
  </conditionalFormatting>
  <conditionalFormatting sqref="H29:H62">
    <cfRule type="expression" dxfId="339" priority="9">
      <formula>H29&gt;0</formula>
    </cfRule>
    <cfRule type="expression" dxfId="338" priority="10">
      <formula>H29&lt;0</formula>
    </cfRule>
  </conditionalFormatting>
  <conditionalFormatting sqref="F25:F28">
    <cfRule type="expression" dxfId="337" priority="7">
      <formula>F25&gt;0</formula>
    </cfRule>
    <cfRule type="expression" dxfId="336" priority="8">
      <formula>F25&lt;0</formula>
    </cfRule>
  </conditionalFormatting>
  <conditionalFormatting sqref="H25:H28">
    <cfRule type="expression" dxfId="335" priority="5">
      <formula>H25&gt;0</formula>
    </cfRule>
    <cfRule type="expression" dxfId="334" priority="6">
      <formula>H25&lt;0</formula>
    </cfRule>
  </conditionalFormatting>
  <conditionalFormatting sqref="Q7">
    <cfRule type="expression" dxfId="333" priority="3">
      <formula>Q7&gt;0</formula>
    </cfRule>
    <cfRule type="expression" dxfId="332" priority="4">
      <formula>Q7&lt;0</formula>
    </cfRule>
  </conditionalFormatting>
  <conditionalFormatting sqref="Q8">
    <cfRule type="expression" dxfId="331" priority="1">
      <formula>Q8&gt;0</formula>
    </cfRule>
    <cfRule type="expression" dxfId="330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199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66.72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66.72</v>
      </c>
      <c r="R4" s="506">
        <v>1.4E-3</v>
      </c>
      <c r="T4" s="159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80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228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209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70" t="s">
        <v>113</v>
      </c>
      <c r="C24" s="371" t="s">
        <v>146</v>
      </c>
      <c r="D24" s="372" t="s">
        <v>145</v>
      </c>
      <c r="E24" s="372" t="s">
        <v>147</v>
      </c>
      <c r="F24" s="372" t="s">
        <v>65</v>
      </c>
      <c r="G24" s="372" t="s">
        <v>151</v>
      </c>
      <c r="H24" s="373" t="s">
        <v>88</v>
      </c>
      <c r="I24" s="372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8"/>
      <c r="C31" s="10"/>
      <c r="D31" s="39"/>
      <c r="E31" s="39"/>
      <c r="F31" s="39"/>
      <c r="G31" s="39"/>
      <c r="H31" s="226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8"/>
      <c r="C32" s="10"/>
      <c r="D32" s="39"/>
      <c r="E32" s="39"/>
      <c r="F32" s="39"/>
      <c r="G32" s="39"/>
      <c r="H32" s="226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8"/>
      <c r="C33" s="10"/>
      <c r="D33" s="39"/>
      <c r="E33" s="39"/>
      <c r="F33" s="39"/>
      <c r="G33" s="39"/>
      <c r="H33" s="226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8"/>
      <c r="C34" s="10"/>
      <c r="D34" s="39"/>
      <c r="E34" s="39"/>
      <c r="F34" s="39"/>
      <c r="G34" s="39"/>
      <c r="H34" s="226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8"/>
      <c r="C35" s="10"/>
      <c r="D35" s="39"/>
      <c r="E35" s="39"/>
      <c r="F35" s="39"/>
      <c r="G35" s="39"/>
      <c r="H35" s="226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8"/>
      <c r="C36" s="10"/>
      <c r="D36" s="39"/>
      <c r="E36" s="39"/>
      <c r="F36" s="39"/>
      <c r="G36" s="39"/>
      <c r="H36" s="226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8"/>
      <c r="C40" s="10"/>
      <c r="D40" s="39"/>
      <c r="E40" s="39"/>
      <c r="F40" s="39"/>
      <c r="G40" s="39"/>
      <c r="H40" s="226"/>
      <c r="I40" s="39"/>
      <c r="O40" s="804" t="s">
        <v>78</v>
      </c>
      <c r="P40" s="804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8"/>
      <c r="C41" s="10"/>
      <c r="D41" s="39"/>
      <c r="E41" s="39"/>
      <c r="F41" s="39"/>
      <c r="G41" s="39"/>
      <c r="H41" s="226"/>
      <c r="I41" s="39"/>
      <c r="O41" s="81">
        <v>1.1000000000000001</v>
      </c>
      <c r="P41" s="81">
        <f>O41*$Q$4</f>
        <v>73.39200000000001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1">
        <v>1.0900000000000001</v>
      </c>
      <c r="P42" s="81">
        <f t="shared" ref="P42:P61" si="2">O42*$Q$4</f>
        <v>72.724800000000002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1.08</v>
      </c>
      <c r="P43" s="81">
        <f t="shared" si="2"/>
        <v>72.057600000000008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1.07</v>
      </c>
      <c r="P44" s="81">
        <f t="shared" si="2"/>
        <v>71.3904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1.06</v>
      </c>
      <c r="P45" s="81">
        <f t="shared" si="2"/>
        <v>70.723200000000006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1.05</v>
      </c>
      <c r="P46" s="81">
        <f t="shared" si="2"/>
        <v>70.055999999999997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1.04</v>
      </c>
      <c r="P47" s="81">
        <f t="shared" si="2"/>
        <v>69.388800000000003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8"/>
      <c r="C48" s="10"/>
      <c r="D48" s="39"/>
      <c r="E48" s="39"/>
      <c r="F48" s="39"/>
      <c r="G48" s="39"/>
      <c r="H48" s="226"/>
      <c r="I48" s="39"/>
      <c r="O48" s="81">
        <v>1.03</v>
      </c>
      <c r="P48" s="81">
        <f t="shared" si="2"/>
        <v>68.721599999999995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8"/>
      <c r="C49" s="10"/>
      <c r="D49" s="39"/>
      <c r="E49" s="39"/>
      <c r="F49" s="39"/>
      <c r="G49" s="39"/>
      <c r="H49" s="226"/>
      <c r="I49" s="39"/>
      <c r="O49" s="81">
        <v>1.02</v>
      </c>
      <c r="P49" s="81">
        <f t="shared" si="2"/>
        <v>68.054400000000001</v>
      </c>
      <c r="Q49" s="2"/>
      <c r="T49" s="91" t="s">
        <v>103</v>
      </c>
      <c r="U49" s="86" t="s">
        <v>680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8"/>
      <c r="C50" s="10"/>
      <c r="D50" s="39"/>
      <c r="E50" s="39"/>
      <c r="F50" s="39"/>
      <c r="G50" s="39"/>
      <c r="H50" s="226"/>
      <c r="I50" s="39"/>
      <c r="O50" s="81">
        <v>1.01</v>
      </c>
      <c r="P50" s="81">
        <f t="shared" si="2"/>
        <v>67.387199999999993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</v>
      </c>
      <c r="P51" s="81">
        <f t="shared" si="2"/>
        <v>66.72</v>
      </c>
      <c r="Q51" s="2"/>
      <c r="T51" s="91" t="s">
        <v>104</v>
      </c>
      <c r="U51" s="86" t="s">
        <v>681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0.99</v>
      </c>
      <c r="P52" s="81">
        <f t="shared" si="2"/>
        <v>66.052800000000005</v>
      </c>
      <c r="Q52" s="2"/>
      <c r="T52" s="91" t="s">
        <v>105</v>
      </c>
      <c r="U52" s="86" t="s">
        <v>335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0.98</v>
      </c>
      <c r="P53" s="81">
        <f t="shared" si="2"/>
        <v>65.385599999999997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0.97</v>
      </c>
      <c r="P54" s="81">
        <f t="shared" si="2"/>
        <v>64.718400000000003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8"/>
      <c r="C55" s="10"/>
      <c r="D55" s="39"/>
      <c r="E55" s="39"/>
      <c r="F55" s="39"/>
      <c r="G55" s="39"/>
      <c r="H55" s="226"/>
      <c r="I55" s="39"/>
      <c r="O55" s="81">
        <v>0.96</v>
      </c>
      <c r="P55" s="81">
        <f t="shared" si="2"/>
        <v>64.051199999999994</v>
      </c>
      <c r="T55" s="91" t="s">
        <v>107</v>
      </c>
      <c r="U55" s="86" t="s">
        <v>682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0.95</v>
      </c>
      <c r="P56" s="81">
        <f t="shared" si="2"/>
        <v>63.383999999999993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0.94</v>
      </c>
      <c r="P57" s="81">
        <f t="shared" si="2"/>
        <v>62.716799999999992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0.93</v>
      </c>
      <c r="P58" s="81">
        <f t="shared" si="2"/>
        <v>62.049600000000005</v>
      </c>
      <c r="T58" s="91" t="s">
        <v>108</v>
      </c>
      <c r="U58" s="86" t="s">
        <v>575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0.92</v>
      </c>
      <c r="P59" s="81">
        <f t="shared" si="2"/>
        <v>61.382400000000004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0.91</v>
      </c>
      <c r="P60" s="81">
        <f t="shared" si="2"/>
        <v>60.715200000000003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</v>
      </c>
      <c r="P61" s="81">
        <f t="shared" si="2"/>
        <v>60.048000000000002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77" t="s">
        <v>1</v>
      </c>
      <c r="B68" s="377" t="s">
        <v>2</v>
      </c>
      <c r="C68" s="377" t="s">
        <v>4</v>
      </c>
      <c r="D68" s="379" t="s">
        <v>5</v>
      </c>
      <c r="E68" s="379" t="s">
        <v>94</v>
      </c>
      <c r="F68" s="379" t="s">
        <v>60</v>
      </c>
      <c r="G68" s="377" t="s">
        <v>3</v>
      </c>
      <c r="H68" s="377" t="s">
        <v>6</v>
      </c>
      <c r="I68" s="379" t="s">
        <v>7</v>
      </c>
      <c r="J68" s="379" t="s">
        <v>95</v>
      </c>
      <c r="K68" s="379" t="s">
        <v>61</v>
      </c>
      <c r="L68" s="377" t="s">
        <v>37</v>
      </c>
      <c r="M68" s="377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80" t="s">
        <v>52</v>
      </c>
      <c r="B69" s="370">
        <v>42488</v>
      </c>
      <c r="C69" s="371">
        <v>30</v>
      </c>
      <c r="D69" s="372">
        <v>79.349999999999994</v>
      </c>
      <c r="E69" s="372">
        <v>0</v>
      </c>
      <c r="F69" s="372">
        <f>D69*C69+E69</f>
        <v>2380.5</v>
      </c>
      <c r="G69" s="370">
        <v>42521</v>
      </c>
      <c r="H69" s="375">
        <v>25</v>
      </c>
      <c r="I69" s="372">
        <v>79.05</v>
      </c>
      <c r="J69" s="372">
        <v>0.04</v>
      </c>
      <c r="K69" s="372">
        <f>I69*H69-J69</f>
        <v>1976.21</v>
      </c>
      <c r="L69" s="370">
        <v>42566</v>
      </c>
      <c r="M69" s="372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81" t="s">
        <v>71</v>
      </c>
      <c r="B70" s="370">
        <v>42495</v>
      </c>
      <c r="C70" s="371">
        <v>20</v>
      </c>
      <c r="D70" s="372">
        <v>76.25</v>
      </c>
      <c r="E70" s="372">
        <v>0</v>
      </c>
      <c r="F70" s="372">
        <f>D70*C70+E70</f>
        <v>1525</v>
      </c>
      <c r="G70" s="370">
        <v>42552</v>
      </c>
      <c r="H70" s="375">
        <v>25</v>
      </c>
      <c r="I70" s="372">
        <v>78.28</v>
      </c>
      <c r="J70" s="372">
        <v>0.04</v>
      </c>
      <c r="K70" s="372">
        <f>I70*H70-J70</f>
        <v>1956.96</v>
      </c>
      <c r="L70" s="371"/>
      <c r="M70" s="371"/>
    </row>
    <row r="71" spans="1:31" x14ac:dyDescent="0.25">
      <c r="A71" s="371"/>
      <c r="B71" s="370">
        <v>42537</v>
      </c>
      <c r="C71" s="371">
        <v>25</v>
      </c>
      <c r="D71" s="372">
        <v>75.88</v>
      </c>
      <c r="E71" s="372">
        <v>0</v>
      </c>
      <c r="F71" s="372">
        <f>D71*C71+E71</f>
        <v>1897</v>
      </c>
      <c r="G71" s="370">
        <v>42577</v>
      </c>
      <c r="H71" s="375">
        <v>10</v>
      </c>
      <c r="I71" s="372">
        <v>83.3</v>
      </c>
      <c r="J71" s="372">
        <v>0.02</v>
      </c>
      <c r="K71" s="372">
        <f>I71*H71-J71</f>
        <v>832.98</v>
      </c>
      <c r="L71" s="371"/>
      <c r="M71" s="371"/>
    </row>
    <row r="72" spans="1:31" x14ac:dyDescent="0.25">
      <c r="A72" s="371"/>
      <c r="B72" s="370">
        <v>42548</v>
      </c>
      <c r="C72" s="371">
        <v>25</v>
      </c>
      <c r="D72" s="372">
        <v>73.58</v>
      </c>
      <c r="E72" s="372">
        <v>0</v>
      </c>
      <c r="F72" s="372">
        <f>D72*C72+E72</f>
        <v>1839.5</v>
      </c>
      <c r="G72" s="370">
        <v>42580</v>
      </c>
      <c r="H72" s="375">
        <v>40</v>
      </c>
      <c r="I72" s="372">
        <v>83.33</v>
      </c>
      <c r="J72" s="372">
        <v>7.0000000000000007E-2</v>
      </c>
      <c r="K72" s="372">
        <f>I72*H72-J72</f>
        <v>3333.1299999999997</v>
      </c>
      <c r="L72" s="371"/>
      <c r="M72" s="371"/>
    </row>
    <row r="73" spans="1:31" x14ac:dyDescent="0.25">
      <c r="A73" s="371"/>
      <c r="B73" s="370">
        <v>42608</v>
      </c>
      <c r="C73" s="371">
        <v>25</v>
      </c>
      <c r="D73" s="372">
        <v>79.02</v>
      </c>
      <c r="E73" s="372">
        <v>0</v>
      </c>
      <c r="F73" s="372">
        <f t="shared" ref="F73:F79" si="3">C73*D73+E73</f>
        <v>1975.5</v>
      </c>
      <c r="G73" s="370">
        <v>42674</v>
      </c>
      <c r="H73" s="375">
        <v>25</v>
      </c>
      <c r="I73" s="372">
        <v>70.900000000000006</v>
      </c>
      <c r="J73" s="372">
        <v>0.04</v>
      </c>
      <c r="K73" s="372">
        <f>H73*I73-J73</f>
        <v>1772.4600000000003</v>
      </c>
      <c r="L73" s="370">
        <v>42660</v>
      </c>
      <c r="M73" s="372">
        <v>22.45</v>
      </c>
    </row>
    <row r="74" spans="1:31" x14ac:dyDescent="0.25">
      <c r="A74" s="371"/>
      <c r="B74" s="370">
        <v>42627</v>
      </c>
      <c r="C74" s="371">
        <v>25</v>
      </c>
      <c r="D74" s="372">
        <v>76.3</v>
      </c>
      <c r="E74" s="372">
        <v>0</v>
      </c>
      <c r="F74" s="372">
        <f t="shared" si="3"/>
        <v>1907.5</v>
      </c>
      <c r="G74" s="370">
        <v>42711</v>
      </c>
      <c r="H74" s="375">
        <v>25</v>
      </c>
      <c r="I74" s="372">
        <v>69.680000000000007</v>
      </c>
      <c r="J74" s="372">
        <v>0.04</v>
      </c>
      <c r="K74" s="372">
        <f>H74*I74-J74</f>
        <v>1741.9600000000003</v>
      </c>
      <c r="L74" s="370">
        <v>42753</v>
      </c>
      <c r="M74" s="372">
        <v>22.45</v>
      </c>
    </row>
    <row r="75" spans="1:31" x14ac:dyDescent="0.25">
      <c r="A75" s="371"/>
      <c r="B75" s="370">
        <v>42668</v>
      </c>
      <c r="C75" s="371">
        <v>25</v>
      </c>
      <c r="D75" s="372">
        <v>74.38</v>
      </c>
      <c r="E75" s="372">
        <v>0</v>
      </c>
      <c r="F75" s="372">
        <f t="shared" si="3"/>
        <v>1859.5</v>
      </c>
      <c r="G75" s="370">
        <v>42713</v>
      </c>
      <c r="H75" s="375">
        <v>50</v>
      </c>
      <c r="I75" s="372">
        <v>72.58</v>
      </c>
      <c r="J75" s="372">
        <v>0.08</v>
      </c>
      <c r="K75" s="372">
        <f>H75*I75-J75</f>
        <v>3628.92</v>
      </c>
      <c r="L75" s="371"/>
      <c r="M75" s="371"/>
    </row>
    <row r="76" spans="1:31" x14ac:dyDescent="0.25">
      <c r="A76" s="371"/>
      <c r="B76" s="370">
        <v>42671</v>
      </c>
      <c r="C76" s="371">
        <v>25</v>
      </c>
      <c r="D76" s="372">
        <v>64.7</v>
      </c>
      <c r="E76" s="372">
        <v>0</v>
      </c>
      <c r="F76" s="372">
        <f t="shared" si="3"/>
        <v>1617.5</v>
      </c>
      <c r="G76" s="370">
        <v>42713</v>
      </c>
      <c r="H76" s="375">
        <v>25</v>
      </c>
      <c r="I76" s="372">
        <v>73.25</v>
      </c>
      <c r="J76" s="372">
        <v>0.04</v>
      </c>
      <c r="K76" s="372">
        <f>H76*I76-J76</f>
        <v>1831.21</v>
      </c>
      <c r="L76" s="371"/>
      <c r="M76" s="371"/>
    </row>
    <row r="77" spans="1:31" x14ac:dyDescent="0.25">
      <c r="A77" s="371"/>
      <c r="B77" s="370">
        <v>42674</v>
      </c>
      <c r="C77" s="371">
        <v>25</v>
      </c>
      <c r="D77" s="372">
        <v>69.680000000000007</v>
      </c>
      <c r="E77" s="372">
        <v>0</v>
      </c>
      <c r="F77" s="372">
        <f t="shared" si="3"/>
        <v>1742.0000000000002</v>
      </c>
      <c r="G77" s="370">
        <v>42752</v>
      </c>
      <c r="H77" s="375">
        <v>50</v>
      </c>
      <c r="I77" s="372">
        <v>75.69</v>
      </c>
      <c r="J77" s="372">
        <v>0.33</v>
      </c>
      <c r="K77" s="372">
        <f>H77*I77-J77</f>
        <v>3784.17</v>
      </c>
      <c r="L77" s="371"/>
      <c r="M77" s="371"/>
    </row>
    <row r="78" spans="1:31" x14ac:dyDescent="0.25">
      <c r="A78" s="371"/>
      <c r="B78" s="370">
        <v>42711</v>
      </c>
      <c r="C78" s="371">
        <v>25</v>
      </c>
      <c r="D78" s="372">
        <v>68.8</v>
      </c>
      <c r="E78" s="372">
        <v>0</v>
      </c>
      <c r="F78" s="372">
        <f t="shared" si="3"/>
        <v>1720</v>
      </c>
      <c r="G78" s="371"/>
      <c r="H78" s="375"/>
      <c r="I78" s="372"/>
      <c r="J78" s="372"/>
      <c r="K78" s="372"/>
      <c r="L78" s="371"/>
      <c r="M78" s="371"/>
    </row>
    <row r="79" spans="1:31" x14ac:dyDescent="0.25">
      <c r="A79" s="371"/>
      <c r="B79" s="370">
        <v>42718</v>
      </c>
      <c r="C79" s="371">
        <v>25</v>
      </c>
      <c r="D79" s="372">
        <v>72.48</v>
      </c>
      <c r="E79" s="372">
        <v>0</v>
      </c>
      <c r="F79" s="372">
        <f t="shared" si="3"/>
        <v>1812</v>
      </c>
      <c r="G79" s="371"/>
      <c r="H79" s="375"/>
      <c r="I79" s="372"/>
      <c r="J79" s="372"/>
      <c r="K79" s="372"/>
      <c r="L79" s="371"/>
      <c r="M79" s="371"/>
    </row>
    <row r="80" spans="1:31" x14ac:dyDescent="0.25">
      <c r="A80" s="371"/>
      <c r="B80" s="445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45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71"/>
      <c r="M80" s="371"/>
    </row>
    <row r="81" spans="1:13" x14ac:dyDescent="0.25">
      <c r="A81" s="371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71"/>
    </row>
    <row r="82" spans="1:13" x14ac:dyDescent="0.25">
      <c r="A82" s="371"/>
      <c r="B82" s="371"/>
      <c r="C82" s="371"/>
      <c r="D82" s="372"/>
      <c r="E82" s="372"/>
      <c r="F82" s="372"/>
      <c r="G82" s="371"/>
      <c r="H82" s="375"/>
      <c r="I82" s="372"/>
      <c r="J82" s="372"/>
      <c r="K82" s="372"/>
      <c r="L82" s="371"/>
      <c r="M82" s="371"/>
    </row>
    <row r="83" spans="1:13" x14ac:dyDescent="0.25">
      <c r="A83" s="371"/>
      <c r="B83" s="371"/>
      <c r="C83" s="371"/>
      <c r="D83" s="372"/>
      <c r="E83" s="372"/>
      <c r="F83" s="372"/>
      <c r="G83" s="371"/>
      <c r="H83" s="375"/>
      <c r="I83" s="372"/>
      <c r="J83" s="372"/>
      <c r="K83" s="372"/>
      <c r="L83" s="371"/>
      <c r="M83" s="371"/>
    </row>
    <row r="84" spans="1:13" x14ac:dyDescent="0.25">
      <c r="A84" s="371"/>
      <c r="B84" s="371"/>
      <c r="C84" s="371"/>
      <c r="D84" s="372"/>
      <c r="E84" s="372"/>
      <c r="F84" s="372"/>
      <c r="G84" s="371"/>
      <c r="H84" s="375"/>
      <c r="I84" s="372"/>
      <c r="J84" s="372"/>
      <c r="K84" s="372"/>
      <c r="L84" s="371"/>
      <c r="M84" s="371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55" t="s">
        <v>194</v>
      </c>
      <c r="B86" s="456"/>
      <c r="C86" s="457">
        <f>SumByColor($A$19,C69:C84)</f>
        <v>25</v>
      </c>
      <c r="D86" s="457"/>
      <c r="E86" s="457"/>
      <c r="F86" s="458">
        <f>SumByColor($A$19,F69:F84)</f>
        <v>1793</v>
      </c>
      <c r="G86" s="457"/>
      <c r="H86" s="457">
        <f>SumByColor($A$19,H69:H84)</f>
        <v>25</v>
      </c>
      <c r="I86" s="457"/>
      <c r="J86" s="457"/>
      <c r="K86" s="458">
        <f>SumByColor($A$19,K69:K84)</f>
        <v>1944</v>
      </c>
      <c r="L86" s="457"/>
      <c r="M86" s="458">
        <f>SumByColor($A$19,M69:M84)</f>
        <v>0</v>
      </c>
    </row>
    <row r="92" spans="1:13" x14ac:dyDescent="0.25">
      <c r="B92" s="370" t="s">
        <v>113</v>
      </c>
      <c r="C92" s="371" t="s">
        <v>146</v>
      </c>
      <c r="D92" s="372" t="s">
        <v>145</v>
      </c>
      <c r="E92" s="372" t="s">
        <v>147</v>
      </c>
      <c r="F92" s="372" t="s">
        <v>65</v>
      </c>
      <c r="G92" s="372" t="s">
        <v>151</v>
      </c>
      <c r="H92" s="373" t="s">
        <v>88</v>
      </c>
      <c r="I92" s="372" t="s">
        <v>154</v>
      </c>
    </row>
    <row r="93" spans="1:13" x14ac:dyDescent="0.25">
      <c r="A93" s="511" t="s">
        <v>344</v>
      </c>
      <c r="B93" s="510">
        <v>42754</v>
      </c>
      <c r="C93" s="511">
        <v>25</v>
      </c>
      <c r="D93" s="512">
        <v>71.73</v>
      </c>
      <c r="E93" s="513">
        <v>75.55</v>
      </c>
      <c r="F93" s="513">
        <f>C93*(E93-D93)</f>
        <v>95.499999999999829</v>
      </c>
      <c r="G93" s="513">
        <f>D93*C93</f>
        <v>1793.25</v>
      </c>
      <c r="H93" s="555">
        <f>(E93-D93)/D93</f>
        <v>5.3255262791021787E-2</v>
      </c>
      <c r="I93" s="513">
        <v>70</v>
      </c>
    </row>
    <row r="94" spans="1:13" x14ac:dyDescent="0.25">
      <c r="A94" s="511" t="s">
        <v>375</v>
      </c>
      <c r="B94" s="510">
        <v>42761</v>
      </c>
      <c r="C94" s="511">
        <v>50</v>
      </c>
      <c r="D94" s="512">
        <v>72.155000000000001</v>
      </c>
      <c r="E94" s="513">
        <v>73.09</v>
      </c>
      <c r="F94" s="513">
        <f>C94*(E94-D94)</f>
        <v>46.750000000000114</v>
      </c>
      <c r="G94" s="513">
        <f>D94*C94</f>
        <v>3607.75</v>
      </c>
      <c r="H94" s="555">
        <f>(E94-D94)/D94</f>
        <v>1.2958214953918679E-2</v>
      </c>
      <c r="I94" s="513">
        <v>71</v>
      </c>
    </row>
    <row r="95" spans="1:13" x14ac:dyDescent="0.25">
      <c r="A95" s="511" t="s">
        <v>410</v>
      </c>
      <c r="B95" s="510">
        <v>42771</v>
      </c>
      <c r="C95" s="511">
        <v>50</v>
      </c>
      <c r="D95" s="512">
        <v>72.155000000000001</v>
      </c>
      <c r="E95" s="513">
        <v>74.87</v>
      </c>
      <c r="F95" s="513">
        <f>C95*(E95-D95)</f>
        <v>135.75000000000017</v>
      </c>
      <c r="G95" s="513">
        <f>D95*C95</f>
        <v>3607.75</v>
      </c>
      <c r="H95" s="555">
        <f>(E95-D95)/D95</f>
        <v>3.7627330053357402E-2</v>
      </c>
      <c r="I95" s="513"/>
    </row>
    <row r="96" spans="1:13" x14ac:dyDescent="0.25">
      <c r="A96" s="511" t="s">
        <v>415</v>
      </c>
      <c r="B96" s="510">
        <v>42773</v>
      </c>
      <c r="C96" s="511">
        <v>25</v>
      </c>
      <c r="D96" s="512">
        <v>66.531599999999997</v>
      </c>
      <c r="E96" s="513">
        <v>75.87</v>
      </c>
      <c r="F96" s="513">
        <f>C96*(E96-D96)</f>
        <v>233.46000000000018</v>
      </c>
      <c r="G96" s="513">
        <f>D96*C96</f>
        <v>1663.29</v>
      </c>
      <c r="H96" s="555">
        <f>(E96-D96)/D96</f>
        <v>0.14036037010984265</v>
      </c>
      <c r="I96" s="513"/>
    </row>
    <row r="97" spans="1:9" x14ac:dyDescent="0.25">
      <c r="A97" s="649"/>
      <c r="B97" s="650"/>
      <c r="C97" s="649"/>
      <c r="D97" s="651"/>
      <c r="E97" s="651"/>
      <c r="F97" s="651"/>
      <c r="G97" s="651"/>
      <c r="H97" s="652"/>
      <c r="I97" s="651"/>
    </row>
    <row r="98" spans="1:9" x14ac:dyDescent="0.25">
      <c r="A98" s="649" t="s">
        <v>450</v>
      </c>
      <c r="B98" s="650">
        <v>42787</v>
      </c>
      <c r="C98" s="649">
        <v>25</v>
      </c>
      <c r="D98" s="651">
        <v>72.58</v>
      </c>
      <c r="E98" s="651">
        <v>81.34</v>
      </c>
      <c r="F98" s="651">
        <f>C98*(E98-D98)</f>
        <v>219.00000000000011</v>
      </c>
      <c r="G98" s="651">
        <f>D98*C98</f>
        <v>1814.5</v>
      </c>
      <c r="H98" s="652">
        <f>(E98-D98)/D98</f>
        <v>0.12069440617249938</v>
      </c>
      <c r="I98" s="651"/>
    </row>
    <row r="99" spans="1:9" x14ac:dyDescent="0.25">
      <c r="A99" s="649"/>
      <c r="B99" s="650">
        <v>42796</v>
      </c>
      <c r="C99" s="649">
        <v>0</v>
      </c>
      <c r="D99" s="651"/>
      <c r="E99" s="651"/>
      <c r="F99" s="651">
        <v>244.96</v>
      </c>
      <c r="G99" s="651"/>
      <c r="H99" s="652"/>
      <c r="I99" s="651"/>
    </row>
    <row r="100" spans="1:9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9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9" x14ac:dyDescent="0.25">
      <c r="B102" s="188"/>
      <c r="C102" s="10"/>
      <c r="D102" s="39"/>
      <c r="E102" s="39"/>
      <c r="F102" s="39"/>
      <c r="G102" s="39"/>
      <c r="H102" s="226"/>
      <c r="I102" s="39"/>
    </row>
    <row r="103" spans="1:9" x14ac:dyDescent="0.25">
      <c r="B103" s="188"/>
      <c r="C103" s="10"/>
      <c r="D103" s="39"/>
      <c r="E103" s="39"/>
      <c r="F103" s="39"/>
      <c r="G103" s="39"/>
      <c r="H103" s="226"/>
      <c r="I103" s="39"/>
    </row>
    <row r="104" spans="1:9" x14ac:dyDescent="0.25">
      <c r="B104" s="188"/>
      <c r="C104" s="10"/>
      <c r="D104" s="39"/>
      <c r="E104" s="39"/>
      <c r="F104" s="39"/>
      <c r="G104" s="39"/>
      <c r="H104" s="226"/>
      <c r="I104" s="39"/>
    </row>
    <row r="105" spans="1:9" x14ac:dyDescent="0.25">
      <c r="B105" s="188"/>
      <c r="C105" s="10"/>
      <c r="D105" s="39"/>
      <c r="E105" s="39"/>
      <c r="F105" s="39"/>
      <c r="G105" s="39"/>
      <c r="H105" s="226"/>
      <c r="I105" s="39"/>
    </row>
    <row r="106" spans="1:9" x14ac:dyDescent="0.25">
      <c r="B106" s="188"/>
      <c r="C106" s="10"/>
      <c r="D106" s="39"/>
      <c r="E106" s="39"/>
      <c r="F106" s="39"/>
      <c r="G106" s="39"/>
      <c r="H106" s="226"/>
      <c r="I106" s="39"/>
    </row>
    <row r="107" spans="1:9" x14ac:dyDescent="0.25">
      <c r="B107" s="188"/>
      <c r="C107" s="10"/>
      <c r="D107" s="39"/>
      <c r="E107" s="39"/>
      <c r="F107" s="39"/>
      <c r="G107" s="39"/>
      <c r="H107" s="226"/>
      <c r="I107" s="39"/>
    </row>
    <row r="108" spans="1:9" x14ac:dyDescent="0.25">
      <c r="B108" s="188"/>
      <c r="C108" s="10"/>
      <c r="D108" s="39"/>
      <c r="E108" s="39"/>
      <c r="F108" s="39"/>
      <c r="G108" s="39"/>
      <c r="H108" s="226"/>
      <c r="I108" s="39"/>
    </row>
    <row r="109" spans="1:9" x14ac:dyDescent="0.25">
      <c r="B109" s="188"/>
      <c r="C109" s="10"/>
      <c r="D109" s="39"/>
      <c r="E109" s="39"/>
      <c r="F109" s="39"/>
      <c r="G109" s="39"/>
      <c r="H109" s="226"/>
      <c r="I109" s="39"/>
    </row>
    <row r="110" spans="1:9" x14ac:dyDescent="0.25">
      <c r="B110" s="188"/>
      <c r="C110" s="10"/>
      <c r="D110" s="39"/>
      <c r="E110" s="39"/>
      <c r="F110" s="39"/>
      <c r="G110" s="39"/>
      <c r="H110" s="226"/>
      <c r="I110" s="39"/>
    </row>
    <row r="111" spans="1:9" x14ac:dyDescent="0.25">
      <c r="B111" s="188"/>
      <c r="C111" s="10"/>
      <c r="D111" s="39"/>
      <c r="E111" s="39"/>
      <c r="F111" s="39"/>
      <c r="G111" s="39"/>
      <c r="H111" s="226"/>
      <c r="I111" s="39"/>
    </row>
    <row r="112" spans="1:9" x14ac:dyDescent="0.25">
      <c r="B112" s="188"/>
      <c r="C112" s="10"/>
      <c r="D112" s="39"/>
      <c r="E112" s="39"/>
      <c r="F112" s="39"/>
      <c r="G112" s="39"/>
      <c r="H112" s="226"/>
      <c r="I112" s="39"/>
    </row>
    <row r="113" spans="2:9" x14ac:dyDescent="0.25">
      <c r="B113" s="188"/>
      <c r="C113" s="10"/>
      <c r="D113" s="39"/>
      <c r="E113" s="39"/>
      <c r="F113" s="39"/>
      <c r="G113" s="39"/>
      <c r="H113" s="226"/>
      <c r="I113" s="39"/>
    </row>
    <row r="114" spans="2:9" x14ac:dyDescent="0.25">
      <c r="B114" s="188"/>
      <c r="C114" s="10"/>
      <c r="D114" s="39"/>
      <c r="E114" s="39"/>
      <c r="F114" s="39"/>
      <c r="G114" s="39"/>
      <c r="H114" s="226"/>
      <c r="I114" s="39"/>
    </row>
    <row r="115" spans="2:9" x14ac:dyDescent="0.25">
      <c r="B115" s="188"/>
      <c r="C115" s="10"/>
      <c r="D115" s="39"/>
      <c r="E115" s="39"/>
      <c r="F115" s="39"/>
      <c r="G115" s="39"/>
      <c r="H115" s="226"/>
      <c r="I115" s="39"/>
    </row>
    <row r="116" spans="2:9" x14ac:dyDescent="0.25">
      <c r="B116" s="188"/>
      <c r="C116" s="10"/>
      <c r="D116" s="39"/>
      <c r="E116" s="39"/>
      <c r="F116" s="39"/>
      <c r="G116" s="39"/>
      <c r="H116" s="226"/>
      <c r="I116" s="39"/>
    </row>
    <row r="117" spans="2:9" x14ac:dyDescent="0.25">
      <c r="B117" s="188"/>
      <c r="C117" s="10"/>
      <c r="D117" s="39"/>
      <c r="E117" s="39"/>
      <c r="F117" s="39"/>
      <c r="G117" s="39"/>
      <c r="H117" s="226"/>
      <c r="I117" s="39"/>
    </row>
    <row r="118" spans="2:9" x14ac:dyDescent="0.25">
      <c r="B118" s="188"/>
      <c r="C118" s="10"/>
      <c r="D118" s="39"/>
      <c r="E118" s="39"/>
      <c r="F118" s="39"/>
      <c r="G118" s="39"/>
      <c r="H118" s="226"/>
      <c r="I118" s="39"/>
    </row>
    <row r="119" spans="2:9" x14ac:dyDescent="0.25">
      <c r="B119" s="188"/>
      <c r="C119" s="10"/>
      <c r="D119" s="39"/>
      <c r="E119" s="39"/>
      <c r="F119" s="39"/>
      <c r="G119" s="39"/>
      <c r="H119" s="226"/>
      <c r="I119" s="39"/>
    </row>
    <row r="120" spans="2:9" x14ac:dyDescent="0.25">
      <c r="B120" s="188"/>
      <c r="C120" s="10"/>
      <c r="D120" s="39"/>
      <c r="E120" s="39"/>
      <c r="F120" s="39"/>
      <c r="G120" s="39"/>
      <c r="H120" s="226"/>
      <c r="I120" s="39"/>
    </row>
    <row r="121" spans="2:9" x14ac:dyDescent="0.25">
      <c r="B121" s="188"/>
      <c r="C121" s="10"/>
      <c r="D121" s="39"/>
      <c r="E121" s="39"/>
      <c r="F121" s="39"/>
      <c r="G121" s="39"/>
      <c r="H121" s="226"/>
      <c r="I121" s="39"/>
    </row>
    <row r="122" spans="2:9" x14ac:dyDescent="0.25">
      <c r="B122" s="188"/>
      <c r="C122" s="10"/>
      <c r="D122" s="39"/>
      <c r="E122" s="39"/>
      <c r="F122" s="39"/>
      <c r="G122" s="39"/>
      <c r="H122" s="226"/>
      <c r="I122" s="39"/>
    </row>
    <row r="123" spans="2:9" x14ac:dyDescent="0.25">
      <c r="B123" s="188"/>
      <c r="C123" s="10"/>
      <c r="D123" s="39"/>
      <c r="E123" s="39"/>
      <c r="F123" s="39"/>
      <c r="G123" s="39"/>
      <c r="H123" s="226"/>
      <c r="I123" s="39"/>
    </row>
    <row r="124" spans="2:9" x14ac:dyDescent="0.25">
      <c r="B124" s="188"/>
      <c r="C124" s="10"/>
      <c r="D124" s="39"/>
      <c r="E124" s="39"/>
      <c r="F124" s="39"/>
      <c r="G124" s="39"/>
      <c r="H124" s="226"/>
      <c r="I124" s="39"/>
    </row>
    <row r="125" spans="2:9" x14ac:dyDescent="0.25">
      <c r="B125" s="188"/>
      <c r="C125" s="10"/>
      <c r="D125" s="39"/>
      <c r="E125" s="39"/>
      <c r="F125" s="39"/>
      <c r="G125" s="39"/>
      <c r="H125" s="226"/>
      <c r="I125" s="39"/>
    </row>
    <row r="126" spans="2:9" x14ac:dyDescent="0.25">
      <c r="B126" s="188"/>
      <c r="C126" s="10"/>
      <c r="D126" s="39"/>
      <c r="E126" s="39"/>
      <c r="F126" s="39"/>
      <c r="G126" s="39"/>
      <c r="H126" s="226"/>
      <c r="I126" s="39"/>
    </row>
    <row r="127" spans="2:9" x14ac:dyDescent="0.25">
      <c r="B127" s="188"/>
      <c r="C127" s="10"/>
      <c r="D127" s="39"/>
      <c r="E127" s="39"/>
      <c r="F127" s="39"/>
      <c r="G127" s="39"/>
      <c r="H127" s="226"/>
      <c r="I127" s="39"/>
    </row>
    <row r="128" spans="2:9" x14ac:dyDescent="0.25">
      <c r="B128" s="188"/>
      <c r="C128" s="10"/>
      <c r="D128" s="39"/>
      <c r="E128" s="39"/>
      <c r="F128" s="39"/>
      <c r="G128" s="39"/>
      <c r="H128" s="226"/>
      <c r="I128" s="39"/>
    </row>
    <row r="129" spans="2:9" x14ac:dyDescent="0.25">
      <c r="B129" s="188"/>
      <c r="C129" s="10"/>
      <c r="D129" s="39"/>
      <c r="E129" s="39"/>
      <c r="F129" s="39"/>
      <c r="G129" s="39"/>
      <c r="H129" s="226"/>
      <c r="I129" s="39"/>
    </row>
    <row r="130" spans="2:9" x14ac:dyDescent="0.25">
      <c r="B130" s="188"/>
      <c r="C130" s="10"/>
      <c r="D130" s="39"/>
      <c r="E130" s="39"/>
      <c r="F130" s="39"/>
      <c r="G130" s="39"/>
      <c r="H130" s="226"/>
      <c r="I130" s="39"/>
    </row>
    <row r="131" spans="2:9" x14ac:dyDescent="0.25">
      <c r="B131" s="188"/>
      <c r="C131" s="10"/>
      <c r="D131" s="39"/>
      <c r="E131" s="39"/>
      <c r="F131" s="39"/>
      <c r="G131" s="39"/>
      <c r="H131" s="226"/>
      <c r="I131" s="39"/>
    </row>
    <row r="132" spans="2:9" x14ac:dyDescent="0.25">
      <c r="B132" s="188"/>
      <c r="C132" s="10"/>
      <c r="D132" s="39"/>
      <c r="E132" s="39"/>
      <c r="F132" s="39"/>
      <c r="G132" s="39"/>
      <c r="H132" s="226"/>
      <c r="I132" s="39"/>
    </row>
    <row r="133" spans="2:9" x14ac:dyDescent="0.25">
      <c r="B133" s="188"/>
      <c r="C133" s="10"/>
      <c r="D133" s="39"/>
      <c r="E133" s="39"/>
      <c r="F133" s="39"/>
      <c r="G133" s="39"/>
      <c r="H133" s="226"/>
      <c r="I133" s="39"/>
    </row>
    <row r="134" spans="2:9" x14ac:dyDescent="0.25">
      <c r="B134" s="188"/>
      <c r="C134" s="10"/>
      <c r="D134" s="39"/>
      <c r="E134" s="39"/>
      <c r="F134" s="39"/>
      <c r="G134" s="39"/>
      <c r="H134" s="226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29" priority="73">
      <formula>F25&gt;0</formula>
    </cfRule>
    <cfRule type="expression" dxfId="328" priority="74">
      <formula>F25&lt;0</formula>
    </cfRule>
  </conditionalFormatting>
  <conditionalFormatting sqref="F57:F64 F66">
    <cfRule type="expression" dxfId="327" priority="69">
      <formula>F57&gt;0</formula>
    </cfRule>
    <cfRule type="expression" dxfId="326" priority="70">
      <formula>F57&lt;0</formula>
    </cfRule>
  </conditionalFormatting>
  <conditionalFormatting sqref="F57:F64 F66">
    <cfRule type="expression" dxfId="325" priority="71">
      <formula>F57&gt;0</formula>
    </cfRule>
    <cfRule type="expression" dxfId="324" priority="72">
      <formula>F57&lt;0</formula>
    </cfRule>
  </conditionalFormatting>
  <conditionalFormatting sqref="H57:H64 H66">
    <cfRule type="expression" dxfId="323" priority="67">
      <formula>H57&gt;0</formula>
    </cfRule>
    <cfRule type="expression" dxfId="322" priority="68">
      <formula>H57&lt;0</formula>
    </cfRule>
  </conditionalFormatting>
  <conditionalFormatting sqref="Q7">
    <cfRule type="expression" dxfId="321" priority="49">
      <formula>Q7&gt;0</formula>
    </cfRule>
    <cfRule type="expression" dxfId="320" priority="50">
      <formula>Q7&lt;0</formula>
    </cfRule>
  </conditionalFormatting>
  <conditionalFormatting sqref="Q8">
    <cfRule type="expression" dxfId="319" priority="47">
      <formula>Q8&gt;0</formula>
    </cfRule>
    <cfRule type="expression" dxfId="318" priority="48">
      <formula>Q8&lt;0</formula>
    </cfRule>
  </conditionalFormatting>
  <conditionalFormatting sqref="F24">
    <cfRule type="expression" dxfId="317" priority="33">
      <formula>F24&gt;0</formula>
    </cfRule>
    <cfRule type="expression" dxfId="316" priority="34">
      <formula>F24&lt;0</formula>
    </cfRule>
  </conditionalFormatting>
  <conditionalFormatting sqref="H24">
    <cfRule type="expression" dxfId="315" priority="31">
      <formula>H24&gt;0</formula>
    </cfRule>
    <cfRule type="expression" dxfId="314" priority="32">
      <formula>H24&lt;0</formula>
    </cfRule>
  </conditionalFormatting>
  <conditionalFormatting sqref="M67">
    <cfRule type="expression" dxfId="313" priority="29">
      <formula>M67&gt;0</formula>
    </cfRule>
    <cfRule type="expression" dxfId="312" priority="30">
      <formula>M67&lt;0</formula>
    </cfRule>
  </conditionalFormatting>
  <conditionalFormatting sqref="F65">
    <cfRule type="expression" dxfId="311" priority="25">
      <formula>F65&gt;0</formula>
    </cfRule>
    <cfRule type="expression" dxfId="310" priority="26">
      <formula>F65&lt;0</formula>
    </cfRule>
  </conditionalFormatting>
  <conditionalFormatting sqref="F65">
    <cfRule type="expression" dxfId="309" priority="27">
      <formula>F65&gt;0</formula>
    </cfRule>
    <cfRule type="expression" dxfId="308" priority="28">
      <formula>F65&lt;0</formula>
    </cfRule>
  </conditionalFormatting>
  <conditionalFormatting sqref="H65">
    <cfRule type="expression" dxfId="307" priority="23">
      <formula>H65&gt;0</formula>
    </cfRule>
    <cfRule type="expression" dxfId="306" priority="24">
      <formula>H65&lt;0</formula>
    </cfRule>
  </conditionalFormatting>
  <conditionalFormatting sqref="F93:F97 H93:H97 H99:H124 F99:F124">
    <cfRule type="expression" dxfId="305" priority="19">
      <formula>F93&gt;0</formula>
    </cfRule>
    <cfRule type="expression" dxfId="304" priority="20">
      <formula>F93&lt;0</formula>
    </cfRule>
  </conditionalFormatting>
  <conditionalFormatting sqref="F125:F132 F134">
    <cfRule type="expression" dxfId="303" priority="15">
      <formula>F125&gt;0</formula>
    </cfRule>
    <cfRule type="expression" dxfId="302" priority="16">
      <formula>F125&lt;0</formula>
    </cfRule>
  </conditionalFormatting>
  <conditionalFormatting sqref="F125:F132 F134">
    <cfRule type="expression" dxfId="301" priority="17">
      <formula>F125&gt;0</formula>
    </cfRule>
    <cfRule type="expression" dxfId="300" priority="18">
      <formula>F125&lt;0</formula>
    </cfRule>
  </conditionalFormatting>
  <conditionalFormatting sqref="H125:H132 H134">
    <cfRule type="expression" dxfId="299" priority="13">
      <formula>H125&gt;0</formula>
    </cfRule>
    <cfRule type="expression" dxfId="298" priority="14">
      <formula>H125&lt;0</formula>
    </cfRule>
  </conditionalFormatting>
  <conditionalFormatting sqref="F92">
    <cfRule type="expression" dxfId="297" priority="11">
      <formula>F92&gt;0</formula>
    </cfRule>
    <cfRule type="expression" dxfId="296" priority="12">
      <formula>F92&lt;0</formula>
    </cfRule>
  </conditionalFormatting>
  <conditionalFormatting sqref="H92">
    <cfRule type="expression" dxfId="295" priority="9">
      <formula>H92&gt;0</formula>
    </cfRule>
    <cfRule type="expression" dxfId="294" priority="10">
      <formula>H92&lt;0</formula>
    </cfRule>
  </conditionalFormatting>
  <conditionalFormatting sqref="F133">
    <cfRule type="expression" dxfId="293" priority="5">
      <formula>F133&gt;0</formula>
    </cfRule>
    <cfRule type="expression" dxfId="292" priority="6">
      <formula>F133&lt;0</formula>
    </cfRule>
  </conditionalFormatting>
  <conditionalFormatting sqref="F133">
    <cfRule type="expression" dxfId="291" priority="7">
      <formula>F133&gt;0</formula>
    </cfRule>
    <cfRule type="expression" dxfId="290" priority="8">
      <formula>F133&lt;0</formula>
    </cfRule>
  </conditionalFormatting>
  <conditionalFormatting sqref="H133">
    <cfRule type="expression" dxfId="289" priority="3">
      <formula>H133&gt;0</formula>
    </cfRule>
    <cfRule type="expression" dxfId="288" priority="4">
      <formula>H133&lt;0</formula>
    </cfRule>
  </conditionalFormatting>
  <conditionalFormatting sqref="F98 H98">
    <cfRule type="expression" dxfId="287" priority="1">
      <formula>F98&gt;0</formula>
    </cfRule>
    <cfRule type="expression" dxfId="286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32</v>
      </c>
      <c r="B2" s="486">
        <v>43140</v>
      </c>
      <c r="C2" s="4">
        <v>100</v>
      </c>
      <c r="D2" s="3">
        <v>49.58</v>
      </c>
      <c r="E2" s="3">
        <v>0</v>
      </c>
      <c r="F2" s="3">
        <f>C2*D2+E2</f>
        <v>4958</v>
      </c>
      <c r="G2" s="4"/>
      <c r="H2" s="4"/>
      <c r="I2" s="3"/>
      <c r="J2" s="3"/>
      <c r="K2" s="3"/>
      <c r="L2" s="72"/>
      <c r="M2" s="3"/>
      <c r="O2" s="11" t="s">
        <v>57</v>
      </c>
      <c r="Q2">
        <f>C29-H29</f>
        <v>100</v>
      </c>
      <c r="T2" s="1" t="s">
        <v>200</v>
      </c>
      <c r="W2" s="130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3">
        <v>8281700</v>
      </c>
      <c r="AC2" s="10">
        <v>45.08</v>
      </c>
      <c r="AD2" s="2">
        <f>Y2-Z2</f>
        <v>1.0600000000000023</v>
      </c>
      <c r="AE2" s="134">
        <f>AC2/AC3-1</f>
        <v>-6.6504101086239942E-4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(F29-K29-M29)/Q2)</f>
        <v>49.58</v>
      </c>
      <c r="T3" s="1">
        <v>42565</v>
      </c>
      <c r="U3" t="s">
        <v>235</v>
      </c>
      <c r="W3" s="130">
        <v>42829</v>
      </c>
      <c r="X3" s="10">
        <v>45.84</v>
      </c>
      <c r="Y3" s="10">
        <v>46.05</v>
      </c>
      <c r="Z3" s="10">
        <v>45</v>
      </c>
      <c r="AA3" s="10">
        <v>45.11</v>
      </c>
      <c r="AB3" s="93">
        <v>8744900</v>
      </c>
      <c r="AC3" s="10">
        <v>45.11</v>
      </c>
      <c r="AD3" s="2">
        <f t="shared" ref="AD3:AD66" si="0">Y3-Z3</f>
        <v>1.0499999999999972</v>
      </c>
      <c r="AE3" s="134">
        <f t="shared" ref="AE3:AE66" si="1">AC3/AC4-1</f>
        <v>-2.6122625215889483E-2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196">
        <v>50.46</v>
      </c>
      <c r="R4" s="508">
        <v>-1.4999999999999999E-2</v>
      </c>
      <c r="T4" s="497">
        <v>42568</v>
      </c>
      <c r="U4" t="s">
        <v>244</v>
      </c>
      <c r="W4" s="130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3">
        <v>7384800</v>
      </c>
      <c r="AC4" s="10">
        <v>46.32</v>
      </c>
      <c r="AD4" s="2">
        <f t="shared" si="0"/>
        <v>0.77000000000000313</v>
      </c>
      <c r="AE4" s="134">
        <f t="shared" si="1"/>
        <v>7.8328981723236879E-3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5046</v>
      </c>
      <c r="T5" s="1">
        <v>42592</v>
      </c>
      <c r="U5" t="s">
        <v>263</v>
      </c>
      <c r="W5" s="130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3">
        <v>7001000</v>
      </c>
      <c r="AC5" s="10">
        <v>45.96</v>
      </c>
      <c r="AD5" s="2">
        <f t="shared" si="0"/>
        <v>0.39999999999999858</v>
      </c>
      <c r="AE5" s="134">
        <f t="shared" si="1"/>
        <v>-6.6998054895180958E-3</v>
      </c>
    </row>
    <row r="6" spans="1:3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4958</v>
      </c>
      <c r="T6" s="159">
        <v>42647</v>
      </c>
      <c r="U6" t="s">
        <v>267</v>
      </c>
      <c r="W6" s="130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3">
        <v>4904600</v>
      </c>
      <c r="AC6" s="10">
        <v>46.27</v>
      </c>
      <c r="AD6" s="2">
        <f t="shared" si="0"/>
        <v>0.57000000000000028</v>
      </c>
      <c r="AE6" s="134">
        <f t="shared" si="1"/>
        <v>6.9640914036996904E-3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1286.4699999999971</v>
      </c>
      <c r="R7" s="29">
        <v>43171</v>
      </c>
      <c r="W7" s="130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3">
        <v>6223100</v>
      </c>
      <c r="AC7" s="10">
        <v>45.95</v>
      </c>
      <c r="AD7" s="2">
        <f t="shared" si="0"/>
        <v>0.92000000000000171</v>
      </c>
      <c r="AE7" s="134">
        <f t="shared" si="1"/>
        <v>-1.2465076294863486E-2</v>
      </c>
    </row>
    <row r="8" spans="1:31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K29+M29-F29+Q2*Q4</f>
        <v>88</v>
      </c>
      <c r="R8" s="420"/>
      <c r="W8" s="130">
        <v>42822</v>
      </c>
      <c r="X8" s="10">
        <v>46.1</v>
      </c>
      <c r="Y8" s="10">
        <v>46.8</v>
      </c>
      <c r="Z8" s="10">
        <v>45.76</v>
      </c>
      <c r="AA8" s="10">
        <v>46.53</v>
      </c>
      <c r="AB8" s="93">
        <v>7305800</v>
      </c>
      <c r="AC8" s="10">
        <v>46.53</v>
      </c>
      <c r="AD8" s="2">
        <f t="shared" si="0"/>
        <v>1.0399999999999991</v>
      </c>
      <c r="AE8" s="134">
        <f t="shared" si="1"/>
        <v>9.3275488069415324E-3</v>
      </c>
    </row>
    <row r="9" spans="1:31" x14ac:dyDescent="0.25">
      <c r="B9" s="72"/>
      <c r="C9" s="4"/>
      <c r="D9" s="3"/>
      <c r="E9" s="3"/>
      <c r="F9" s="3"/>
      <c r="G9" s="270"/>
      <c r="H9" s="4"/>
      <c r="I9" s="3"/>
      <c r="J9" s="3"/>
      <c r="K9" s="3"/>
      <c r="L9" s="4"/>
      <c r="M9" s="4"/>
      <c r="O9" s="11" t="s">
        <v>210</v>
      </c>
      <c r="Q9" s="134">
        <f>IF(Q2=0, 0, Q8/Q6)</f>
        <v>1.7749092375958047E-2</v>
      </c>
      <c r="W9" s="130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3">
        <v>8952700</v>
      </c>
      <c r="AC9" s="10">
        <v>46.1</v>
      </c>
      <c r="AD9" s="2">
        <f t="shared" si="0"/>
        <v>1.1799999999999997</v>
      </c>
      <c r="AE9" s="134">
        <f t="shared" si="1"/>
        <v>2.1739130434783593E-3</v>
      </c>
    </row>
    <row r="10" spans="1:31" x14ac:dyDescent="0.25">
      <c r="B10" s="72"/>
      <c r="C10" s="4"/>
      <c r="D10" s="3"/>
      <c r="E10" s="3"/>
      <c r="F10" s="3"/>
      <c r="G10" s="72"/>
      <c r="H10" s="383"/>
      <c r="I10" s="73"/>
      <c r="J10" s="73"/>
      <c r="K10" s="73"/>
      <c r="L10" s="4"/>
      <c r="M10" s="4"/>
      <c r="O10" s="11" t="s">
        <v>209</v>
      </c>
      <c r="P10" s="33"/>
      <c r="Q10" s="2">
        <f>M104 + M126</f>
        <v>1198.4699999999971</v>
      </c>
      <c r="W10" s="130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3">
        <v>6260100</v>
      </c>
      <c r="AC10" s="10">
        <v>46</v>
      </c>
      <c r="AD10" s="2">
        <f t="shared" si="0"/>
        <v>0.71000000000000085</v>
      </c>
      <c r="AE10" s="134">
        <f t="shared" si="1"/>
        <v>1.7421602787455193E-3</v>
      </c>
    </row>
    <row r="11" spans="1:31" x14ac:dyDescent="0.25">
      <c r="B11" s="72"/>
      <c r="C11" s="4"/>
      <c r="D11" s="3"/>
      <c r="E11" s="3"/>
      <c r="F11" s="3"/>
      <c r="G11" s="72"/>
      <c r="H11" s="180"/>
      <c r="I11" s="3"/>
      <c r="J11" s="3"/>
      <c r="K11" s="73"/>
      <c r="L11" s="4"/>
      <c r="M11" s="4"/>
      <c r="O11" s="11" t="s">
        <v>176</v>
      </c>
      <c r="P11" s="33"/>
      <c r="Q11" s="134">
        <f>VALUE(TRIM(CLEAN(MID(U58, FIND("(", U58)+1, 5))))</f>
        <v>1.7600000000000001E-2</v>
      </c>
      <c r="W11" s="130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3">
        <v>5578700</v>
      </c>
      <c r="AC11" s="10">
        <v>45.92</v>
      </c>
      <c r="AD11" s="2">
        <f t="shared" si="0"/>
        <v>0.75</v>
      </c>
      <c r="AE11" s="134">
        <f t="shared" si="1"/>
        <v>3.935286401399285E-3</v>
      </c>
    </row>
    <row r="12" spans="1:31" x14ac:dyDescent="0.25">
      <c r="B12" s="7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W12" s="130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3">
        <v>12042800</v>
      </c>
      <c r="AC12" s="10">
        <v>45.74</v>
      </c>
      <c r="AD12" s="2">
        <f t="shared" si="0"/>
        <v>1.3700000000000045</v>
      </c>
      <c r="AE12" s="134">
        <f t="shared" si="1"/>
        <v>4.833040421792667E-3</v>
      </c>
    </row>
    <row r="13" spans="1:31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W13" s="130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3">
        <v>10235600</v>
      </c>
      <c r="AC13" s="10">
        <v>45.52</v>
      </c>
      <c r="AD13" s="2">
        <f t="shared" si="0"/>
        <v>1.75</v>
      </c>
      <c r="AE13" s="134">
        <f t="shared" si="1"/>
        <v>-2.8388473852721363E-2</v>
      </c>
    </row>
    <row r="14" spans="1:31" x14ac:dyDescent="0.25">
      <c r="B14" s="72"/>
      <c r="C14" s="4"/>
      <c r="D14" s="3"/>
      <c r="E14" s="3"/>
      <c r="F14" s="3"/>
      <c r="G14" s="72"/>
      <c r="H14" s="180"/>
      <c r="I14" s="3"/>
      <c r="J14" s="3"/>
      <c r="K14" s="3"/>
      <c r="L14" s="4"/>
      <c r="M14" s="4"/>
      <c r="W14" s="130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3">
        <v>5704300</v>
      </c>
      <c r="AC14" s="10">
        <v>46.85</v>
      </c>
      <c r="AD14" s="2">
        <f t="shared" si="0"/>
        <v>0.67999999999999972</v>
      </c>
      <c r="AE14" s="134">
        <f t="shared" si="1"/>
        <v>7.3102558589550615E-3</v>
      </c>
    </row>
    <row r="15" spans="1:31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W15" s="130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3">
        <v>12231400</v>
      </c>
      <c r="AC15" s="10">
        <v>46.51</v>
      </c>
      <c r="AD15" s="2">
        <f t="shared" si="0"/>
        <v>1.1400000000000006</v>
      </c>
      <c r="AE15" s="134">
        <f t="shared" si="1"/>
        <v>-1.8983336848766075E-2</v>
      </c>
    </row>
    <row r="16" spans="1:31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W16" s="130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3">
        <v>7818100</v>
      </c>
      <c r="AC16" s="10">
        <v>47.41</v>
      </c>
      <c r="AD16" s="2">
        <f t="shared" si="0"/>
        <v>0.67999999999999972</v>
      </c>
      <c r="AE16" s="134">
        <f t="shared" si="1"/>
        <v>4.6620046620047262E-3</v>
      </c>
    </row>
    <row r="17" spans="1:3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0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3">
        <v>17892300</v>
      </c>
      <c r="AC17" s="10">
        <v>47.19</v>
      </c>
      <c r="AD17" s="2">
        <f t="shared" si="0"/>
        <v>2.2600000000000051</v>
      </c>
      <c r="AE17" s="134">
        <f t="shared" si="1"/>
        <v>1.9662921348314599E-2</v>
      </c>
    </row>
    <row r="18" spans="1:3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0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3">
        <v>14240900</v>
      </c>
      <c r="AC18" s="10">
        <v>46.28</v>
      </c>
      <c r="AD18" s="2">
        <f t="shared" si="0"/>
        <v>0.95000000000000284</v>
      </c>
      <c r="AE18" s="134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0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3">
        <v>6933200</v>
      </c>
      <c r="AC19" s="10">
        <v>47.35</v>
      </c>
      <c r="AD19" s="2">
        <f t="shared" si="0"/>
        <v>1.0499999999999972</v>
      </c>
      <c r="AE19" s="134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0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3">
        <v>6255800</v>
      </c>
      <c r="AC20" s="10">
        <v>47.91</v>
      </c>
      <c r="AD20" s="2">
        <f t="shared" si="0"/>
        <v>0.76999999999999602</v>
      </c>
      <c r="AE20" s="134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0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3">
        <v>8730500</v>
      </c>
      <c r="AC21" s="10">
        <v>47.25</v>
      </c>
      <c r="AD21" s="2">
        <f t="shared" si="0"/>
        <v>1.3900000000000006</v>
      </c>
      <c r="AE21" s="134">
        <f t="shared" si="1"/>
        <v>-8.8105726872247381E-3</v>
      </c>
    </row>
    <row r="22" spans="1:31" x14ac:dyDescent="0.25">
      <c r="W22" s="130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3">
        <v>7165900</v>
      </c>
      <c r="AC22" s="10">
        <v>47.67</v>
      </c>
      <c r="AD22" s="2">
        <f t="shared" si="0"/>
        <v>0.44999999999999574</v>
      </c>
      <c r="AE22" s="134">
        <f t="shared" si="1"/>
        <v>6.2972292191432189E-4</v>
      </c>
    </row>
    <row r="23" spans="1:31" x14ac:dyDescent="0.25">
      <c r="W23" s="130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3">
        <v>10196800</v>
      </c>
      <c r="AC23" s="10">
        <v>47.64</v>
      </c>
      <c r="AD23" s="2">
        <f t="shared" si="0"/>
        <v>1.1000000000000014</v>
      </c>
      <c r="AE23" s="134">
        <f t="shared" si="1"/>
        <v>-2.4769703172978552E-2</v>
      </c>
    </row>
    <row r="24" spans="1:31" x14ac:dyDescent="0.25">
      <c r="W24" s="130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3">
        <v>11365100</v>
      </c>
      <c r="AC24" s="10">
        <v>48.85</v>
      </c>
      <c r="AD24" s="2">
        <f t="shared" si="0"/>
        <v>1.6400000000000006</v>
      </c>
      <c r="AE24" s="134">
        <f t="shared" si="1"/>
        <v>-2.5533612607221201E-2</v>
      </c>
    </row>
    <row r="25" spans="1:31" x14ac:dyDescent="0.25">
      <c r="W25" s="130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3">
        <v>11170800</v>
      </c>
      <c r="AC25" s="10">
        <v>50.13</v>
      </c>
      <c r="AD25" s="2">
        <f t="shared" si="0"/>
        <v>0.92000000000000171</v>
      </c>
      <c r="AE25" s="134">
        <f t="shared" si="1"/>
        <v>3.402722177742179E-3</v>
      </c>
    </row>
    <row r="26" spans="1:31" x14ac:dyDescent="0.25">
      <c r="W26" s="130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3">
        <v>12527200</v>
      </c>
      <c r="AC26" s="10">
        <v>49.96</v>
      </c>
      <c r="AD26" s="2">
        <f t="shared" si="0"/>
        <v>0.87999999999999545</v>
      </c>
      <c r="AE26" s="134">
        <f t="shared" si="1"/>
        <v>-2.0968058005095047E-2</v>
      </c>
    </row>
    <row r="27" spans="1:31" x14ac:dyDescent="0.25">
      <c r="W27" s="130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3">
        <v>14144700</v>
      </c>
      <c r="AC27" s="10">
        <v>51.03</v>
      </c>
      <c r="AD27" s="2">
        <f t="shared" si="0"/>
        <v>1.519999999999996</v>
      </c>
      <c r="AE27" s="134">
        <f t="shared" si="1"/>
        <v>2.2030843180452564E-2</v>
      </c>
    </row>
    <row r="28" spans="1:31" x14ac:dyDescent="0.25">
      <c r="H28" s="70"/>
      <c r="W28" s="130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3">
        <v>6950200</v>
      </c>
      <c r="AC28" s="10">
        <v>49.93</v>
      </c>
      <c r="AD28" s="2">
        <f t="shared" si="0"/>
        <v>0.74000000000000199</v>
      </c>
      <c r="AE28" s="134">
        <f t="shared" si="1"/>
        <v>-1.01110229976209E-2</v>
      </c>
    </row>
    <row r="29" spans="1:31" x14ac:dyDescent="0.25">
      <c r="A29" s="31" t="s">
        <v>81</v>
      </c>
      <c r="B29" s="14"/>
      <c r="C29" s="14">
        <f>SUM(C2:C19)</f>
        <v>100</v>
      </c>
      <c r="D29" s="18"/>
      <c r="E29" s="18"/>
      <c r="F29" s="18">
        <f>SUM(F2:F19)</f>
        <v>4958</v>
      </c>
      <c r="G29" s="14"/>
      <c r="H29" s="71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0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3">
        <v>7574200</v>
      </c>
      <c r="AC29" s="10">
        <v>50.44</v>
      </c>
      <c r="AD29" s="2">
        <f t="shared" si="0"/>
        <v>0.63000000000000256</v>
      </c>
      <c r="AE29" s="134">
        <f t="shared" si="1"/>
        <v>-3.9635354736433648E-4</v>
      </c>
    </row>
    <row r="30" spans="1:31" ht="15.75" thickBot="1" x14ac:dyDescent="0.3">
      <c r="A30" s="347" t="s">
        <v>194</v>
      </c>
      <c r="B30" s="348"/>
      <c r="C30" s="349">
        <f>SumByColor($A$30,C2:C28)</f>
        <v>0</v>
      </c>
      <c r="D30" s="349"/>
      <c r="E30" s="349"/>
      <c r="F30" s="350">
        <f>SumByColor($A$30,F2:F28)</f>
        <v>0</v>
      </c>
      <c r="G30" s="349"/>
      <c r="H30" s="349">
        <f>SumByColor($A$30,H3:H28)</f>
        <v>0</v>
      </c>
      <c r="I30" s="349"/>
      <c r="J30" s="349"/>
      <c r="K30" s="350">
        <f>SumByColor($A$30,K3:K28)</f>
        <v>0</v>
      </c>
      <c r="L30" s="349"/>
      <c r="M30" s="350">
        <f>SumByColor($A$30,M2:M28)</f>
        <v>0</v>
      </c>
      <c r="W30" s="130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3">
        <v>8154700</v>
      </c>
      <c r="AC30" s="10">
        <v>50.46</v>
      </c>
      <c r="AD30" s="2">
        <f t="shared" si="0"/>
        <v>0.64000000000000057</v>
      </c>
      <c r="AE30" s="134">
        <f t="shared" si="1"/>
        <v>-3.9619651347055918E-4</v>
      </c>
    </row>
    <row r="31" spans="1:31" x14ac:dyDescent="0.25">
      <c r="W31" s="130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3">
        <v>6470900</v>
      </c>
      <c r="AC31" s="10">
        <v>50.48</v>
      </c>
      <c r="AD31" s="2">
        <f t="shared" si="0"/>
        <v>1.3000000000000043</v>
      </c>
      <c r="AE31" s="134">
        <f t="shared" si="1"/>
        <v>-8.8356567838210331E-3</v>
      </c>
    </row>
    <row r="32" spans="1:31" x14ac:dyDescent="0.25">
      <c r="W32" s="130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3">
        <v>4345100</v>
      </c>
      <c r="AC32" s="10">
        <v>50.93</v>
      </c>
      <c r="AD32" s="2">
        <f t="shared" si="0"/>
        <v>0.66000000000000369</v>
      </c>
      <c r="AE32" s="134" t="e">
        <f t="shared" si="1"/>
        <v>#DIV/0!</v>
      </c>
    </row>
    <row r="33" spans="2:31" x14ac:dyDescent="0.25">
      <c r="W33" s="130">
        <v>42788</v>
      </c>
      <c r="X33" s="10" t="s">
        <v>460</v>
      </c>
      <c r="Y33" s="10"/>
      <c r="Z33" s="10"/>
      <c r="AA33" s="10"/>
      <c r="AB33" s="93"/>
      <c r="AC33" s="10"/>
      <c r="AD33" s="2">
        <f t="shared" si="0"/>
        <v>0</v>
      </c>
      <c r="AE33" s="134">
        <f t="shared" si="1"/>
        <v>-1</v>
      </c>
    </row>
    <row r="34" spans="2:31" x14ac:dyDescent="0.25">
      <c r="W34" s="130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3">
        <v>6406500</v>
      </c>
      <c r="AC34" s="10">
        <v>51.01</v>
      </c>
      <c r="AD34" s="2">
        <f t="shared" si="0"/>
        <v>0.56000000000000227</v>
      </c>
      <c r="AE34" s="134">
        <f t="shared" si="1"/>
        <v>-3.9192631785234244E-4</v>
      </c>
    </row>
    <row r="35" spans="2:3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89" t="s">
        <v>65</v>
      </c>
      <c r="G35" s="224" t="s">
        <v>151</v>
      </c>
      <c r="H35" s="224" t="s">
        <v>88</v>
      </c>
      <c r="I35" s="224" t="s">
        <v>154</v>
      </c>
      <c r="W35" s="130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3">
        <v>5428000</v>
      </c>
      <c r="AC35" s="10">
        <v>51.03</v>
      </c>
      <c r="AD35" s="2">
        <f t="shared" si="0"/>
        <v>1.0399999999999991</v>
      </c>
      <c r="AE35" s="134">
        <f t="shared" si="1"/>
        <v>7.9004542761207386E-3</v>
      </c>
    </row>
    <row r="36" spans="2:31" x14ac:dyDescent="0.25">
      <c r="B36" s="188">
        <v>43140</v>
      </c>
      <c r="C36" s="10">
        <v>100</v>
      </c>
      <c r="D36" s="195">
        <v>49.58</v>
      </c>
      <c r="E36" s="39">
        <v>50.46</v>
      </c>
      <c r="F36" s="39">
        <f t="shared" ref="F36:F45" si="2">C36*(E36-D36)</f>
        <v>88.000000000000256</v>
      </c>
      <c r="G36" s="39">
        <f>D36*C36</f>
        <v>4958</v>
      </c>
      <c r="H36" s="226">
        <f>(E36-D36)/D36</f>
        <v>1.7749092375958099E-2</v>
      </c>
      <c r="I36" s="39"/>
      <c r="W36" s="130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3">
        <v>6626700</v>
      </c>
      <c r="AC36" s="10">
        <v>50.63</v>
      </c>
      <c r="AD36" s="2">
        <f t="shared" si="0"/>
        <v>0.57999999999999829</v>
      </c>
      <c r="AE36" s="134">
        <f t="shared" si="1"/>
        <v>-6.6705905434568669E-3</v>
      </c>
    </row>
    <row r="37" spans="2:31" x14ac:dyDescent="0.25">
      <c r="B37" s="188"/>
      <c r="C37" s="10"/>
      <c r="D37" s="39"/>
      <c r="E37" s="39"/>
      <c r="F37" s="39"/>
      <c r="G37" s="39"/>
      <c r="H37" s="226"/>
      <c r="I37" s="39"/>
      <c r="W37" s="130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3">
        <v>12705000</v>
      </c>
      <c r="AC37" s="10">
        <v>50.97</v>
      </c>
      <c r="AD37" s="2">
        <f t="shared" si="0"/>
        <v>1.4299999999999997</v>
      </c>
      <c r="AE37" s="134">
        <f t="shared" si="1"/>
        <v>2.637937978252114E-2</v>
      </c>
    </row>
    <row r="38" spans="2:31" x14ac:dyDescent="0.25">
      <c r="B38" s="188"/>
      <c r="C38" s="10"/>
      <c r="D38" s="39"/>
      <c r="E38" s="39"/>
      <c r="F38" s="39"/>
      <c r="G38" s="39"/>
      <c r="H38" s="226"/>
      <c r="I38" s="39"/>
      <c r="W38" s="130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3">
        <v>7024600</v>
      </c>
      <c r="AC38" s="10">
        <v>49.66</v>
      </c>
      <c r="AD38" s="2">
        <f t="shared" si="0"/>
        <v>0.89000000000000057</v>
      </c>
      <c r="AE38" s="134">
        <f t="shared" si="1"/>
        <v>-4.0112314480545974E-3</v>
      </c>
    </row>
    <row r="39" spans="2:31" x14ac:dyDescent="0.25">
      <c r="B39" s="188"/>
      <c r="C39" s="10"/>
      <c r="D39" s="39"/>
      <c r="E39" s="39"/>
      <c r="F39" s="39"/>
      <c r="G39" s="39"/>
      <c r="H39" s="226"/>
      <c r="I39" s="39"/>
      <c r="W39" s="130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3">
        <v>6565900</v>
      </c>
      <c r="AC39" s="10">
        <v>49.86</v>
      </c>
      <c r="AD39" s="2">
        <f t="shared" si="0"/>
        <v>1.1400000000000006</v>
      </c>
      <c r="AE39" s="134">
        <f t="shared" si="1"/>
        <v>1.6306563391765172E-2</v>
      </c>
    </row>
    <row r="40" spans="2:31" x14ac:dyDescent="0.25">
      <c r="B40" s="188"/>
      <c r="C40" s="10"/>
      <c r="D40" s="39"/>
      <c r="E40" s="39"/>
      <c r="F40" s="39"/>
      <c r="G40" s="39"/>
      <c r="H40" s="226"/>
      <c r="I40" s="39"/>
      <c r="W40" s="130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3">
        <v>5322600</v>
      </c>
      <c r="AC40" s="10">
        <v>49.06</v>
      </c>
      <c r="AD40" s="2">
        <f t="shared" si="0"/>
        <v>0.54999999999999716</v>
      </c>
      <c r="AE40" s="134">
        <f t="shared" si="1"/>
        <v>-1.4247913698350878E-3</v>
      </c>
    </row>
    <row r="41" spans="2:31" x14ac:dyDescent="0.25">
      <c r="B41" s="188"/>
      <c r="C41" s="10"/>
      <c r="D41" s="39"/>
      <c r="E41" s="39"/>
      <c r="F41" s="39"/>
      <c r="G41" s="39"/>
      <c r="H41" s="226"/>
      <c r="I41" s="39"/>
      <c r="Q41" s="2"/>
      <c r="W41" s="130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3">
        <v>7274700</v>
      </c>
      <c r="AC41" s="10">
        <v>49.13</v>
      </c>
      <c r="AD41" s="2">
        <f t="shared" si="0"/>
        <v>1.4499999999999957</v>
      </c>
      <c r="AE41" s="134">
        <f t="shared" si="1"/>
        <v>2.5464412439991868E-2</v>
      </c>
    </row>
    <row r="42" spans="2:31" ht="20.25" thickBot="1" x14ac:dyDescent="0.35">
      <c r="B42" s="188"/>
      <c r="C42" s="10"/>
      <c r="D42" s="39"/>
      <c r="E42" s="39"/>
      <c r="F42" s="39"/>
      <c r="G42" s="39"/>
      <c r="H42" s="226"/>
      <c r="I42" s="39"/>
      <c r="O42" s="804" t="s">
        <v>78</v>
      </c>
      <c r="P42" s="804"/>
      <c r="Q42" s="2"/>
      <c r="T42" s="89" t="s">
        <v>112</v>
      </c>
      <c r="W42" s="130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3">
        <v>5342600</v>
      </c>
      <c r="AC42" s="10">
        <v>47.91</v>
      </c>
      <c r="AD42" s="2">
        <f t="shared" si="0"/>
        <v>0.57000000000000028</v>
      </c>
      <c r="AE42" s="134">
        <f t="shared" si="1"/>
        <v>-1.0425354462052505E-3</v>
      </c>
    </row>
    <row r="43" spans="2:31" ht="15.75" thickTop="1" x14ac:dyDescent="0.25">
      <c r="B43" s="188"/>
      <c r="C43" s="10"/>
      <c r="D43" s="39"/>
      <c r="E43" s="39"/>
      <c r="F43" s="39"/>
      <c r="G43" s="39"/>
      <c r="H43" s="226"/>
      <c r="I43" s="39"/>
      <c r="O43" s="81">
        <v>1.1000000000000001</v>
      </c>
      <c r="P43" s="81">
        <f>O43*$Q$4</f>
        <v>55.506000000000007</v>
      </c>
      <c r="Q43" s="2"/>
      <c r="T43" s="125" t="s">
        <v>97</v>
      </c>
      <c r="U43" s="96">
        <v>45.11</v>
      </c>
      <c r="W43" s="130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3">
        <v>7262900</v>
      </c>
      <c r="AC43" s="10">
        <v>47.96</v>
      </c>
      <c r="AD43" s="2">
        <f t="shared" si="0"/>
        <v>0.85999999999999943</v>
      </c>
      <c r="AE43" s="134">
        <f t="shared" si="1"/>
        <v>-2.2883295194507935E-3</v>
      </c>
    </row>
    <row r="44" spans="2:31" x14ac:dyDescent="0.25">
      <c r="B44" s="188"/>
      <c r="C44" s="10"/>
      <c r="D44" s="39"/>
      <c r="E44" s="39"/>
      <c r="F44" s="39"/>
      <c r="G44" s="39"/>
      <c r="H44" s="226"/>
      <c r="I44" s="39"/>
      <c r="O44" s="81">
        <v>1.0900000000000001</v>
      </c>
      <c r="P44" s="81">
        <f t="shared" ref="P44:P63" si="3">O44*$Q$4</f>
        <v>55.001400000000004</v>
      </c>
      <c r="Q44" s="2"/>
      <c r="T44" s="91" t="s">
        <v>98</v>
      </c>
      <c r="U44" s="86">
        <v>45.43</v>
      </c>
      <c r="W44" s="130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3">
        <v>7169200</v>
      </c>
      <c r="AC44" s="10">
        <v>48.07</v>
      </c>
      <c r="AD44" s="2">
        <f t="shared" si="0"/>
        <v>0.75</v>
      </c>
      <c r="AE44" s="134">
        <f t="shared" si="1"/>
        <v>9.449811003779951E-3</v>
      </c>
    </row>
    <row r="45" spans="2:31" x14ac:dyDescent="0.25">
      <c r="B45" s="188"/>
      <c r="C45" s="10"/>
      <c r="D45" s="39"/>
      <c r="E45" s="39"/>
      <c r="F45" s="39"/>
      <c r="G45" s="39"/>
      <c r="H45" s="226"/>
      <c r="I45" s="39"/>
      <c r="O45" s="81">
        <v>1.08</v>
      </c>
      <c r="P45" s="81">
        <f t="shared" si="3"/>
        <v>54.496800000000007</v>
      </c>
      <c r="Q45" s="2"/>
      <c r="T45" s="91" t="s">
        <v>99</v>
      </c>
      <c r="U45" s="86" t="s">
        <v>128</v>
      </c>
      <c r="W45" s="130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3">
        <v>5632300</v>
      </c>
      <c r="AC45" s="10">
        <v>47.62</v>
      </c>
      <c r="AD45" s="2">
        <f t="shared" si="0"/>
        <v>0.59000000000000341</v>
      </c>
      <c r="AE45" s="134">
        <f t="shared" si="1"/>
        <v>9.1121000211908942E-3</v>
      </c>
    </row>
    <row r="46" spans="2:31" x14ac:dyDescent="0.25">
      <c r="B46" s="188"/>
      <c r="C46" s="10"/>
      <c r="D46" s="39"/>
      <c r="E46" s="39"/>
      <c r="F46" s="39"/>
      <c r="G46" s="39"/>
      <c r="H46" s="226"/>
      <c r="I46" s="39"/>
      <c r="O46" s="81">
        <v>1.07</v>
      </c>
      <c r="P46" s="81">
        <f t="shared" si="3"/>
        <v>53.992200000000004</v>
      </c>
      <c r="Q46" s="2"/>
      <c r="T46" s="91" t="s">
        <v>100</v>
      </c>
      <c r="U46" s="86" t="s">
        <v>128</v>
      </c>
      <c r="W46" s="130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3">
        <v>8795700</v>
      </c>
      <c r="AC46" s="10">
        <v>47.19</v>
      </c>
      <c r="AD46" s="2">
        <f t="shared" si="0"/>
        <v>1.1799999999999997</v>
      </c>
      <c r="AE46" s="134">
        <f t="shared" si="1"/>
        <v>2.5493945188017619E-3</v>
      </c>
    </row>
    <row r="47" spans="2:31" x14ac:dyDescent="0.25">
      <c r="B47" s="188"/>
      <c r="C47" s="10"/>
      <c r="D47" s="39"/>
      <c r="E47" s="39"/>
      <c r="F47" s="39"/>
      <c r="G47" s="39"/>
      <c r="H47" s="226"/>
      <c r="I47" s="39"/>
      <c r="O47" s="81">
        <v>1.06</v>
      </c>
      <c r="P47" s="81">
        <f t="shared" si="3"/>
        <v>53.4876</v>
      </c>
      <c r="Q47" s="2"/>
      <c r="T47" s="91" t="s">
        <v>101</v>
      </c>
      <c r="U47" s="86">
        <v>0.4</v>
      </c>
      <c r="W47" s="130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3">
        <v>8377500</v>
      </c>
      <c r="AC47" s="10">
        <v>47.07</v>
      </c>
      <c r="AD47" s="2">
        <f t="shared" si="0"/>
        <v>0.73000000000000398</v>
      </c>
      <c r="AE47" s="134">
        <f t="shared" si="1"/>
        <v>4.2507970244431981E-4</v>
      </c>
    </row>
    <row r="48" spans="2:31" x14ac:dyDescent="0.25">
      <c r="B48" s="188"/>
      <c r="C48" s="275"/>
      <c r="D48" s="331"/>
      <c r="E48" s="39"/>
      <c r="F48" s="39"/>
      <c r="G48" s="39"/>
      <c r="H48" s="226"/>
      <c r="I48" s="39"/>
      <c r="O48" s="81">
        <v>1.05</v>
      </c>
      <c r="P48" s="81">
        <f t="shared" si="3"/>
        <v>52.983000000000004</v>
      </c>
      <c r="Q48" s="2"/>
      <c r="T48" s="91" t="s">
        <v>102</v>
      </c>
      <c r="U48" s="86">
        <v>1.0704400000000001</v>
      </c>
      <c r="W48" s="130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3">
        <v>12533800</v>
      </c>
      <c r="AC48" s="10">
        <v>47.05</v>
      </c>
      <c r="AD48" s="2">
        <f t="shared" si="0"/>
        <v>1.259999999999998</v>
      </c>
      <c r="AE48" s="134">
        <f t="shared" si="1"/>
        <v>-9.0564448188711344E-3</v>
      </c>
    </row>
    <row r="49" spans="2:31" x14ac:dyDescent="0.25">
      <c r="B49" s="188"/>
      <c r="C49" s="275"/>
      <c r="D49" s="331"/>
      <c r="E49" s="39"/>
      <c r="F49" s="39"/>
      <c r="G49" s="39"/>
      <c r="H49" s="226"/>
      <c r="I49" s="39"/>
      <c r="O49" s="81">
        <v>1.04</v>
      </c>
      <c r="P49" s="81">
        <f t="shared" si="3"/>
        <v>52.478400000000001</v>
      </c>
      <c r="Q49" s="2"/>
      <c r="T49" s="91" t="s">
        <v>121</v>
      </c>
      <c r="U49" s="86" t="s">
        <v>339</v>
      </c>
      <c r="W49" s="130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3">
        <v>12745600</v>
      </c>
      <c r="AC49" s="10">
        <v>47.48</v>
      </c>
      <c r="AD49" s="2">
        <f t="shared" si="0"/>
        <v>1.4100000000000037</v>
      </c>
      <c r="AE49" s="134">
        <f t="shared" si="1"/>
        <v>-4.0808080808080849E-2</v>
      </c>
    </row>
    <row r="50" spans="2:31" x14ac:dyDescent="0.25">
      <c r="B50" s="188"/>
      <c r="C50" s="275"/>
      <c r="D50" s="331"/>
      <c r="E50" s="39"/>
      <c r="F50" s="39"/>
      <c r="G50" s="39"/>
      <c r="H50" s="226"/>
      <c r="I50" s="39"/>
      <c r="O50" s="81">
        <v>1.03</v>
      </c>
      <c r="P50" s="81">
        <f t="shared" si="3"/>
        <v>51.973800000000004</v>
      </c>
      <c r="Q50" s="2"/>
      <c r="T50" s="91"/>
      <c r="U50" s="86"/>
      <c r="W50" s="130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3">
        <v>6852000</v>
      </c>
      <c r="AC50" s="10">
        <v>49.5</v>
      </c>
      <c r="AD50" s="2">
        <f t="shared" si="0"/>
        <v>1.5499999999999972</v>
      </c>
      <c r="AE50" s="134">
        <f t="shared" si="1"/>
        <v>-2.3668639053254448E-2</v>
      </c>
    </row>
    <row r="51" spans="2:31" x14ac:dyDescent="0.25">
      <c r="B51" s="188"/>
      <c r="C51" s="10"/>
      <c r="D51" s="39"/>
      <c r="E51" s="39"/>
      <c r="F51" s="39"/>
      <c r="G51" s="39"/>
      <c r="H51" s="226"/>
      <c r="I51" s="39"/>
      <c r="O51" s="81">
        <v>1.02</v>
      </c>
      <c r="P51" s="81">
        <f>O51*$Q$4</f>
        <v>51.469200000000001</v>
      </c>
      <c r="Q51" s="2"/>
      <c r="T51" s="91" t="s">
        <v>104</v>
      </c>
      <c r="U51" s="86" t="s">
        <v>683</v>
      </c>
      <c r="W51" s="130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3">
        <v>8905600</v>
      </c>
      <c r="AC51" s="10">
        <v>50.7</v>
      </c>
      <c r="AD51" s="2">
        <f t="shared" si="0"/>
        <v>0.97999999999999687</v>
      </c>
      <c r="AE51" s="134">
        <f t="shared" si="1"/>
        <v>1.4202840568113606E-2</v>
      </c>
    </row>
    <row r="52" spans="2:31" x14ac:dyDescent="0.25">
      <c r="B52" s="188"/>
      <c r="C52" s="10"/>
      <c r="D52" s="39"/>
      <c r="E52" s="39"/>
      <c r="F52" s="39"/>
      <c r="G52" s="39"/>
      <c r="H52" s="226"/>
      <c r="I52" s="39"/>
      <c r="O52" s="81">
        <v>1.01</v>
      </c>
      <c r="P52" s="81">
        <f t="shared" si="3"/>
        <v>50.964600000000004</v>
      </c>
      <c r="Q52" s="2"/>
      <c r="T52" s="91" t="s">
        <v>105</v>
      </c>
      <c r="U52" s="86" t="s">
        <v>329</v>
      </c>
      <c r="W52" s="130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3">
        <v>8096300</v>
      </c>
      <c r="AC52" s="10">
        <v>49.99</v>
      </c>
      <c r="AD52" s="2">
        <f t="shared" si="0"/>
        <v>0.61999999999999744</v>
      </c>
      <c r="AE52" s="134">
        <f t="shared" si="1"/>
        <v>1.523151909017062E-2</v>
      </c>
    </row>
    <row r="53" spans="2:31" x14ac:dyDescent="0.25">
      <c r="B53" s="188"/>
      <c r="C53" s="10"/>
      <c r="D53" s="39"/>
      <c r="E53" s="39"/>
      <c r="F53" s="39"/>
      <c r="G53" s="39"/>
      <c r="H53" s="226"/>
      <c r="I53" s="39"/>
      <c r="O53" s="81">
        <v>1</v>
      </c>
      <c r="P53" s="81">
        <f t="shared" si="3"/>
        <v>50.46</v>
      </c>
      <c r="Q53" s="2"/>
      <c r="T53" s="91" t="s">
        <v>106</v>
      </c>
      <c r="U53" s="88">
        <v>8313359</v>
      </c>
      <c r="W53" s="130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3">
        <v>6398100</v>
      </c>
      <c r="AC53" s="10">
        <v>49.24</v>
      </c>
      <c r="AD53" s="2">
        <f t="shared" si="0"/>
        <v>0.93999999999999773</v>
      </c>
      <c r="AE53" s="134">
        <f t="shared" si="1"/>
        <v>1.3585837793330668E-2</v>
      </c>
    </row>
    <row r="54" spans="2:31" x14ac:dyDescent="0.25">
      <c r="B54" s="188"/>
      <c r="C54" s="10"/>
      <c r="D54" s="39"/>
      <c r="E54" s="39"/>
      <c r="F54" s="39"/>
      <c r="G54" s="39"/>
      <c r="H54" s="226"/>
      <c r="I54" s="39"/>
      <c r="O54" s="81">
        <v>0.99</v>
      </c>
      <c r="P54" s="81">
        <f t="shared" si="3"/>
        <v>49.955399999999997</v>
      </c>
      <c r="T54" s="91" t="s">
        <v>109</v>
      </c>
      <c r="U54" s="88">
        <v>8382980</v>
      </c>
      <c r="W54" s="130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3">
        <v>8753100</v>
      </c>
      <c r="AC54" s="10">
        <v>48.58</v>
      </c>
      <c r="AD54" s="2">
        <f t="shared" si="0"/>
        <v>1.6599999999999966</v>
      </c>
      <c r="AE54" s="134">
        <f t="shared" si="1"/>
        <v>-3.4194831013916516E-2</v>
      </c>
    </row>
    <row r="55" spans="2:31" x14ac:dyDescent="0.25">
      <c r="B55" s="188"/>
      <c r="C55" s="275"/>
      <c r="D55" s="331"/>
      <c r="E55" s="331"/>
      <c r="F55" s="39"/>
      <c r="G55" s="39"/>
      <c r="H55" s="226"/>
      <c r="I55" s="39"/>
      <c r="O55" s="81">
        <v>0.98</v>
      </c>
      <c r="P55" s="81">
        <f t="shared" si="3"/>
        <v>49.450800000000001</v>
      </c>
      <c r="T55" s="91" t="s">
        <v>107</v>
      </c>
      <c r="U55" s="86" t="s">
        <v>609</v>
      </c>
      <c r="W55" s="130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3">
        <v>7722400</v>
      </c>
      <c r="AC55" s="10">
        <v>50.3</v>
      </c>
      <c r="AD55" s="2">
        <f t="shared" si="0"/>
        <v>0.82999999999999829</v>
      </c>
      <c r="AE55" s="134">
        <f t="shared" si="1"/>
        <v>1.6161616161616044E-2</v>
      </c>
    </row>
    <row r="56" spans="2:31" x14ac:dyDescent="0.25">
      <c r="B56" s="188"/>
      <c r="C56" s="10"/>
      <c r="D56" s="39"/>
      <c r="E56" s="39"/>
      <c r="F56" s="39"/>
      <c r="G56" s="39"/>
      <c r="H56" s="226"/>
      <c r="I56" s="39"/>
      <c r="O56" s="81">
        <v>0.97</v>
      </c>
      <c r="P56" s="81">
        <f t="shared" si="3"/>
        <v>48.946199999999997</v>
      </c>
      <c r="T56" s="91" t="s">
        <v>110</v>
      </c>
      <c r="U56" s="86">
        <v>7.79</v>
      </c>
      <c r="W56" s="130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3">
        <v>7012700</v>
      </c>
      <c r="AC56" s="10">
        <v>49.5</v>
      </c>
      <c r="AD56" s="2">
        <f t="shared" si="0"/>
        <v>0.88000000000000256</v>
      </c>
      <c r="AE56" s="134">
        <f t="shared" si="1"/>
        <v>-1.19760479041916E-2</v>
      </c>
    </row>
    <row r="57" spans="2:31" x14ac:dyDescent="0.25">
      <c r="B57" s="188"/>
      <c r="C57" s="10"/>
      <c r="D57" s="39"/>
      <c r="E57" s="39"/>
      <c r="F57" s="39"/>
      <c r="G57" s="39"/>
      <c r="H57" s="226"/>
      <c r="I57" s="39"/>
      <c r="O57" s="81">
        <v>0.96</v>
      </c>
      <c r="P57" s="81">
        <f t="shared" si="3"/>
        <v>48.441600000000001</v>
      </c>
      <c r="T57" s="91" t="s">
        <v>111</v>
      </c>
      <c r="U57" s="86">
        <v>5.79</v>
      </c>
      <c r="W57" s="130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3">
        <v>7076500</v>
      </c>
      <c r="AC57" s="10">
        <v>50.1</v>
      </c>
      <c r="AD57" s="2">
        <f t="shared" si="0"/>
        <v>1.009999999999998</v>
      </c>
      <c r="AE57" s="134">
        <f t="shared" si="1"/>
        <v>-5.9844404548181629E-4</v>
      </c>
    </row>
    <row r="58" spans="2:31" x14ac:dyDescent="0.25">
      <c r="B58" s="188"/>
      <c r="C58" s="10"/>
      <c r="D58" s="39"/>
      <c r="E58" s="39"/>
      <c r="F58" s="39"/>
      <c r="G58" s="39"/>
      <c r="H58" s="226"/>
      <c r="I58" s="39"/>
      <c r="O58" s="81">
        <v>0.95</v>
      </c>
      <c r="P58" s="81">
        <f t="shared" si="3"/>
        <v>47.936999999999998</v>
      </c>
      <c r="T58" s="91" t="s">
        <v>108</v>
      </c>
      <c r="U58" s="86" t="s">
        <v>576</v>
      </c>
      <c r="W58" s="130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3">
        <v>7477500</v>
      </c>
      <c r="AC58" s="10">
        <v>50.13</v>
      </c>
      <c r="AD58" s="2">
        <f t="shared" si="0"/>
        <v>1.0300000000000011</v>
      </c>
      <c r="AE58" s="134">
        <f t="shared" si="1"/>
        <v>-1.7636684303350969E-2</v>
      </c>
    </row>
    <row r="59" spans="2:31" x14ac:dyDescent="0.25">
      <c r="B59" s="188"/>
      <c r="C59" s="10"/>
      <c r="D59" s="39"/>
      <c r="E59" s="39"/>
      <c r="F59" s="39"/>
      <c r="G59" s="39"/>
      <c r="H59" s="226"/>
      <c r="I59" s="39"/>
      <c r="O59" s="81">
        <v>0.94</v>
      </c>
      <c r="P59" s="81">
        <f t="shared" si="3"/>
        <v>47.432400000000001</v>
      </c>
      <c r="W59" s="130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3">
        <v>7380600</v>
      </c>
      <c r="AC59" s="10">
        <v>51.03</v>
      </c>
      <c r="AD59" s="2">
        <f t="shared" si="0"/>
        <v>0.85999999999999943</v>
      </c>
      <c r="AE59" s="134">
        <f t="shared" si="1"/>
        <v>6.7074373643718488E-3</v>
      </c>
    </row>
    <row r="60" spans="2:31" x14ac:dyDescent="0.25">
      <c r="B60" s="188"/>
      <c r="C60" s="10"/>
      <c r="D60" s="39"/>
      <c r="E60" s="39"/>
      <c r="F60" s="39"/>
      <c r="G60" s="39"/>
      <c r="H60" s="226"/>
      <c r="I60" s="39"/>
      <c r="O60" s="81">
        <v>0.93</v>
      </c>
      <c r="P60" s="81">
        <f t="shared" si="3"/>
        <v>46.927800000000005</v>
      </c>
      <c r="W60" s="130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3">
        <v>14284800</v>
      </c>
      <c r="AC60" s="10">
        <v>50.69</v>
      </c>
      <c r="AD60" s="2">
        <f t="shared" si="0"/>
        <v>2.3299999999999983</v>
      </c>
      <c r="AE60" s="134">
        <f t="shared" si="1"/>
        <v>-1.0733801717408342E-2</v>
      </c>
    </row>
    <row r="61" spans="2:31" x14ac:dyDescent="0.25">
      <c r="B61" s="188"/>
      <c r="C61" s="10"/>
      <c r="D61" s="39"/>
      <c r="E61" s="39"/>
      <c r="F61" s="39"/>
      <c r="G61" s="39"/>
      <c r="H61" s="226"/>
      <c r="I61" s="39"/>
      <c r="O61" s="81">
        <v>0.92</v>
      </c>
      <c r="P61" s="81">
        <f t="shared" si="3"/>
        <v>46.423200000000001</v>
      </c>
      <c r="W61" s="130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3">
        <v>10001600</v>
      </c>
      <c r="AC61" s="10">
        <v>51.24</v>
      </c>
      <c r="AD61" s="2">
        <f t="shared" si="0"/>
        <v>1.0900000000000034</v>
      </c>
      <c r="AE61" s="134">
        <f t="shared" si="1"/>
        <v>1.0053222945002993E-2</v>
      </c>
    </row>
    <row r="62" spans="2:31" x14ac:dyDescent="0.25">
      <c r="B62" s="188"/>
      <c r="C62" s="10"/>
      <c r="D62" s="39"/>
      <c r="E62" s="39"/>
      <c r="F62" s="39"/>
      <c r="G62" s="39"/>
      <c r="H62" s="226"/>
      <c r="I62" s="39"/>
      <c r="O62" s="81">
        <v>0.91</v>
      </c>
      <c r="P62" s="81">
        <f t="shared" si="3"/>
        <v>45.918600000000005</v>
      </c>
      <c r="W62" s="130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3">
        <v>8440500</v>
      </c>
      <c r="AC62" s="10">
        <v>50.73</v>
      </c>
      <c r="AD62" s="2">
        <f t="shared" si="0"/>
        <v>1.490000000000002</v>
      </c>
      <c r="AE62" s="134">
        <f t="shared" si="1"/>
        <v>2.5055566781167826E-2</v>
      </c>
    </row>
    <row r="63" spans="2:31" x14ac:dyDescent="0.25">
      <c r="B63" s="188"/>
      <c r="C63" s="10"/>
      <c r="D63" s="39"/>
      <c r="E63" s="39"/>
      <c r="F63" s="39"/>
      <c r="G63" s="39"/>
      <c r="H63" s="226"/>
      <c r="I63" s="39"/>
      <c r="O63" s="81">
        <v>0.9</v>
      </c>
      <c r="P63" s="81">
        <f t="shared" si="3"/>
        <v>45.414000000000001</v>
      </c>
      <c r="W63" s="130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3">
        <v>5330100</v>
      </c>
      <c r="AC63" s="10">
        <v>49.49</v>
      </c>
      <c r="AD63" s="2">
        <f t="shared" si="0"/>
        <v>0.75</v>
      </c>
      <c r="AE63" s="134">
        <f t="shared" si="1"/>
        <v>2.0210185933722258E-4</v>
      </c>
    </row>
    <row r="64" spans="2:31" x14ac:dyDescent="0.25">
      <c r="B64" s="188"/>
      <c r="C64" s="10"/>
      <c r="D64" s="39"/>
      <c r="E64" s="39"/>
      <c r="F64" s="39"/>
      <c r="G64" s="39"/>
      <c r="H64" s="226"/>
      <c r="I64" s="39"/>
      <c r="W64" s="130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3">
        <v>6922700</v>
      </c>
      <c r="AC64" s="10">
        <v>49.48</v>
      </c>
      <c r="AD64" s="2">
        <f t="shared" si="0"/>
        <v>1.0799999999999983</v>
      </c>
      <c r="AE64" s="134">
        <f t="shared" si="1"/>
        <v>-1.0094891984656629E-3</v>
      </c>
    </row>
    <row r="65" spans="2:31" x14ac:dyDescent="0.25">
      <c r="B65" s="188"/>
      <c r="C65" s="10"/>
      <c r="D65" s="39"/>
      <c r="E65" s="39"/>
      <c r="F65" s="39"/>
      <c r="G65" s="39"/>
      <c r="H65" s="226"/>
      <c r="I65" s="39"/>
      <c r="W65" s="130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3">
        <v>5806200</v>
      </c>
      <c r="AC65" s="10">
        <v>49.53</v>
      </c>
      <c r="AD65" s="2">
        <f t="shared" si="0"/>
        <v>1.1899999999999977</v>
      </c>
      <c r="AE65" s="134">
        <f t="shared" si="1"/>
        <v>-1.9207920792079225E-2</v>
      </c>
    </row>
    <row r="66" spans="2:31" x14ac:dyDescent="0.25">
      <c r="B66" s="188"/>
      <c r="C66" s="10"/>
      <c r="D66" s="39"/>
      <c r="E66" s="39"/>
      <c r="F66" s="39"/>
      <c r="G66" s="39"/>
      <c r="H66" s="226"/>
      <c r="I66" s="39"/>
      <c r="W66" s="130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3">
        <v>7898600</v>
      </c>
      <c r="AC66" s="10">
        <v>50.5</v>
      </c>
      <c r="AD66" s="2">
        <f t="shared" si="0"/>
        <v>0.93999999999999773</v>
      </c>
      <c r="AE66" s="134">
        <f t="shared" si="1"/>
        <v>2.4756493506493449E-2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3">
        <v>5423200</v>
      </c>
      <c r="AC67" s="10">
        <v>49.28</v>
      </c>
      <c r="AD67" s="2">
        <f>Y67-Z67</f>
        <v>0.96999999999999886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3">
        <v>4532400</v>
      </c>
      <c r="AC68" s="10">
        <v>49</v>
      </c>
      <c r="AD68" s="2" t="e">
        <f>#REF!-#REF!</f>
        <v>#REF!</v>
      </c>
      <c r="AE68" s="134" t="e">
        <f>#REF!/AC69-1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71" spans="2:31" x14ac:dyDescent="0.25">
      <c r="B71" s="188"/>
      <c r="C71" s="10"/>
      <c r="D71" s="39"/>
      <c r="E71" s="39"/>
      <c r="F71" s="39"/>
      <c r="G71" s="39"/>
      <c r="H71" s="226"/>
      <c r="I71" s="39"/>
    </row>
    <row r="72" spans="2:31" x14ac:dyDescent="0.25">
      <c r="B72" s="188"/>
      <c r="C72" s="10"/>
      <c r="D72" s="39"/>
      <c r="E72" s="39"/>
      <c r="F72" s="39"/>
      <c r="G72" s="39"/>
      <c r="H72" s="226"/>
      <c r="I72" s="39"/>
    </row>
    <row r="73" spans="2:31" x14ac:dyDescent="0.25">
      <c r="B73" s="188"/>
      <c r="C73" s="10"/>
      <c r="D73" s="39"/>
      <c r="E73" s="39"/>
      <c r="F73" s="39"/>
      <c r="G73" s="39"/>
      <c r="H73" s="226"/>
      <c r="I73" s="39"/>
    </row>
    <row r="74" spans="2:31" x14ac:dyDescent="0.25">
      <c r="B74" s="188"/>
      <c r="C74" s="10"/>
      <c r="D74" s="39"/>
      <c r="E74" s="39"/>
      <c r="F74" s="39"/>
      <c r="G74" s="39"/>
      <c r="H74" s="226"/>
      <c r="I74" s="39"/>
    </row>
    <row r="75" spans="2:31" x14ac:dyDescent="0.25">
      <c r="B75" s="188"/>
      <c r="C75" s="10"/>
      <c r="D75" s="39"/>
      <c r="E75" s="39"/>
      <c r="F75" s="39"/>
      <c r="G75" s="39"/>
      <c r="H75" s="226"/>
      <c r="I75" s="39"/>
    </row>
    <row r="76" spans="2:31" x14ac:dyDescent="0.25">
      <c r="B76" s="188"/>
      <c r="C76" s="10"/>
      <c r="D76" s="39"/>
      <c r="E76" s="39"/>
      <c r="F76" s="39"/>
      <c r="G76" s="39"/>
      <c r="H76" s="226"/>
      <c r="I76" s="39"/>
    </row>
    <row r="77" spans="2:31" x14ac:dyDescent="0.25">
      <c r="B77" s="188"/>
      <c r="C77" s="10"/>
      <c r="D77" s="39"/>
      <c r="E77" s="39"/>
      <c r="F77" s="39"/>
      <c r="G77" s="39"/>
      <c r="H77" s="226"/>
      <c r="I77" s="39"/>
    </row>
    <row r="78" spans="2:31" x14ac:dyDescent="0.25">
      <c r="B78" s="188"/>
      <c r="C78" s="10"/>
      <c r="D78" s="39"/>
      <c r="E78" s="39"/>
      <c r="F78" s="39"/>
      <c r="G78" s="39"/>
      <c r="H78" s="226"/>
      <c r="I78" s="39"/>
    </row>
    <row r="79" spans="2:31" x14ac:dyDescent="0.25">
      <c r="B79" s="188"/>
      <c r="C79" s="10"/>
      <c r="D79" s="39"/>
      <c r="E79" s="39"/>
      <c r="F79" s="39"/>
      <c r="G79" s="39"/>
      <c r="H79" s="226"/>
      <c r="I79" s="39"/>
    </row>
    <row r="80" spans="2:31" x14ac:dyDescent="0.25">
      <c r="B80" s="188"/>
      <c r="C80" s="10"/>
      <c r="D80" s="39"/>
      <c r="E80" s="39"/>
      <c r="F80" s="39"/>
      <c r="G80" s="39"/>
      <c r="H80" s="226"/>
      <c r="I80" s="39"/>
    </row>
    <row r="81" spans="2:9" x14ac:dyDescent="0.25">
      <c r="B81" s="188"/>
      <c r="C81" s="10"/>
      <c r="D81" s="39"/>
      <c r="E81" s="39"/>
      <c r="F81" s="39"/>
      <c r="G81" s="39"/>
      <c r="H81" s="226"/>
      <c r="I81" s="39"/>
    </row>
    <row r="82" spans="2:9" x14ac:dyDescent="0.25">
      <c r="B82" s="188"/>
      <c r="C82" s="10"/>
      <c r="D82" s="39"/>
      <c r="E82" s="39"/>
      <c r="F82" s="39"/>
      <c r="G82" s="39"/>
      <c r="H82" s="226"/>
      <c r="I82" s="39"/>
    </row>
    <row r="83" spans="2:9" x14ac:dyDescent="0.25">
      <c r="B83" s="188"/>
      <c r="C83" s="10"/>
      <c r="D83" s="39"/>
      <c r="E83" s="39"/>
      <c r="F83" s="39"/>
      <c r="G83" s="39"/>
      <c r="H83" s="226"/>
      <c r="I83" s="39"/>
    </row>
    <row r="84" spans="2:9" x14ac:dyDescent="0.25">
      <c r="B84" s="188"/>
      <c r="C84" s="10"/>
      <c r="D84" s="39"/>
      <c r="E84" s="39"/>
      <c r="F84" s="39"/>
      <c r="G84" s="39"/>
      <c r="H84" s="226"/>
      <c r="I84" s="39"/>
    </row>
    <row r="85" spans="2:9" x14ac:dyDescent="0.25">
      <c r="B85" s="188"/>
      <c r="C85" s="10"/>
      <c r="D85" s="39"/>
      <c r="E85" s="39"/>
      <c r="F85" s="39"/>
      <c r="G85" s="39"/>
      <c r="H85" s="226"/>
      <c r="I85" s="39"/>
    </row>
    <row r="86" spans="2:9" x14ac:dyDescent="0.25">
      <c r="B86" s="188"/>
      <c r="C86" s="10"/>
      <c r="D86" s="39"/>
      <c r="E86" s="39"/>
      <c r="F86" s="39"/>
      <c r="G86" s="39"/>
      <c r="H86" s="226"/>
      <c r="I86" s="39"/>
    </row>
    <row r="87" spans="2:9" x14ac:dyDescent="0.25">
      <c r="B87" s="188"/>
      <c r="C87" s="10"/>
      <c r="D87" s="39"/>
      <c r="E87" s="39"/>
      <c r="F87" s="39"/>
      <c r="G87" s="39"/>
      <c r="H87" s="226"/>
      <c r="I87" s="39"/>
    </row>
    <row r="88" spans="2:9" x14ac:dyDescent="0.25">
      <c r="B88" s="188"/>
      <c r="C88" s="10"/>
      <c r="D88" s="39"/>
      <c r="E88" s="39"/>
      <c r="F88" s="39"/>
      <c r="G88" s="39"/>
      <c r="H88" s="226"/>
      <c r="I88" s="39"/>
    </row>
    <row r="89" spans="2:9" x14ac:dyDescent="0.25">
      <c r="B89" s="188"/>
      <c r="C89" s="10"/>
      <c r="D89" s="39"/>
      <c r="E89" s="39"/>
      <c r="F89" s="39"/>
      <c r="G89" s="39"/>
      <c r="H89" s="226"/>
      <c r="I89" s="39"/>
    </row>
    <row r="90" spans="2:9" x14ac:dyDescent="0.25">
      <c r="B90" s="188"/>
      <c r="C90" s="10"/>
      <c r="D90" s="39"/>
      <c r="E90" s="39"/>
      <c r="F90" s="39"/>
      <c r="G90" s="39"/>
      <c r="H90" s="226"/>
      <c r="I90" s="39"/>
    </row>
    <row r="91" spans="2:9" x14ac:dyDescent="0.25">
      <c r="B91" s="188"/>
      <c r="C91" s="10"/>
      <c r="D91" s="39"/>
      <c r="E91" s="39"/>
      <c r="F91" s="39"/>
      <c r="G91" s="39"/>
      <c r="H91" s="226"/>
      <c r="I91" s="39"/>
    </row>
    <row r="92" spans="2:9" x14ac:dyDescent="0.25">
      <c r="B92" s="517"/>
      <c r="C92" s="186"/>
      <c r="D92" s="187"/>
      <c r="E92" s="187"/>
      <c r="F92" s="187"/>
      <c r="G92" s="187"/>
      <c r="H92" s="518"/>
      <c r="I92" s="187"/>
    </row>
    <row r="93" spans="2:9" x14ac:dyDescent="0.25">
      <c r="B93" s="188"/>
      <c r="C93" s="10"/>
      <c r="D93" s="39"/>
      <c r="E93" s="39"/>
      <c r="F93" s="39"/>
      <c r="G93" s="39"/>
      <c r="H93" s="226"/>
      <c r="I93" s="39"/>
    </row>
    <row r="94" spans="2:9" x14ac:dyDescent="0.25">
      <c r="B94" s="188"/>
      <c r="C94" s="10"/>
      <c r="D94" s="39"/>
      <c r="E94" s="39"/>
      <c r="F94" s="39"/>
      <c r="G94" s="39"/>
      <c r="H94" s="226"/>
      <c r="I94" s="39"/>
    </row>
    <row r="95" spans="2:9" x14ac:dyDescent="0.25">
      <c r="B95" s="188"/>
      <c r="C95" s="10"/>
      <c r="D95" s="39"/>
      <c r="E95" s="39"/>
      <c r="F95" s="39"/>
      <c r="G95" s="39"/>
      <c r="H95" s="226"/>
      <c r="I95" s="39"/>
    </row>
    <row r="96" spans="2:9" x14ac:dyDescent="0.25">
      <c r="B96" s="188"/>
      <c r="C96" s="10"/>
      <c r="D96" s="39"/>
      <c r="E96" s="39"/>
      <c r="F96" s="39"/>
      <c r="G96" s="39"/>
      <c r="H96" s="226"/>
      <c r="I96" s="39"/>
    </row>
    <row r="97" spans="1:13" x14ac:dyDescent="0.25">
      <c r="B97" s="188"/>
      <c r="C97" s="10"/>
      <c r="D97" s="39"/>
      <c r="E97" s="39"/>
      <c r="F97" s="39"/>
      <c r="G97" s="39"/>
      <c r="H97" s="226"/>
      <c r="I97" s="39"/>
    </row>
    <row r="98" spans="1:13" x14ac:dyDescent="0.25">
      <c r="B98" s="188"/>
      <c r="C98" s="10"/>
      <c r="D98" s="39"/>
      <c r="E98" s="39"/>
      <c r="F98" s="39"/>
      <c r="G98" s="39"/>
      <c r="H98" s="226"/>
      <c r="I98" s="39"/>
    </row>
    <row r="99" spans="1:13" x14ac:dyDescent="0.25">
      <c r="B99" s="188"/>
      <c r="C99" s="10"/>
      <c r="D99" s="39"/>
      <c r="E99" s="39"/>
      <c r="F99" s="39"/>
      <c r="G99" s="39"/>
      <c r="H99" s="226"/>
      <c r="I99" s="39"/>
    </row>
    <row r="100" spans="1:13" x14ac:dyDescent="0.25">
      <c r="B100" s="188"/>
      <c r="C100" s="10"/>
      <c r="D100" s="39"/>
      <c r="E100" s="39"/>
      <c r="F100" s="39"/>
      <c r="G100" s="39"/>
      <c r="H100" s="226"/>
      <c r="I100" s="39"/>
    </row>
    <row r="101" spans="1:13" x14ac:dyDescent="0.25">
      <c r="B101" s="188"/>
      <c r="C101" s="10"/>
      <c r="D101" s="39"/>
      <c r="E101" s="39"/>
      <c r="F101" s="39"/>
      <c r="G101" s="39"/>
      <c r="H101" s="226"/>
      <c r="I101" s="39"/>
    </row>
    <row r="102" spans="1:13" x14ac:dyDescent="0.25">
      <c r="B102" s="188"/>
      <c r="C102" s="10"/>
      <c r="D102" s="39"/>
      <c r="E102" s="39"/>
      <c r="F102" s="39"/>
      <c r="G102" s="39"/>
      <c r="H102" s="226"/>
      <c r="I102" s="39"/>
    </row>
    <row r="104" spans="1:13" x14ac:dyDescent="0.25">
      <c r="L104" t="s">
        <v>209</v>
      </c>
      <c r="M104" s="442">
        <f>M122+K122-F122</f>
        <v>205.01999999999998</v>
      </c>
    </row>
    <row r="105" spans="1:13" x14ac:dyDescent="0.25">
      <c r="A105" s="256" t="s">
        <v>1</v>
      </c>
      <c r="B105" s="256" t="s">
        <v>2</v>
      </c>
      <c r="C105" s="256" t="s">
        <v>4</v>
      </c>
      <c r="D105" s="257" t="s">
        <v>5</v>
      </c>
      <c r="E105" s="257" t="s">
        <v>94</v>
      </c>
      <c r="F105" s="257" t="s">
        <v>60</v>
      </c>
      <c r="G105" s="256" t="s">
        <v>3</v>
      </c>
      <c r="H105" s="256" t="s">
        <v>6</v>
      </c>
      <c r="I105" s="257" t="s">
        <v>7</v>
      </c>
      <c r="J105" s="257" t="s">
        <v>95</v>
      </c>
      <c r="K105" s="257" t="s">
        <v>61</v>
      </c>
      <c r="L105" s="256" t="s">
        <v>37</v>
      </c>
      <c r="M105" s="256" t="s">
        <v>38</v>
      </c>
    </row>
    <row r="106" spans="1:13" x14ac:dyDescent="0.25">
      <c r="A106" s="258" t="s">
        <v>32</v>
      </c>
      <c r="B106" s="259">
        <v>42405</v>
      </c>
      <c r="C106" s="254">
        <v>30</v>
      </c>
      <c r="D106" s="255">
        <v>41.95</v>
      </c>
      <c r="E106" s="255">
        <v>0</v>
      </c>
      <c r="F106" s="255">
        <f>D106*C106+E106</f>
        <v>1258.5</v>
      </c>
      <c r="G106" s="259">
        <v>42445</v>
      </c>
      <c r="H106" s="260">
        <v>30</v>
      </c>
      <c r="I106" s="255">
        <v>48.65</v>
      </c>
      <c r="J106" s="255">
        <v>0.03</v>
      </c>
      <c r="K106" s="255">
        <f>H106*I106-J106</f>
        <v>1459.47</v>
      </c>
      <c r="L106" s="259">
        <v>42438</v>
      </c>
      <c r="M106" s="254">
        <v>4.05</v>
      </c>
    </row>
    <row r="107" spans="1:13" x14ac:dyDescent="0.25">
      <c r="A107" s="261" t="s">
        <v>71</v>
      </c>
      <c r="B107" s="259"/>
      <c r="C107" s="254"/>
      <c r="D107" s="255"/>
      <c r="E107" s="255"/>
      <c r="F107" s="255"/>
      <c r="G107" s="259"/>
      <c r="H107" s="260"/>
      <c r="I107" s="255"/>
      <c r="J107" s="255"/>
      <c r="K107" s="255"/>
      <c r="L107" s="259"/>
      <c r="M107" s="255"/>
    </row>
    <row r="108" spans="1:13" x14ac:dyDescent="0.25">
      <c r="A108" s="254"/>
      <c r="B108" s="259"/>
      <c r="C108" s="254"/>
      <c r="D108" s="255"/>
      <c r="E108" s="255"/>
      <c r="F108" s="255"/>
      <c r="G108" s="259"/>
      <c r="H108" s="260"/>
      <c r="I108" s="255"/>
      <c r="J108" s="255"/>
      <c r="K108" s="255"/>
      <c r="L108" s="254"/>
      <c r="M108" s="254"/>
    </row>
    <row r="109" spans="1:13" x14ac:dyDescent="0.25">
      <c r="A109" s="254"/>
      <c r="B109" s="259"/>
      <c r="C109" s="254"/>
      <c r="D109" s="255"/>
      <c r="E109" s="255"/>
      <c r="F109" s="255"/>
      <c r="G109" s="259"/>
      <c r="H109" s="260"/>
      <c r="I109" s="255"/>
      <c r="J109" s="255"/>
      <c r="K109" s="255"/>
      <c r="L109" s="254"/>
      <c r="M109" s="254"/>
    </row>
    <row r="110" spans="1:13" x14ac:dyDescent="0.25">
      <c r="A110" s="254"/>
      <c r="B110" s="259"/>
      <c r="C110" s="254"/>
      <c r="D110" s="255"/>
      <c r="E110" s="255"/>
      <c r="F110" s="255"/>
      <c r="G110" s="254"/>
      <c r="H110" s="260"/>
      <c r="I110" s="255"/>
      <c r="J110" s="255"/>
      <c r="K110" s="255"/>
      <c r="L110" s="254"/>
      <c r="M110" s="254"/>
    </row>
    <row r="111" spans="1:13" x14ac:dyDescent="0.25">
      <c r="A111" s="254"/>
      <c r="B111" s="259"/>
      <c r="C111" s="254"/>
      <c r="D111" s="255"/>
      <c r="E111" s="255"/>
      <c r="F111" s="255"/>
      <c r="G111" s="254"/>
      <c r="H111" s="260"/>
      <c r="I111" s="255"/>
      <c r="J111" s="255"/>
      <c r="K111" s="255"/>
      <c r="L111" s="254"/>
      <c r="M111" s="254"/>
    </row>
    <row r="112" spans="1:13" x14ac:dyDescent="0.25">
      <c r="A112" s="254"/>
      <c r="B112" s="259"/>
      <c r="C112" s="254"/>
      <c r="D112" s="255"/>
      <c r="E112" s="255"/>
      <c r="F112" s="255"/>
      <c r="G112" s="254"/>
      <c r="H112" s="260"/>
      <c r="I112" s="255"/>
      <c r="J112" s="255"/>
      <c r="K112" s="255"/>
      <c r="L112" s="254"/>
      <c r="M112" s="254"/>
    </row>
    <row r="113" spans="1:13" x14ac:dyDescent="0.25">
      <c r="A113" s="254"/>
      <c r="B113" s="259"/>
      <c r="C113" s="254"/>
      <c r="D113" s="255"/>
      <c r="E113" s="255"/>
      <c r="F113" s="255"/>
      <c r="G113" s="254"/>
      <c r="H113" s="260"/>
      <c r="I113" s="255"/>
      <c r="J113" s="255"/>
      <c r="K113" s="255"/>
      <c r="L113" s="254"/>
      <c r="M113" s="254"/>
    </row>
    <row r="114" spans="1:13" x14ac:dyDescent="0.25">
      <c r="A114" s="254"/>
      <c r="B114" s="254"/>
      <c r="C114" s="254"/>
      <c r="D114" s="255"/>
      <c r="E114" s="255"/>
      <c r="F114" s="255"/>
      <c r="G114" s="254"/>
      <c r="H114" s="254"/>
      <c r="I114" s="255"/>
      <c r="J114" s="255"/>
      <c r="K114" s="255"/>
      <c r="L114" s="254"/>
      <c r="M114" s="254"/>
    </row>
    <row r="115" spans="1:13" x14ac:dyDescent="0.25">
      <c r="A115" s="254"/>
      <c r="B115" s="254"/>
      <c r="C115" s="254"/>
      <c r="D115" s="255"/>
      <c r="E115" s="255"/>
      <c r="F115" s="255"/>
      <c r="G115" s="254"/>
      <c r="H115" s="254"/>
      <c r="I115" s="255"/>
      <c r="J115" s="255"/>
      <c r="K115" s="255"/>
      <c r="L115" s="254"/>
      <c r="M115" s="254"/>
    </row>
    <row r="116" spans="1:13" x14ac:dyDescent="0.25">
      <c r="A116" s="254"/>
      <c r="B116" s="254"/>
      <c r="C116" s="254"/>
      <c r="D116" s="255"/>
      <c r="E116" s="255"/>
      <c r="F116" s="255"/>
      <c r="G116" s="254"/>
      <c r="H116" s="254"/>
      <c r="I116" s="255"/>
      <c r="J116" s="255"/>
      <c r="K116" s="255"/>
      <c r="L116" s="254"/>
      <c r="M116" s="254"/>
    </row>
    <row r="117" spans="1:13" x14ac:dyDescent="0.25">
      <c r="A117" s="254"/>
      <c r="B117" s="254"/>
      <c r="C117" s="254"/>
      <c r="D117" s="255"/>
      <c r="E117" s="255"/>
      <c r="F117" s="255"/>
      <c r="G117" s="254"/>
      <c r="H117" s="254"/>
      <c r="I117" s="255"/>
      <c r="J117" s="255"/>
      <c r="K117" s="255"/>
      <c r="L117" s="254"/>
      <c r="M117" s="254"/>
    </row>
    <row r="118" spans="1:13" x14ac:dyDescent="0.25">
      <c r="A118" s="254"/>
      <c r="B118" s="254"/>
      <c r="C118" s="254"/>
      <c r="D118" s="255"/>
      <c r="E118" s="255"/>
      <c r="F118" s="255"/>
      <c r="G118" s="254"/>
      <c r="H118" s="254"/>
      <c r="I118" s="255"/>
      <c r="J118" s="255"/>
      <c r="K118" s="255"/>
      <c r="L118" s="254"/>
      <c r="M118" s="254"/>
    </row>
    <row r="119" spans="1:13" x14ac:dyDescent="0.25">
      <c r="A119" s="254"/>
      <c r="B119" s="254"/>
      <c r="C119" s="254"/>
      <c r="D119" s="255"/>
      <c r="E119" s="255"/>
      <c r="F119" s="255"/>
      <c r="G119" s="254"/>
      <c r="H119" s="254"/>
      <c r="I119" s="255"/>
      <c r="J119" s="255"/>
      <c r="K119" s="255"/>
      <c r="L119" s="254"/>
      <c r="M119" s="254"/>
    </row>
    <row r="120" spans="1:13" x14ac:dyDescent="0.25">
      <c r="A120" s="254"/>
      <c r="B120" s="254"/>
      <c r="C120" s="254"/>
      <c r="D120" s="255"/>
      <c r="E120" s="255"/>
      <c r="F120" s="255"/>
      <c r="G120" s="254"/>
      <c r="H120" s="254"/>
      <c r="I120" s="255"/>
      <c r="J120" s="255"/>
      <c r="K120" s="255"/>
      <c r="L120" s="254"/>
      <c r="M120" s="254"/>
    </row>
    <row r="121" spans="1:13" x14ac:dyDescent="0.25">
      <c r="A121" s="254"/>
      <c r="B121" s="254"/>
      <c r="C121" s="254"/>
      <c r="D121" s="255"/>
      <c r="E121" s="255"/>
      <c r="F121" s="255"/>
      <c r="G121" s="254"/>
      <c r="H121" s="260"/>
      <c r="I121" s="255"/>
      <c r="J121" s="255"/>
      <c r="K121" s="255"/>
      <c r="L121" s="254"/>
      <c r="M121" s="254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42">
        <f>M155+K155-F155</f>
        <v>993.44999999999709</v>
      </c>
    </row>
    <row r="127" spans="1:13" x14ac:dyDescent="0.25">
      <c r="A127" s="256" t="s">
        <v>1</v>
      </c>
      <c r="B127" s="256" t="s">
        <v>2</v>
      </c>
      <c r="C127" s="256" t="s">
        <v>4</v>
      </c>
      <c r="D127" s="257" t="s">
        <v>5</v>
      </c>
      <c r="E127" s="257" t="s">
        <v>94</v>
      </c>
      <c r="F127" s="257" t="s">
        <v>60</v>
      </c>
      <c r="G127" s="256" t="s">
        <v>3</v>
      </c>
      <c r="H127" s="256" t="s">
        <v>6</v>
      </c>
      <c r="I127" s="257" t="s">
        <v>7</v>
      </c>
      <c r="J127" s="257" t="s">
        <v>95</v>
      </c>
      <c r="K127" s="257" t="s">
        <v>61</v>
      </c>
      <c r="L127" s="256" t="s">
        <v>37</v>
      </c>
      <c r="M127" s="256" t="s">
        <v>38</v>
      </c>
    </row>
    <row r="128" spans="1:13" x14ac:dyDescent="0.25">
      <c r="A128" s="258" t="s">
        <v>32</v>
      </c>
      <c r="B128" s="259">
        <v>42467</v>
      </c>
      <c r="C128" s="254">
        <v>50</v>
      </c>
      <c r="D128" s="255">
        <v>45.5</v>
      </c>
      <c r="E128" s="255">
        <v>0</v>
      </c>
      <c r="F128" s="255">
        <f t="shared" ref="F128:F139" si="4">D128*C128+E128</f>
        <v>2275</v>
      </c>
      <c r="G128" s="254"/>
      <c r="H128" s="254"/>
      <c r="I128" s="255"/>
      <c r="J128" s="255"/>
      <c r="K128" s="255"/>
      <c r="L128" s="259">
        <v>42522</v>
      </c>
      <c r="M128" s="255">
        <v>33.75</v>
      </c>
    </row>
    <row r="129" spans="1:13" x14ac:dyDescent="0.25">
      <c r="A129" s="261" t="s">
        <v>71</v>
      </c>
      <c r="B129" s="259">
        <v>42482</v>
      </c>
      <c r="C129" s="254">
        <v>50</v>
      </c>
      <c r="D129" s="255">
        <v>43.65</v>
      </c>
      <c r="E129" s="255">
        <v>0</v>
      </c>
      <c r="F129" s="255">
        <f t="shared" si="4"/>
        <v>2182.5</v>
      </c>
      <c r="G129" s="259">
        <v>42507</v>
      </c>
      <c r="H129" s="260">
        <v>100</v>
      </c>
      <c r="I129" s="255">
        <v>43.59</v>
      </c>
      <c r="J129" s="255">
        <v>0.1</v>
      </c>
      <c r="K129" s="255">
        <f>H129*I129-J129</f>
        <v>4358.8999999999996</v>
      </c>
      <c r="L129" s="259">
        <v>42615</v>
      </c>
      <c r="M129" s="255">
        <v>81</v>
      </c>
    </row>
    <row r="130" spans="1:13" x14ac:dyDescent="0.25">
      <c r="A130" s="254"/>
      <c r="B130" s="259">
        <v>42486</v>
      </c>
      <c r="C130" s="254">
        <v>50</v>
      </c>
      <c r="D130" s="255">
        <v>43.25</v>
      </c>
      <c r="E130" s="255">
        <v>0</v>
      </c>
      <c r="F130" s="255">
        <f t="shared" si="4"/>
        <v>2162.5</v>
      </c>
      <c r="G130" s="259">
        <v>42509</v>
      </c>
      <c r="H130" s="260">
        <v>50</v>
      </c>
      <c r="I130" s="255">
        <v>43.12</v>
      </c>
      <c r="J130" s="255">
        <v>0.05</v>
      </c>
      <c r="K130" s="255">
        <f>H130*I130-J130</f>
        <v>2155.9499999999998</v>
      </c>
      <c r="L130" s="254"/>
      <c r="M130" s="254"/>
    </row>
    <row r="131" spans="1:13" x14ac:dyDescent="0.25">
      <c r="A131" s="254"/>
      <c r="B131" s="259">
        <v>42489</v>
      </c>
      <c r="C131" s="254">
        <v>50</v>
      </c>
      <c r="D131" s="255">
        <v>41.95</v>
      </c>
      <c r="E131" s="255">
        <v>0</v>
      </c>
      <c r="F131" s="255">
        <f t="shared" si="4"/>
        <v>2097.5</v>
      </c>
      <c r="G131" s="259">
        <v>42515</v>
      </c>
      <c r="H131" s="260">
        <v>50</v>
      </c>
      <c r="I131" s="255">
        <v>43.96</v>
      </c>
      <c r="J131" s="255">
        <v>0.05</v>
      </c>
      <c r="K131" s="255">
        <f>H131*I131-J131</f>
        <v>2197.9499999999998</v>
      </c>
      <c r="L131" s="254"/>
      <c r="M131" s="254"/>
    </row>
    <row r="132" spans="1:13" x14ac:dyDescent="0.25">
      <c r="A132" s="254"/>
      <c r="B132" s="259">
        <v>42489</v>
      </c>
      <c r="C132" s="254">
        <v>50</v>
      </c>
      <c r="D132" s="255">
        <v>41.39</v>
      </c>
      <c r="E132" s="255">
        <v>0</v>
      </c>
      <c r="F132" s="255">
        <f t="shared" si="4"/>
        <v>2069.5</v>
      </c>
      <c r="G132" s="254"/>
      <c r="H132" s="254"/>
      <c r="I132" s="255"/>
      <c r="J132" s="255"/>
      <c r="K132" s="255"/>
      <c r="L132" s="254"/>
      <c r="M132" s="254"/>
    </row>
    <row r="133" spans="1:13" x14ac:dyDescent="0.25">
      <c r="A133" s="254"/>
      <c r="B133" s="259">
        <v>42509</v>
      </c>
      <c r="C133" s="254">
        <v>50</v>
      </c>
      <c r="D133" s="255">
        <v>42.59</v>
      </c>
      <c r="E133" s="255">
        <v>0</v>
      </c>
      <c r="F133" s="255">
        <f t="shared" si="4"/>
        <v>2129.5</v>
      </c>
      <c r="G133" s="259">
        <v>42545</v>
      </c>
      <c r="H133" s="260">
        <v>100</v>
      </c>
      <c r="I133" s="255">
        <v>37.01</v>
      </c>
      <c r="J133" s="255">
        <v>0.57999999999999996</v>
      </c>
      <c r="K133" s="255">
        <f>H133*I133-J133</f>
        <v>3700.42</v>
      </c>
      <c r="L133" s="254"/>
      <c r="M133" s="254"/>
    </row>
    <row r="134" spans="1:13" x14ac:dyDescent="0.25">
      <c r="A134" s="254"/>
      <c r="B134" s="259">
        <v>42509</v>
      </c>
      <c r="C134" s="254">
        <v>50</v>
      </c>
      <c r="D134" s="255">
        <v>42.59</v>
      </c>
      <c r="E134" s="255">
        <v>0</v>
      </c>
      <c r="F134" s="255">
        <f t="shared" si="4"/>
        <v>2129.5</v>
      </c>
      <c r="G134" s="259">
        <v>42563</v>
      </c>
      <c r="H134" s="260">
        <v>100</v>
      </c>
      <c r="I134" s="255">
        <v>39.340000000000003</v>
      </c>
      <c r="J134" s="255">
        <v>0.09</v>
      </c>
      <c r="K134" s="255">
        <f>H134*I134-J134</f>
        <v>3933.9100000000003</v>
      </c>
      <c r="L134" s="254"/>
      <c r="M134" s="254"/>
    </row>
    <row r="135" spans="1:13" x14ac:dyDescent="0.25">
      <c r="A135" s="254"/>
      <c r="B135" s="259">
        <v>42515</v>
      </c>
      <c r="C135" s="254">
        <v>50</v>
      </c>
      <c r="D135" s="255">
        <v>43.45</v>
      </c>
      <c r="E135" s="255">
        <v>0</v>
      </c>
      <c r="F135" s="255">
        <f t="shared" si="4"/>
        <v>2172.5</v>
      </c>
      <c r="G135" s="515"/>
      <c r="H135" s="254"/>
      <c r="I135" s="255"/>
      <c r="J135" s="255"/>
      <c r="K135" s="255"/>
      <c r="L135" s="254"/>
      <c r="M135" s="254"/>
    </row>
    <row r="136" spans="1:13" x14ac:dyDescent="0.25">
      <c r="A136" s="254"/>
      <c r="B136" s="259">
        <v>42535</v>
      </c>
      <c r="C136" s="254">
        <v>100</v>
      </c>
      <c r="D136" s="255">
        <v>39.85</v>
      </c>
      <c r="E136" s="255">
        <v>0</v>
      </c>
      <c r="F136" s="255">
        <f t="shared" si="4"/>
        <v>3985</v>
      </c>
      <c r="G136" s="259">
        <v>42566</v>
      </c>
      <c r="H136" s="401">
        <v>100</v>
      </c>
      <c r="I136" s="361">
        <v>40.479999999999997</v>
      </c>
      <c r="J136" s="361">
        <v>0.09</v>
      </c>
      <c r="K136" s="361">
        <f t="shared" ref="K136:K142" si="5">H136*I136-J136</f>
        <v>4047.9099999999994</v>
      </c>
      <c r="L136" s="254"/>
      <c r="M136" s="254"/>
    </row>
    <row r="137" spans="1:13" x14ac:dyDescent="0.25">
      <c r="A137" s="254"/>
      <c r="B137" s="259">
        <v>42537</v>
      </c>
      <c r="C137" s="254">
        <v>100</v>
      </c>
      <c r="D137" s="255">
        <v>37.85</v>
      </c>
      <c r="E137" s="255">
        <v>0</v>
      </c>
      <c r="F137" s="255">
        <f t="shared" si="4"/>
        <v>3785</v>
      </c>
      <c r="G137" s="259">
        <v>42571</v>
      </c>
      <c r="H137" s="260">
        <v>100</v>
      </c>
      <c r="I137" s="255">
        <v>41.08</v>
      </c>
      <c r="J137" s="255">
        <v>0.09</v>
      </c>
      <c r="K137" s="361">
        <f t="shared" si="5"/>
        <v>4107.91</v>
      </c>
      <c r="L137" s="254"/>
      <c r="M137" s="254"/>
    </row>
    <row r="138" spans="1:13" x14ac:dyDescent="0.25">
      <c r="A138" s="254"/>
      <c r="B138" s="259">
        <v>42545</v>
      </c>
      <c r="C138" s="254">
        <v>50</v>
      </c>
      <c r="D138" s="255">
        <v>36.01</v>
      </c>
      <c r="E138" s="255">
        <v>0</v>
      </c>
      <c r="F138" s="255">
        <f t="shared" si="4"/>
        <v>1800.5</v>
      </c>
      <c r="G138" s="259">
        <v>42580</v>
      </c>
      <c r="H138" s="260">
        <v>50</v>
      </c>
      <c r="I138" s="255">
        <v>39.78</v>
      </c>
      <c r="J138" s="255">
        <v>0.04</v>
      </c>
      <c r="K138" s="255">
        <f t="shared" si="5"/>
        <v>1988.96</v>
      </c>
      <c r="L138" s="254"/>
      <c r="M138" s="254"/>
    </row>
    <row r="139" spans="1:13" x14ac:dyDescent="0.25">
      <c r="A139" s="254"/>
      <c r="B139" s="259">
        <v>42545</v>
      </c>
      <c r="C139" s="254">
        <v>50</v>
      </c>
      <c r="D139" s="255">
        <v>36.01</v>
      </c>
      <c r="E139" s="255">
        <v>0</v>
      </c>
      <c r="F139" s="255">
        <f t="shared" si="4"/>
        <v>1800.5</v>
      </c>
      <c r="G139" s="259">
        <v>42620</v>
      </c>
      <c r="H139" s="260">
        <v>50</v>
      </c>
      <c r="I139" s="255">
        <v>38.18</v>
      </c>
      <c r="J139" s="255">
        <v>0.04</v>
      </c>
      <c r="K139" s="255">
        <f t="shared" si="5"/>
        <v>1908.96</v>
      </c>
      <c r="L139" s="254"/>
      <c r="M139" s="254"/>
    </row>
    <row r="140" spans="1:13" x14ac:dyDescent="0.25">
      <c r="A140" s="254"/>
      <c r="B140" s="259">
        <v>42545</v>
      </c>
      <c r="C140" s="254">
        <v>100</v>
      </c>
      <c r="D140" s="255">
        <v>36.01</v>
      </c>
      <c r="E140" s="255">
        <v>0</v>
      </c>
      <c r="F140" s="255">
        <f>D140*C140+E140</f>
        <v>3601</v>
      </c>
      <c r="G140" s="259">
        <v>42620</v>
      </c>
      <c r="H140" s="260">
        <v>50</v>
      </c>
      <c r="I140" s="255">
        <v>38.880000000000003</v>
      </c>
      <c r="J140" s="255">
        <v>0.04</v>
      </c>
      <c r="K140" s="255">
        <f t="shared" si="5"/>
        <v>1943.9600000000003</v>
      </c>
      <c r="L140" s="254"/>
      <c r="M140" s="254"/>
    </row>
    <row r="141" spans="1:13" x14ac:dyDescent="0.25">
      <c r="A141" s="254"/>
      <c r="B141" s="259">
        <v>42548</v>
      </c>
      <c r="C141" s="254">
        <v>100</v>
      </c>
      <c r="D141" s="255">
        <v>33.880000000000003</v>
      </c>
      <c r="E141" s="255">
        <v>0</v>
      </c>
      <c r="F141" s="255">
        <f>D141*C141+E141</f>
        <v>3388.0000000000005</v>
      </c>
      <c r="G141" s="259">
        <v>42620</v>
      </c>
      <c r="H141" s="260">
        <v>50</v>
      </c>
      <c r="I141" s="255">
        <v>39.090000000000003</v>
      </c>
      <c r="J141" s="255">
        <v>-0.09</v>
      </c>
      <c r="K141" s="255">
        <f t="shared" si="5"/>
        <v>1954.5900000000001</v>
      </c>
      <c r="L141" s="254"/>
      <c r="M141" s="254"/>
    </row>
    <row r="142" spans="1:13" x14ac:dyDescent="0.25">
      <c r="A142" s="254"/>
      <c r="B142" s="259">
        <v>42572</v>
      </c>
      <c r="C142" s="254">
        <v>50</v>
      </c>
      <c r="D142" s="255">
        <v>38.58</v>
      </c>
      <c r="E142" s="255">
        <v>0</v>
      </c>
      <c r="F142" s="255">
        <f>D142*C142+E142</f>
        <v>1929</v>
      </c>
      <c r="G142" s="259">
        <v>42641</v>
      </c>
      <c r="H142" s="260">
        <v>250</v>
      </c>
      <c r="I142" s="255">
        <v>39.68</v>
      </c>
      <c r="J142" s="255">
        <v>0.22</v>
      </c>
      <c r="K142" s="255">
        <f t="shared" si="5"/>
        <v>9919.7800000000007</v>
      </c>
      <c r="L142" s="254"/>
      <c r="M142" s="254"/>
    </row>
    <row r="143" spans="1:13" x14ac:dyDescent="0.25">
      <c r="A143" s="254"/>
      <c r="B143" s="259">
        <v>42580</v>
      </c>
      <c r="C143" s="254">
        <v>50</v>
      </c>
      <c r="D143" s="255">
        <v>38.979999999999997</v>
      </c>
      <c r="E143" s="255">
        <v>0</v>
      </c>
      <c r="F143" s="255">
        <f>D143*C143+E143</f>
        <v>1948.9999999999998</v>
      </c>
      <c r="G143" s="254"/>
      <c r="H143" s="254"/>
      <c r="I143" s="255"/>
      <c r="J143" s="255"/>
      <c r="K143" s="255"/>
      <c r="L143" s="254"/>
      <c r="M143" s="254"/>
    </row>
    <row r="144" spans="1:13" x14ac:dyDescent="0.25">
      <c r="A144" s="254"/>
      <c r="B144" s="259">
        <v>42584</v>
      </c>
      <c r="C144" s="254">
        <v>50</v>
      </c>
      <c r="D144" s="255">
        <v>37.68</v>
      </c>
      <c r="E144" s="255">
        <v>0</v>
      </c>
      <c r="F144" s="255">
        <f>D144*C144+E144</f>
        <v>1884</v>
      </c>
      <c r="G144" s="254"/>
      <c r="H144" s="254"/>
      <c r="I144" s="255"/>
      <c r="J144" s="255"/>
      <c r="K144" s="255"/>
      <c r="L144" s="254"/>
      <c r="M144" s="254"/>
    </row>
    <row r="145" spans="1:13" x14ac:dyDescent="0.25">
      <c r="A145" s="254"/>
      <c r="B145" s="254"/>
      <c r="C145" s="254"/>
      <c r="D145" s="255"/>
      <c r="E145" s="255"/>
      <c r="F145" s="255"/>
      <c r="G145" s="254"/>
      <c r="H145" s="254"/>
      <c r="I145" s="255"/>
      <c r="J145" s="255"/>
      <c r="K145" s="255"/>
      <c r="L145" s="254"/>
      <c r="M145" s="254"/>
    </row>
    <row r="146" spans="1:13" x14ac:dyDescent="0.25">
      <c r="A146" s="254"/>
      <c r="B146" s="254"/>
      <c r="C146" s="254"/>
      <c r="D146" s="255"/>
      <c r="E146" s="255"/>
      <c r="F146" s="255"/>
      <c r="G146" s="254"/>
      <c r="H146" s="254"/>
      <c r="I146" s="255"/>
      <c r="J146" s="255"/>
      <c r="K146" s="255"/>
      <c r="L146" s="254"/>
      <c r="M146" s="254"/>
    </row>
    <row r="147" spans="1:13" x14ac:dyDescent="0.25">
      <c r="A147" s="254"/>
      <c r="B147" s="254"/>
      <c r="C147" s="254"/>
      <c r="D147" s="255"/>
      <c r="E147" s="255"/>
      <c r="F147" s="255"/>
      <c r="G147" s="254"/>
      <c r="H147" s="254"/>
      <c r="I147" s="255"/>
      <c r="J147" s="255"/>
      <c r="K147" s="255"/>
      <c r="L147" s="254"/>
      <c r="M147" s="254"/>
    </row>
    <row r="148" spans="1:13" x14ac:dyDescent="0.25">
      <c r="A148" s="254"/>
      <c r="B148" s="254"/>
      <c r="C148" s="254"/>
      <c r="D148" s="255"/>
      <c r="E148" s="255"/>
      <c r="F148" s="255"/>
      <c r="G148" s="254"/>
      <c r="H148" s="254"/>
      <c r="I148" s="255"/>
      <c r="J148" s="255"/>
      <c r="K148" s="255"/>
      <c r="L148" s="254"/>
      <c r="M148" s="254"/>
    </row>
    <row r="149" spans="1:13" x14ac:dyDescent="0.25">
      <c r="A149" s="254"/>
      <c r="B149" s="254"/>
      <c r="C149" s="254"/>
      <c r="D149" s="255"/>
      <c r="E149" s="255"/>
      <c r="F149" s="255"/>
      <c r="G149" s="254"/>
      <c r="H149" s="254"/>
      <c r="I149" s="255"/>
      <c r="J149" s="255"/>
      <c r="K149" s="255"/>
      <c r="L149" s="254"/>
      <c r="M149" s="254"/>
    </row>
    <row r="150" spans="1:13" x14ac:dyDescent="0.25">
      <c r="A150" s="254"/>
      <c r="B150" s="254"/>
      <c r="C150" s="254"/>
      <c r="D150" s="255"/>
      <c r="E150" s="255"/>
      <c r="F150" s="255"/>
      <c r="G150" s="254"/>
      <c r="H150" s="254"/>
      <c r="I150" s="255"/>
      <c r="J150" s="255"/>
      <c r="K150" s="255"/>
      <c r="L150" s="254"/>
      <c r="M150" s="254"/>
    </row>
    <row r="151" spans="1:13" x14ac:dyDescent="0.25">
      <c r="A151" s="254"/>
      <c r="B151" s="254"/>
      <c r="C151" s="254"/>
      <c r="D151" s="255"/>
      <c r="E151" s="255"/>
      <c r="F151" s="255"/>
      <c r="G151" s="254"/>
      <c r="H151" s="254"/>
      <c r="I151" s="255"/>
      <c r="J151" s="255"/>
      <c r="K151" s="255"/>
      <c r="L151" s="254"/>
      <c r="M151" s="254"/>
    </row>
    <row r="152" spans="1:13" x14ac:dyDescent="0.25">
      <c r="A152" s="254"/>
      <c r="B152" s="254"/>
      <c r="C152" s="254"/>
      <c r="D152" s="255"/>
      <c r="E152" s="255"/>
      <c r="F152" s="255"/>
      <c r="G152" s="254"/>
      <c r="H152" s="254"/>
      <c r="I152" s="255"/>
      <c r="J152" s="255"/>
      <c r="K152" s="255"/>
      <c r="L152" s="254"/>
      <c r="M152" s="254"/>
    </row>
    <row r="153" spans="1:13" x14ac:dyDescent="0.25">
      <c r="A153" s="254"/>
      <c r="B153" s="254"/>
      <c r="C153" s="254"/>
      <c r="D153" s="255"/>
      <c r="E153" s="255"/>
      <c r="F153" s="255"/>
      <c r="G153" s="254"/>
      <c r="H153" s="254"/>
      <c r="I153" s="255"/>
      <c r="J153" s="255"/>
      <c r="K153" s="255"/>
      <c r="L153" s="254"/>
      <c r="M153" s="254"/>
    </row>
    <row r="154" spans="1:13" x14ac:dyDescent="0.25">
      <c r="A154" s="254"/>
      <c r="B154" s="254"/>
      <c r="C154" s="254"/>
      <c r="D154" s="255"/>
      <c r="E154" s="255"/>
      <c r="F154" s="255"/>
      <c r="G154" s="254"/>
      <c r="H154" s="260"/>
      <c r="I154" s="255"/>
      <c r="J154" s="255"/>
      <c r="K154" s="255"/>
      <c r="L154" s="254"/>
      <c r="M154" s="254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50" t="s">
        <v>194</v>
      </c>
      <c r="B156" s="451"/>
      <c r="C156" s="452">
        <f>SumByColor($A$30,C128:C154)</f>
        <v>0</v>
      </c>
      <c r="D156" s="452"/>
      <c r="E156" s="452"/>
      <c r="F156" s="453">
        <f>SumByColor($A$30,F128:F154)</f>
        <v>0</v>
      </c>
      <c r="G156" s="452"/>
      <c r="H156" s="452">
        <f>SumByColor($A$30,H129:H154)</f>
        <v>0</v>
      </c>
      <c r="I156" s="452"/>
      <c r="J156" s="452"/>
      <c r="K156" s="453">
        <f>SumByColor($A$30,K129:K154)</f>
        <v>0</v>
      </c>
      <c r="L156" s="452"/>
      <c r="M156" s="453">
        <f>SumByColor($A$30,M128:M154)</f>
        <v>0</v>
      </c>
    </row>
    <row r="159" spans="1:13" x14ac:dyDescent="0.25">
      <c r="B159" s="262" t="s">
        <v>113</v>
      </c>
      <c r="C159" s="262" t="s">
        <v>146</v>
      </c>
      <c r="D159" s="263" t="s">
        <v>145</v>
      </c>
      <c r="E159" s="264" t="s">
        <v>147</v>
      </c>
      <c r="F159" s="264" t="s">
        <v>65</v>
      </c>
      <c r="G159" s="266" t="s">
        <v>151</v>
      </c>
      <c r="H159" s="266" t="s">
        <v>88</v>
      </c>
      <c r="I159" s="266" t="s">
        <v>154</v>
      </c>
    </row>
    <row r="160" spans="1:13" x14ac:dyDescent="0.25">
      <c r="B160" s="259">
        <v>42524</v>
      </c>
      <c r="C160" s="254">
        <v>200</v>
      </c>
      <c r="D160" s="516">
        <v>42.3598</v>
      </c>
      <c r="E160" s="255">
        <v>41.755000000000003</v>
      </c>
      <c r="F160" s="255">
        <f t="shared" ref="F160:F212" si="6">C160*(E160-D160)</f>
        <v>-120.95999999999947</v>
      </c>
      <c r="G160" s="255">
        <f>D160*C160</f>
        <v>8471.9599999999991</v>
      </c>
      <c r="H160" s="269">
        <f>(E160-D160)/D160</f>
        <v>-1.4277687807779955E-2</v>
      </c>
      <c r="I160" s="255"/>
    </row>
    <row r="161" spans="2:9" x14ac:dyDescent="0.25">
      <c r="B161" s="259">
        <v>42527</v>
      </c>
      <c r="C161" s="254">
        <v>200</v>
      </c>
      <c r="D161" s="255">
        <v>42.3598</v>
      </c>
      <c r="E161" s="255">
        <v>41.28</v>
      </c>
      <c r="F161" s="255">
        <f t="shared" si="6"/>
        <v>-215.95999999999975</v>
      </c>
      <c r="G161" s="255">
        <f>D161*C161</f>
        <v>8471.9599999999991</v>
      </c>
      <c r="H161" s="269">
        <f>(E161-D161)/D161</f>
        <v>-2.5491149627713039E-2</v>
      </c>
      <c r="I161" s="255"/>
    </row>
    <row r="162" spans="2:9" x14ac:dyDescent="0.25">
      <c r="B162" s="259">
        <v>42533</v>
      </c>
      <c r="C162" s="254">
        <v>200</v>
      </c>
      <c r="D162" s="255">
        <v>42.36</v>
      </c>
      <c r="E162" s="255">
        <v>42.04</v>
      </c>
      <c r="F162" s="255">
        <f t="shared" si="6"/>
        <v>-64.000000000000057</v>
      </c>
      <c r="G162" s="255">
        <f>D162*C162</f>
        <v>8472</v>
      </c>
      <c r="H162" s="269">
        <f>(E162-D162)/D162</f>
        <v>-7.5542965061378723E-3</v>
      </c>
      <c r="I162" s="255"/>
    </row>
    <row r="163" spans="2:9" x14ac:dyDescent="0.25">
      <c r="B163" s="259">
        <v>42534</v>
      </c>
      <c r="C163" s="254">
        <v>200</v>
      </c>
      <c r="D163" s="255">
        <v>42.3598</v>
      </c>
      <c r="E163" s="255">
        <v>40.57</v>
      </c>
      <c r="F163" s="255">
        <f t="shared" si="6"/>
        <v>-357.95999999999992</v>
      </c>
      <c r="G163" s="255">
        <f t="shared" ref="G163:G212" si="7">D163*C163</f>
        <v>8471.9599999999991</v>
      </c>
      <c r="H163" s="269">
        <f t="shared" ref="H163:H212" si="8">(E163-D163)/D163</f>
        <v>-4.2252324137507721E-2</v>
      </c>
      <c r="I163" s="255"/>
    </row>
    <row r="164" spans="2:9" x14ac:dyDescent="0.25">
      <c r="B164" s="259">
        <v>42535</v>
      </c>
      <c r="C164" s="254">
        <v>300</v>
      </c>
      <c r="D164" s="255">
        <v>41.523200000000003</v>
      </c>
      <c r="E164" s="255">
        <v>39.11</v>
      </c>
      <c r="F164" s="255">
        <f t="shared" si="6"/>
        <v>-723.96000000000095</v>
      </c>
      <c r="G164" s="255">
        <f t="shared" si="7"/>
        <v>12456.960000000001</v>
      </c>
      <c r="H164" s="269">
        <f t="shared" si="8"/>
        <v>-5.8116908138101185E-2</v>
      </c>
      <c r="I164" s="255"/>
    </row>
    <row r="165" spans="2:9" x14ac:dyDescent="0.25">
      <c r="B165" s="259">
        <v>42537</v>
      </c>
      <c r="C165" s="254">
        <v>400</v>
      </c>
      <c r="D165" s="255">
        <v>40.604900000000001</v>
      </c>
      <c r="E165" s="255">
        <v>38.020000000000003</v>
      </c>
      <c r="F165" s="255">
        <f t="shared" si="6"/>
        <v>-1033.9599999999991</v>
      </c>
      <c r="G165" s="255">
        <f t="shared" si="7"/>
        <v>16241.960000000001</v>
      </c>
      <c r="H165" s="269">
        <f t="shared" si="8"/>
        <v>-6.3659804604862896E-2</v>
      </c>
      <c r="I165" s="255"/>
    </row>
    <row r="166" spans="2:9" x14ac:dyDescent="0.25">
      <c r="B166" s="259">
        <v>42542</v>
      </c>
      <c r="C166" s="254">
        <v>400</v>
      </c>
      <c r="D166" s="255">
        <v>40.604900000000001</v>
      </c>
      <c r="E166" s="255">
        <v>38.67</v>
      </c>
      <c r="F166" s="255">
        <f t="shared" si="6"/>
        <v>-773.95999999999958</v>
      </c>
      <c r="G166" s="255">
        <f t="shared" si="7"/>
        <v>16241.960000000001</v>
      </c>
      <c r="H166" s="269">
        <f t="shared" si="8"/>
        <v>-4.7651884378486317E-2</v>
      </c>
      <c r="I166" s="255"/>
    </row>
    <row r="167" spans="2:9" x14ac:dyDescent="0.25">
      <c r="B167" s="259">
        <v>42545</v>
      </c>
      <c r="C167" s="254">
        <v>500</v>
      </c>
      <c r="D167" s="255">
        <v>39.685899999999997</v>
      </c>
      <c r="E167" s="255">
        <v>38.31</v>
      </c>
      <c r="F167" s="255">
        <f t="shared" si="6"/>
        <v>-687.9499999999972</v>
      </c>
      <c r="G167" s="255">
        <f t="shared" si="7"/>
        <v>19842.949999999997</v>
      </c>
      <c r="H167" s="269">
        <f t="shared" si="8"/>
        <v>-3.466974416606388E-2</v>
      </c>
      <c r="I167" s="255"/>
    </row>
    <row r="168" spans="2:9" x14ac:dyDescent="0.25">
      <c r="B168" s="259">
        <v>42545</v>
      </c>
      <c r="C168" s="254">
        <v>500</v>
      </c>
      <c r="D168" s="255">
        <v>39.487099999999998</v>
      </c>
      <c r="E168" s="255">
        <v>35.18</v>
      </c>
      <c r="F168" s="255">
        <f t="shared" si="6"/>
        <v>-2153.5499999999993</v>
      </c>
      <c r="G168" s="255">
        <f t="shared" si="7"/>
        <v>19743.55</v>
      </c>
      <c r="H168" s="269">
        <f t="shared" si="8"/>
        <v>-0.10907612865973948</v>
      </c>
      <c r="I168" s="255"/>
    </row>
    <row r="169" spans="2:9" x14ac:dyDescent="0.25">
      <c r="B169" s="259">
        <v>42548</v>
      </c>
      <c r="C169" s="254">
        <v>600</v>
      </c>
      <c r="D169" s="255">
        <v>38.552599999999998</v>
      </c>
      <c r="E169" s="255">
        <v>33.36</v>
      </c>
      <c r="F169" s="255">
        <f t="shared" si="6"/>
        <v>-3115.5599999999995</v>
      </c>
      <c r="G169" s="255">
        <f t="shared" si="7"/>
        <v>23131.559999999998</v>
      </c>
      <c r="H169" s="269">
        <f t="shared" si="8"/>
        <v>-0.13468871100781787</v>
      </c>
      <c r="I169" s="255"/>
    </row>
    <row r="170" spans="2:9" x14ac:dyDescent="0.25">
      <c r="B170" s="259">
        <v>42549</v>
      </c>
      <c r="C170" s="254">
        <v>600</v>
      </c>
      <c r="D170" s="255">
        <v>38.552599999999998</v>
      </c>
      <c r="E170" s="255">
        <v>34.67</v>
      </c>
      <c r="F170" s="255">
        <f t="shared" si="6"/>
        <v>-2329.5599999999977</v>
      </c>
      <c r="G170" s="255">
        <f t="shared" si="7"/>
        <v>23131.559999999998</v>
      </c>
      <c r="H170" s="269">
        <f t="shared" si="8"/>
        <v>-0.10070916099043895</v>
      </c>
      <c r="I170" s="255"/>
    </row>
    <row r="171" spans="2:9" x14ac:dyDescent="0.25">
      <c r="B171" s="259">
        <v>42552</v>
      </c>
      <c r="C171" s="254">
        <v>600</v>
      </c>
      <c r="D171" s="255">
        <v>38.552599999999998</v>
      </c>
      <c r="E171" s="255">
        <v>36.770000000000003</v>
      </c>
      <c r="F171" s="255">
        <f t="shared" si="6"/>
        <v>-1069.559999999997</v>
      </c>
      <c r="G171" s="255">
        <f t="shared" si="7"/>
        <v>23131.559999999998</v>
      </c>
      <c r="H171" s="269">
        <f t="shared" si="8"/>
        <v>-4.6238126611434643E-2</v>
      </c>
      <c r="I171" s="255"/>
    </row>
    <row r="172" spans="2:9" x14ac:dyDescent="0.25">
      <c r="B172" s="259">
        <v>42556</v>
      </c>
      <c r="C172" s="268">
        <v>600</v>
      </c>
      <c r="D172" s="361">
        <v>38.552599999999998</v>
      </c>
      <c r="E172" s="255">
        <v>35.619999999999997</v>
      </c>
      <c r="F172" s="255">
        <f t="shared" si="6"/>
        <v>-1759.5600000000004</v>
      </c>
      <c r="G172" s="255">
        <f t="shared" si="7"/>
        <v>23131.559999999998</v>
      </c>
      <c r="H172" s="269">
        <f t="shared" si="8"/>
        <v>-7.6067502580889512E-2</v>
      </c>
      <c r="I172" s="255"/>
    </row>
    <row r="173" spans="2:9" x14ac:dyDescent="0.25">
      <c r="B173" s="259">
        <v>42559</v>
      </c>
      <c r="C173" s="268">
        <v>600</v>
      </c>
      <c r="D173" s="361">
        <v>38.552599999999998</v>
      </c>
      <c r="E173" s="255">
        <v>37.369999999999997</v>
      </c>
      <c r="F173" s="255">
        <f t="shared" si="6"/>
        <v>-709.5600000000004</v>
      </c>
      <c r="G173" s="255">
        <f t="shared" si="7"/>
        <v>23131.559999999998</v>
      </c>
      <c r="H173" s="269">
        <f t="shared" si="8"/>
        <v>-3.0674973931719283E-2</v>
      </c>
      <c r="I173" s="255"/>
    </row>
    <row r="174" spans="2:9" x14ac:dyDescent="0.25">
      <c r="B174" s="259">
        <v>42562</v>
      </c>
      <c r="C174" s="268">
        <v>600</v>
      </c>
      <c r="D174" s="361">
        <v>38.552599999999998</v>
      </c>
      <c r="E174" s="255">
        <v>38.119999999999997</v>
      </c>
      <c r="F174" s="255">
        <f t="shared" si="6"/>
        <v>-259.56000000000046</v>
      </c>
      <c r="G174" s="255">
        <f t="shared" si="7"/>
        <v>23131.559999999998</v>
      </c>
      <c r="H174" s="269">
        <f t="shared" si="8"/>
        <v>-1.1221033082074899E-2</v>
      </c>
      <c r="I174" s="255"/>
    </row>
    <row r="175" spans="2:9" x14ac:dyDescent="0.25">
      <c r="B175" s="259">
        <v>42563</v>
      </c>
      <c r="C175" s="254">
        <v>500</v>
      </c>
      <c r="D175" s="255">
        <v>38.395200000000003</v>
      </c>
      <c r="E175" s="255">
        <v>40.21</v>
      </c>
      <c r="F175" s="255">
        <f t="shared" si="6"/>
        <v>907.39999999999907</v>
      </c>
      <c r="G175" s="255">
        <f t="shared" si="7"/>
        <v>19197.600000000002</v>
      </c>
      <c r="H175" s="269">
        <f t="shared" si="8"/>
        <v>4.7266324957286276E-2</v>
      </c>
      <c r="I175" s="255"/>
    </row>
    <row r="176" spans="2:9" x14ac:dyDescent="0.25">
      <c r="B176" s="259">
        <v>42566</v>
      </c>
      <c r="C176" s="254">
        <v>400</v>
      </c>
      <c r="D176" s="255">
        <v>37.874299999999998</v>
      </c>
      <c r="E176" s="255">
        <v>39.979999999999997</v>
      </c>
      <c r="F176" s="255">
        <f t="shared" si="6"/>
        <v>842.27999999999952</v>
      </c>
      <c r="G176" s="255">
        <f t="shared" si="7"/>
        <v>15149.72</v>
      </c>
      <c r="H176" s="269">
        <f t="shared" si="8"/>
        <v>5.559706714051478E-2</v>
      </c>
      <c r="I176" s="255"/>
    </row>
    <row r="177" spans="2:9" x14ac:dyDescent="0.25">
      <c r="B177" s="259">
        <v>42569</v>
      </c>
      <c r="C177" s="254">
        <v>400</v>
      </c>
      <c r="D177" s="255">
        <v>37.874299999999998</v>
      </c>
      <c r="E177" s="255">
        <v>40.1</v>
      </c>
      <c r="F177" s="255">
        <f t="shared" si="6"/>
        <v>890.28000000000134</v>
      </c>
      <c r="G177" s="255">
        <f t="shared" si="7"/>
        <v>15149.72</v>
      </c>
      <c r="H177" s="269">
        <f t="shared" si="8"/>
        <v>5.8765442529631E-2</v>
      </c>
      <c r="I177" s="255"/>
    </row>
    <row r="178" spans="2:9" x14ac:dyDescent="0.25">
      <c r="B178" s="259">
        <v>42570</v>
      </c>
      <c r="C178" s="254">
        <v>400</v>
      </c>
      <c r="D178" s="255">
        <v>37.874299999999998</v>
      </c>
      <c r="E178" s="255">
        <v>40.53</v>
      </c>
      <c r="F178" s="255">
        <f t="shared" si="6"/>
        <v>1062.2800000000011</v>
      </c>
      <c r="G178" s="255">
        <f t="shared" si="7"/>
        <v>15149.72</v>
      </c>
      <c r="H178" s="269">
        <f t="shared" si="8"/>
        <v>7.0118787673963692E-2</v>
      </c>
      <c r="I178" s="255"/>
    </row>
    <row r="179" spans="2:9" x14ac:dyDescent="0.25">
      <c r="B179" s="259">
        <v>42571</v>
      </c>
      <c r="C179" s="268">
        <v>300</v>
      </c>
      <c r="D179" s="361">
        <v>36.805999999999997</v>
      </c>
      <c r="E179" s="361">
        <v>40.21</v>
      </c>
      <c r="F179" s="255">
        <f t="shared" si="6"/>
        <v>1021.2000000000011</v>
      </c>
      <c r="G179" s="255">
        <f t="shared" si="7"/>
        <v>11041.8</v>
      </c>
      <c r="H179" s="269">
        <f t="shared" si="8"/>
        <v>9.2484920936803883E-2</v>
      </c>
      <c r="I179" s="255"/>
    </row>
    <row r="180" spans="2:9" x14ac:dyDescent="0.25">
      <c r="B180" s="259">
        <v>42572</v>
      </c>
      <c r="C180" s="254">
        <v>350</v>
      </c>
      <c r="D180" s="255">
        <v>37.059399999999997</v>
      </c>
      <c r="E180" s="255">
        <v>38.520000000000003</v>
      </c>
      <c r="F180" s="255">
        <f t="shared" si="6"/>
        <v>511.21000000000231</v>
      </c>
      <c r="G180" s="255">
        <f t="shared" si="7"/>
        <v>12970.789999999999</v>
      </c>
      <c r="H180" s="269">
        <f t="shared" si="8"/>
        <v>3.9412402791194859E-2</v>
      </c>
      <c r="I180" s="255"/>
    </row>
    <row r="181" spans="2:9" x14ac:dyDescent="0.25">
      <c r="B181" s="259">
        <v>42575</v>
      </c>
      <c r="C181" s="254">
        <v>350</v>
      </c>
      <c r="D181" s="255">
        <v>37.059399999999997</v>
      </c>
      <c r="E181" s="255">
        <v>38.96</v>
      </c>
      <c r="F181" s="255">
        <f t="shared" si="6"/>
        <v>665.21000000000151</v>
      </c>
      <c r="G181" s="255">
        <f t="shared" si="7"/>
        <v>12970.789999999999</v>
      </c>
      <c r="H181" s="269">
        <f t="shared" si="8"/>
        <v>5.1285233975725576E-2</v>
      </c>
      <c r="I181" s="255"/>
    </row>
    <row r="182" spans="2:9" x14ac:dyDescent="0.25">
      <c r="B182" s="259">
        <v>42577</v>
      </c>
      <c r="C182" s="254">
        <v>350</v>
      </c>
      <c r="D182" s="255">
        <v>37.059399999999997</v>
      </c>
      <c r="E182" s="255">
        <v>39.03</v>
      </c>
      <c r="F182" s="255">
        <f t="shared" si="6"/>
        <v>689.71000000000163</v>
      </c>
      <c r="G182" s="255">
        <f t="shared" si="7"/>
        <v>12970.789999999999</v>
      </c>
      <c r="H182" s="269">
        <f t="shared" si="8"/>
        <v>5.3174093482355481E-2</v>
      </c>
      <c r="I182" s="255"/>
    </row>
    <row r="183" spans="2:9" x14ac:dyDescent="0.25">
      <c r="B183" s="259">
        <v>42580</v>
      </c>
      <c r="C183" s="254">
        <v>300</v>
      </c>
      <c r="D183" s="255">
        <v>36.606099999999998</v>
      </c>
      <c r="E183" s="255">
        <v>39.659999999999997</v>
      </c>
      <c r="F183" s="255">
        <f t="shared" si="6"/>
        <v>916.16999999999962</v>
      </c>
      <c r="G183" s="255">
        <f t="shared" si="7"/>
        <v>10981.83</v>
      </c>
      <c r="H183" s="269">
        <f t="shared" si="8"/>
        <v>8.3425986379319264E-2</v>
      </c>
      <c r="I183" s="255">
        <v>36</v>
      </c>
    </row>
    <row r="184" spans="2:9" x14ac:dyDescent="0.25">
      <c r="B184" s="259">
        <v>42580</v>
      </c>
      <c r="C184" s="254">
        <v>350</v>
      </c>
      <c r="D184" s="255">
        <v>36.945300000000003</v>
      </c>
      <c r="E184" s="255">
        <v>38.75</v>
      </c>
      <c r="F184" s="255">
        <f t="shared" si="6"/>
        <v>631.64499999999884</v>
      </c>
      <c r="G184" s="255">
        <f t="shared" si="7"/>
        <v>12930.855000000001</v>
      </c>
      <c r="H184" s="269">
        <f t="shared" si="8"/>
        <v>4.8847891342065075E-2</v>
      </c>
      <c r="I184" s="255"/>
    </row>
    <row r="185" spans="2:9" x14ac:dyDescent="0.25">
      <c r="B185" s="259">
        <v>42584</v>
      </c>
      <c r="C185" s="254">
        <v>400</v>
      </c>
      <c r="D185" s="255">
        <v>37.037100000000002</v>
      </c>
      <c r="E185" s="255">
        <v>36.39</v>
      </c>
      <c r="F185" s="255">
        <f t="shared" si="6"/>
        <v>-258.84000000000071</v>
      </c>
      <c r="G185" s="255">
        <f t="shared" si="7"/>
        <v>14814.84</v>
      </c>
      <c r="H185" s="269">
        <f t="shared" si="8"/>
        <v>-1.747167029816054E-2</v>
      </c>
      <c r="I185" s="255">
        <v>36.5</v>
      </c>
    </row>
    <row r="186" spans="2:9" x14ac:dyDescent="0.25">
      <c r="B186" s="259">
        <v>42597</v>
      </c>
      <c r="C186" s="254">
        <v>400</v>
      </c>
      <c r="D186" s="255">
        <v>37.037100000000002</v>
      </c>
      <c r="E186" s="255">
        <v>36.92</v>
      </c>
      <c r="F186" s="255">
        <f t="shared" si="6"/>
        <v>-46.840000000000259</v>
      </c>
      <c r="G186" s="255">
        <f t="shared" si="7"/>
        <v>14814.84</v>
      </c>
      <c r="H186" s="269">
        <f t="shared" si="8"/>
        <v>-3.1616946251191544E-3</v>
      </c>
      <c r="I186" s="255"/>
    </row>
    <row r="187" spans="2:9" x14ac:dyDescent="0.25">
      <c r="B187" s="259">
        <v>42599</v>
      </c>
      <c r="C187" s="254">
        <v>400</v>
      </c>
      <c r="D187" s="255">
        <v>37.037100000000002</v>
      </c>
      <c r="E187" s="255">
        <v>37.51</v>
      </c>
      <c r="F187" s="255">
        <f t="shared" si="6"/>
        <v>189.15999999999826</v>
      </c>
      <c r="G187" s="255">
        <f t="shared" si="7"/>
        <v>14814.84</v>
      </c>
      <c r="H187" s="269">
        <f t="shared" si="8"/>
        <v>1.2768278293926781E-2</v>
      </c>
      <c r="I187" s="255"/>
    </row>
    <row r="188" spans="2:9" x14ac:dyDescent="0.25">
      <c r="B188" s="259">
        <v>42600</v>
      </c>
      <c r="C188" s="254">
        <v>400</v>
      </c>
      <c r="D188" s="255">
        <v>37.037100000000002</v>
      </c>
      <c r="E188" s="255">
        <v>37.07</v>
      </c>
      <c r="F188" s="255">
        <f t="shared" si="6"/>
        <v>13.159999999999172</v>
      </c>
      <c r="G188" s="255">
        <f t="shared" si="7"/>
        <v>14814.84</v>
      </c>
      <c r="H188" s="269">
        <f t="shared" si="8"/>
        <v>8.8829848989251125E-4</v>
      </c>
      <c r="I188" s="255"/>
    </row>
    <row r="189" spans="2:9" x14ac:dyDescent="0.25">
      <c r="B189" s="259">
        <v>42601</v>
      </c>
      <c r="C189" s="254">
        <v>400</v>
      </c>
      <c r="D189" s="255">
        <v>37.037100000000002</v>
      </c>
      <c r="E189" s="255">
        <v>36.770000000000003</v>
      </c>
      <c r="F189" s="255">
        <f t="shared" si="6"/>
        <v>-106.83999999999969</v>
      </c>
      <c r="G189" s="255">
        <f t="shared" si="7"/>
        <v>14814.84</v>
      </c>
      <c r="H189" s="269">
        <f t="shared" si="8"/>
        <v>-7.2116877401308208E-3</v>
      </c>
      <c r="I189" s="255"/>
    </row>
    <row r="190" spans="2:9" x14ac:dyDescent="0.25">
      <c r="B190" s="259">
        <v>42604</v>
      </c>
      <c r="C190" s="254">
        <v>400</v>
      </c>
      <c r="D190" s="255">
        <v>37.037100000000002</v>
      </c>
      <c r="E190" s="255">
        <v>36.61</v>
      </c>
      <c r="F190" s="255">
        <f t="shared" si="6"/>
        <v>-170.84000000000117</v>
      </c>
      <c r="G190" s="255">
        <f t="shared" si="7"/>
        <v>14814.84</v>
      </c>
      <c r="H190" s="269">
        <f t="shared" si="8"/>
        <v>-1.1531680396143405E-2</v>
      </c>
      <c r="I190" s="255"/>
    </row>
    <row r="191" spans="2:9" x14ac:dyDescent="0.25">
      <c r="B191" s="259">
        <v>42605</v>
      </c>
      <c r="C191" s="254">
        <v>400</v>
      </c>
      <c r="D191" s="255">
        <v>37.037100000000002</v>
      </c>
      <c r="E191" s="255">
        <v>36.69</v>
      </c>
      <c r="F191" s="255">
        <f t="shared" si="6"/>
        <v>-138.84000000000185</v>
      </c>
      <c r="G191" s="255">
        <f t="shared" si="7"/>
        <v>14814.84</v>
      </c>
      <c r="H191" s="269">
        <f t="shared" si="8"/>
        <v>-9.3716840681372093E-3</v>
      </c>
      <c r="I191" s="255"/>
    </row>
    <row r="192" spans="2:9" x14ac:dyDescent="0.25">
      <c r="B192" s="259">
        <v>42606</v>
      </c>
      <c r="C192" s="254">
        <v>400</v>
      </c>
      <c r="D192" s="255">
        <v>37.037100000000002</v>
      </c>
      <c r="E192" s="255">
        <v>36.770000000000003</v>
      </c>
      <c r="F192" s="255">
        <f t="shared" si="6"/>
        <v>-106.83999999999969</v>
      </c>
      <c r="G192" s="255">
        <f t="shared" si="7"/>
        <v>14814.84</v>
      </c>
      <c r="H192" s="269">
        <f t="shared" si="8"/>
        <v>-7.2116877401308208E-3</v>
      </c>
      <c r="I192" s="255"/>
    </row>
    <row r="193" spans="2:9" x14ac:dyDescent="0.25">
      <c r="B193" s="259">
        <v>42607</v>
      </c>
      <c r="C193" s="254">
        <v>400</v>
      </c>
      <c r="D193" s="255">
        <v>37.037100000000002</v>
      </c>
      <c r="E193" s="255">
        <v>36.47</v>
      </c>
      <c r="F193" s="255">
        <f t="shared" si="6"/>
        <v>-226.8400000000014</v>
      </c>
      <c r="G193" s="255">
        <f t="shared" si="7"/>
        <v>14814.84</v>
      </c>
      <c r="H193" s="269">
        <f t="shared" si="8"/>
        <v>-1.5311673970154344E-2</v>
      </c>
      <c r="I193" s="255"/>
    </row>
    <row r="194" spans="2:9" x14ac:dyDescent="0.25">
      <c r="B194" s="259">
        <v>42611</v>
      </c>
      <c r="C194" s="254">
        <v>400</v>
      </c>
      <c r="D194" s="255">
        <v>37.037100000000002</v>
      </c>
      <c r="E194" s="255">
        <v>36.549999999999997</v>
      </c>
      <c r="F194" s="255">
        <f t="shared" si="6"/>
        <v>-194.84000000000208</v>
      </c>
      <c r="G194" s="255">
        <f t="shared" si="7"/>
        <v>14814.84</v>
      </c>
      <c r="H194" s="269">
        <f t="shared" si="8"/>
        <v>-1.3151677642148148E-2</v>
      </c>
      <c r="I194" s="255"/>
    </row>
    <row r="195" spans="2:9" x14ac:dyDescent="0.25">
      <c r="B195" s="259">
        <v>42612</v>
      </c>
      <c r="C195" s="254">
        <v>400</v>
      </c>
      <c r="D195" s="255">
        <v>37.037100000000002</v>
      </c>
      <c r="E195" s="255">
        <v>37.159999999999997</v>
      </c>
      <c r="F195" s="255">
        <f t="shared" si="6"/>
        <v>49.159999999997694</v>
      </c>
      <c r="G195" s="255">
        <f t="shared" si="7"/>
        <v>14814.84</v>
      </c>
      <c r="H195" s="269">
        <f t="shared" si="8"/>
        <v>3.3182943588994339E-3</v>
      </c>
      <c r="I195" s="255"/>
    </row>
    <row r="196" spans="2:9" x14ac:dyDescent="0.25">
      <c r="B196" s="259">
        <v>42614</v>
      </c>
      <c r="C196" s="254">
        <v>400</v>
      </c>
      <c r="D196" s="255">
        <v>37.037100000000002</v>
      </c>
      <c r="E196" s="255">
        <v>36.82</v>
      </c>
      <c r="F196" s="255">
        <f t="shared" si="6"/>
        <v>-86.840000000000828</v>
      </c>
      <c r="G196" s="255">
        <f t="shared" si="7"/>
        <v>14814.84</v>
      </c>
      <c r="H196" s="269">
        <f t="shared" si="8"/>
        <v>-5.8616900351269961E-3</v>
      </c>
      <c r="I196" s="255"/>
    </row>
    <row r="197" spans="2:9" x14ac:dyDescent="0.25">
      <c r="B197" s="259">
        <v>42615</v>
      </c>
      <c r="C197" s="254">
        <v>400</v>
      </c>
      <c r="D197" s="255">
        <v>37.037100000000002</v>
      </c>
      <c r="E197" s="255">
        <v>37.17</v>
      </c>
      <c r="F197" s="255">
        <f t="shared" si="6"/>
        <v>53.159999999999741</v>
      </c>
      <c r="G197" s="255">
        <f t="shared" si="7"/>
        <v>14814.84</v>
      </c>
      <c r="H197" s="269">
        <f t="shared" si="8"/>
        <v>3.5882938999003524E-3</v>
      </c>
      <c r="I197" s="255"/>
    </row>
    <row r="198" spans="2:9" x14ac:dyDescent="0.25">
      <c r="B198" s="259">
        <v>42615</v>
      </c>
      <c r="C198" s="254">
        <v>400</v>
      </c>
      <c r="D198" s="255">
        <v>36.834600000000002</v>
      </c>
      <c r="E198" s="255">
        <v>37.17</v>
      </c>
      <c r="F198" s="255">
        <f t="shared" si="6"/>
        <v>134.15999999999997</v>
      </c>
      <c r="G198" s="255">
        <f t="shared" si="7"/>
        <v>14733.84</v>
      </c>
      <c r="H198" s="269">
        <f t="shared" si="8"/>
        <v>9.1055692202440079E-3</v>
      </c>
      <c r="I198" s="255" t="s">
        <v>264</v>
      </c>
    </row>
    <row r="199" spans="2:9" x14ac:dyDescent="0.25">
      <c r="B199" s="259">
        <v>42619</v>
      </c>
      <c r="C199" s="254">
        <v>400</v>
      </c>
      <c r="D199" s="255">
        <v>36.834600000000002</v>
      </c>
      <c r="E199" s="255">
        <v>36.82</v>
      </c>
      <c r="F199" s="255">
        <f t="shared" si="6"/>
        <v>-5.8400000000006003</v>
      </c>
      <c r="G199" s="255">
        <f t="shared" si="7"/>
        <v>14733.84</v>
      </c>
      <c r="H199" s="269">
        <f t="shared" si="8"/>
        <v>-3.9636645979599343E-4</v>
      </c>
      <c r="I199" s="255"/>
    </row>
    <row r="200" spans="2:9" x14ac:dyDescent="0.25">
      <c r="B200" s="259">
        <v>42620</v>
      </c>
      <c r="C200" s="254">
        <v>350</v>
      </c>
      <c r="D200" s="255">
        <v>36.642400000000002</v>
      </c>
      <c r="E200" s="255">
        <v>38.9</v>
      </c>
      <c r="F200" s="255">
        <f t="shared" si="6"/>
        <v>790.15999999999872</v>
      </c>
      <c r="G200" s="255">
        <f t="shared" si="7"/>
        <v>12824.84</v>
      </c>
      <c r="H200" s="269">
        <f t="shared" si="8"/>
        <v>6.1611684824138056E-2</v>
      </c>
      <c r="I200" s="255"/>
    </row>
    <row r="201" spans="2:9" x14ac:dyDescent="0.25">
      <c r="B201" s="259">
        <v>42620</v>
      </c>
      <c r="C201" s="254">
        <v>300</v>
      </c>
      <c r="D201" s="255">
        <v>36.269399999999997</v>
      </c>
      <c r="E201" s="255">
        <v>38.9</v>
      </c>
      <c r="F201" s="255">
        <f t="shared" si="6"/>
        <v>789.18000000000029</v>
      </c>
      <c r="G201" s="255">
        <f t="shared" si="7"/>
        <v>10880.82</v>
      </c>
      <c r="H201" s="269">
        <f t="shared" si="8"/>
        <v>7.2529460095838397E-2</v>
      </c>
      <c r="I201" s="255">
        <v>36</v>
      </c>
    </row>
    <row r="202" spans="2:9" x14ac:dyDescent="0.25">
      <c r="B202" s="259">
        <v>42620</v>
      </c>
      <c r="C202" s="254">
        <v>250</v>
      </c>
      <c r="D202" s="255">
        <v>35.705300000000001</v>
      </c>
      <c r="E202" s="255">
        <v>38.9</v>
      </c>
      <c r="F202" s="255">
        <f t="shared" si="6"/>
        <v>798.67499999999939</v>
      </c>
      <c r="G202" s="255">
        <f t="shared" si="7"/>
        <v>8926.3250000000007</v>
      </c>
      <c r="H202" s="269">
        <f t="shared" si="8"/>
        <v>8.9474111686500254E-2</v>
      </c>
      <c r="I202" s="255"/>
    </row>
    <row r="203" spans="2:9" x14ac:dyDescent="0.25">
      <c r="B203" s="259">
        <v>42622</v>
      </c>
      <c r="C203" s="254">
        <v>250</v>
      </c>
      <c r="D203" s="255">
        <v>35.705300000000001</v>
      </c>
      <c r="E203" s="255">
        <v>37.75</v>
      </c>
      <c r="F203" s="255">
        <f t="shared" si="6"/>
        <v>511.17499999999973</v>
      </c>
      <c r="G203" s="255">
        <f t="shared" si="7"/>
        <v>8926.3250000000007</v>
      </c>
      <c r="H203" s="269">
        <f t="shared" si="8"/>
        <v>5.7266008127644881E-2</v>
      </c>
      <c r="I203" s="255"/>
    </row>
    <row r="204" spans="2:9" x14ac:dyDescent="0.25">
      <c r="B204" s="259">
        <v>42625</v>
      </c>
      <c r="C204" s="254">
        <v>250</v>
      </c>
      <c r="D204" s="255">
        <v>35.705300000000001</v>
      </c>
      <c r="E204" s="255">
        <v>38.44</v>
      </c>
      <c r="F204" s="255">
        <f t="shared" si="6"/>
        <v>683.67499999999916</v>
      </c>
      <c r="G204" s="255">
        <f t="shared" si="7"/>
        <v>8926.3250000000007</v>
      </c>
      <c r="H204" s="269">
        <f t="shared" si="8"/>
        <v>7.6590870262958063E-2</v>
      </c>
      <c r="I204" s="255"/>
    </row>
    <row r="205" spans="2:9" x14ac:dyDescent="0.25">
      <c r="B205" s="259">
        <v>42627</v>
      </c>
      <c r="C205" s="254">
        <v>250</v>
      </c>
      <c r="D205" s="255">
        <v>35.705300000000001</v>
      </c>
      <c r="E205" s="255">
        <v>37.119999999999997</v>
      </c>
      <c r="F205" s="255">
        <f t="shared" si="6"/>
        <v>353.67499999999905</v>
      </c>
      <c r="G205" s="255">
        <f t="shared" si="7"/>
        <v>8926.3250000000007</v>
      </c>
      <c r="H205" s="269">
        <f t="shared" si="8"/>
        <v>3.9621568786706633E-2</v>
      </c>
      <c r="I205" s="255"/>
    </row>
    <row r="206" spans="2:9" x14ac:dyDescent="0.25">
      <c r="B206" s="259">
        <v>42629</v>
      </c>
      <c r="C206" s="254">
        <v>250</v>
      </c>
      <c r="D206" s="255">
        <v>35.705300000000001</v>
      </c>
      <c r="E206" s="255">
        <v>36.770000000000003</v>
      </c>
      <c r="F206" s="255">
        <f t="shared" si="6"/>
        <v>266.17500000000052</v>
      </c>
      <c r="G206" s="255">
        <f t="shared" si="7"/>
        <v>8926.3250000000007</v>
      </c>
      <c r="H206" s="269">
        <f t="shared" si="8"/>
        <v>2.9819102486185578E-2</v>
      </c>
      <c r="I206" s="255"/>
    </row>
    <row r="207" spans="2:9" x14ac:dyDescent="0.25">
      <c r="B207" s="259">
        <v>42632</v>
      </c>
      <c r="C207" s="254">
        <v>250</v>
      </c>
      <c r="D207" s="255">
        <v>35.705300000000001</v>
      </c>
      <c r="E207" s="255">
        <v>37.57</v>
      </c>
      <c r="F207" s="255">
        <f t="shared" si="6"/>
        <v>466.17499999999978</v>
      </c>
      <c r="G207" s="255">
        <f t="shared" si="7"/>
        <v>8926.3250000000007</v>
      </c>
      <c r="H207" s="269">
        <f t="shared" si="8"/>
        <v>5.2224739744519695E-2</v>
      </c>
      <c r="I207" s="255"/>
    </row>
    <row r="208" spans="2:9" x14ac:dyDescent="0.25">
      <c r="B208" s="259">
        <v>42633</v>
      </c>
      <c r="C208" s="254">
        <v>250</v>
      </c>
      <c r="D208" s="255">
        <v>35.705300000000001</v>
      </c>
      <c r="E208" s="255">
        <v>38.049999999999997</v>
      </c>
      <c r="F208" s="255">
        <f t="shared" si="6"/>
        <v>586.17499999999905</v>
      </c>
      <c r="G208" s="255">
        <f t="shared" si="7"/>
        <v>8926.3250000000007</v>
      </c>
      <c r="H208" s="269">
        <f t="shared" si="8"/>
        <v>6.5668122099520124E-2</v>
      </c>
      <c r="I208" s="255"/>
    </row>
    <row r="209" spans="2:9" x14ac:dyDescent="0.25">
      <c r="B209" s="259">
        <v>42635</v>
      </c>
      <c r="C209" s="254">
        <v>250</v>
      </c>
      <c r="D209" s="255">
        <v>35.705300000000001</v>
      </c>
      <c r="E209" s="255">
        <v>38.5</v>
      </c>
      <c r="F209" s="255">
        <f t="shared" si="6"/>
        <v>698.67499999999973</v>
      </c>
      <c r="G209" s="255">
        <f t="shared" si="7"/>
        <v>8926.3250000000007</v>
      </c>
      <c r="H209" s="269">
        <f t="shared" si="8"/>
        <v>7.8271293057333186E-2</v>
      </c>
      <c r="I209" s="255"/>
    </row>
    <row r="210" spans="2:9" x14ac:dyDescent="0.25">
      <c r="B210" s="259">
        <v>42636</v>
      </c>
      <c r="C210" s="254">
        <v>250</v>
      </c>
      <c r="D210" s="255">
        <v>35.705300000000001</v>
      </c>
      <c r="E210" s="255">
        <v>38.78</v>
      </c>
      <c r="F210" s="255">
        <f t="shared" si="6"/>
        <v>768.67499999999995</v>
      </c>
      <c r="G210" s="255">
        <f t="shared" si="7"/>
        <v>8926.3250000000007</v>
      </c>
      <c r="H210" s="269">
        <f t="shared" si="8"/>
        <v>8.6113266097750191E-2</v>
      </c>
      <c r="I210" s="255"/>
    </row>
    <row r="211" spans="2:9" x14ac:dyDescent="0.25">
      <c r="B211" s="259">
        <v>42639</v>
      </c>
      <c r="C211" s="254">
        <v>250</v>
      </c>
      <c r="D211" s="255">
        <v>35.705300000000001</v>
      </c>
      <c r="E211" s="255">
        <v>38.04</v>
      </c>
      <c r="F211" s="255">
        <f t="shared" si="6"/>
        <v>583.6749999999995</v>
      </c>
      <c r="G211" s="255">
        <f t="shared" si="7"/>
        <v>8926.3250000000007</v>
      </c>
      <c r="H211" s="269">
        <f t="shared" si="8"/>
        <v>6.5388051633791008E-2</v>
      </c>
      <c r="I211" s="255"/>
    </row>
    <row r="212" spans="2:9" x14ac:dyDescent="0.25">
      <c r="B212" s="259">
        <v>42640</v>
      </c>
      <c r="C212" s="254">
        <v>250</v>
      </c>
      <c r="D212" s="255">
        <v>35.705300000000001</v>
      </c>
      <c r="E212" s="255">
        <v>39.21</v>
      </c>
      <c r="F212" s="255">
        <f t="shared" si="6"/>
        <v>876.17499999999995</v>
      </c>
      <c r="G212" s="255">
        <f t="shared" si="7"/>
        <v>8926.3250000000007</v>
      </c>
      <c r="H212" s="269">
        <f t="shared" si="8"/>
        <v>9.8156296124104814E-2</v>
      </c>
      <c r="I212" s="255"/>
    </row>
    <row r="213" spans="2:9" x14ac:dyDescent="0.25">
      <c r="B213" s="259">
        <v>42641</v>
      </c>
      <c r="C213" s="254">
        <v>0</v>
      </c>
      <c r="D213" s="255"/>
      <c r="E213" s="255"/>
      <c r="F213" s="255">
        <v>993.45</v>
      </c>
      <c r="G213" s="255"/>
      <c r="H213" s="269"/>
      <c r="I213" s="255"/>
    </row>
    <row r="214" spans="2:9" x14ac:dyDescent="0.25">
      <c r="B214" s="188"/>
      <c r="C214" s="10"/>
      <c r="D214" s="39"/>
      <c r="E214" s="39"/>
      <c r="F214" s="39"/>
      <c r="G214" s="39"/>
      <c r="H214" s="226"/>
      <c r="I214" s="39"/>
    </row>
    <row r="215" spans="2:9" x14ac:dyDescent="0.25">
      <c r="B215" s="188"/>
      <c r="C215" s="10"/>
      <c r="D215" s="39"/>
      <c r="E215" s="39"/>
      <c r="F215" s="39"/>
      <c r="G215" s="39"/>
      <c r="H215" s="226"/>
      <c r="I215" s="39"/>
    </row>
    <row r="216" spans="2:9" x14ac:dyDescent="0.25">
      <c r="B216" s="517"/>
      <c r="C216" s="186"/>
      <c r="D216" s="187"/>
      <c r="E216" s="187"/>
      <c r="F216" s="187"/>
      <c r="G216" s="187"/>
      <c r="H216" s="518"/>
      <c r="I216" s="187"/>
    </row>
    <row r="217" spans="2:9" x14ac:dyDescent="0.25">
      <c r="B217" s="188"/>
      <c r="C217" s="10"/>
      <c r="D217" s="39"/>
      <c r="E217" s="39"/>
      <c r="F217" s="39"/>
      <c r="G217" s="39"/>
      <c r="H217" s="226"/>
      <c r="I217" s="39"/>
    </row>
    <row r="218" spans="2:9" x14ac:dyDescent="0.25">
      <c r="B218" s="188"/>
      <c r="C218" s="10"/>
      <c r="D218" s="39"/>
      <c r="E218" s="39"/>
      <c r="F218" s="39"/>
      <c r="G218" s="39"/>
      <c r="H218" s="226"/>
      <c r="I218" s="39"/>
    </row>
    <row r="219" spans="2:9" x14ac:dyDescent="0.25">
      <c r="B219" s="188"/>
      <c r="C219" s="10"/>
      <c r="D219" s="39"/>
      <c r="E219" s="39"/>
      <c r="F219" s="39"/>
      <c r="G219" s="39"/>
      <c r="H219" s="226"/>
      <c r="I219" s="39"/>
    </row>
    <row r="220" spans="2:9" x14ac:dyDescent="0.25">
      <c r="B220" s="188"/>
      <c r="C220" s="10"/>
      <c r="D220" s="39"/>
      <c r="E220" s="39"/>
      <c r="F220" s="39"/>
      <c r="G220" s="39"/>
      <c r="H220" s="226"/>
      <c r="I220" s="39"/>
    </row>
    <row r="221" spans="2:9" x14ac:dyDescent="0.25">
      <c r="B221" s="188"/>
      <c r="C221" s="10"/>
      <c r="D221" s="39"/>
      <c r="E221" s="39"/>
      <c r="F221" s="39"/>
      <c r="G221" s="39"/>
      <c r="H221" s="226"/>
      <c r="I221" s="39"/>
    </row>
    <row r="222" spans="2:9" x14ac:dyDescent="0.25">
      <c r="B222" s="188"/>
      <c r="C222" s="10"/>
      <c r="D222" s="39"/>
      <c r="E222" s="39"/>
      <c r="F222" s="39"/>
      <c r="G222" s="39"/>
      <c r="H222" s="226"/>
      <c r="I222" s="39"/>
    </row>
    <row r="223" spans="2:9" x14ac:dyDescent="0.25">
      <c r="B223" s="188"/>
      <c r="C223" s="10"/>
      <c r="D223" s="39"/>
      <c r="E223" s="39"/>
      <c r="F223" s="39"/>
      <c r="G223" s="39"/>
      <c r="H223" s="226"/>
      <c r="I223" s="39"/>
    </row>
    <row r="224" spans="2:9" x14ac:dyDescent="0.25">
      <c r="B224" s="188"/>
      <c r="C224" s="10"/>
      <c r="D224" s="39"/>
      <c r="E224" s="39"/>
      <c r="F224" s="39"/>
      <c r="G224" s="39"/>
      <c r="H224" s="226"/>
      <c r="I224" s="39"/>
    </row>
    <row r="225" spans="2:9" x14ac:dyDescent="0.25">
      <c r="B225" s="188"/>
      <c r="C225" s="10"/>
      <c r="D225" s="39"/>
      <c r="E225" s="39"/>
      <c r="F225" s="39"/>
      <c r="G225" s="39"/>
      <c r="H225" s="226"/>
      <c r="I225" s="39"/>
    </row>
    <row r="226" spans="2:9" x14ac:dyDescent="0.25">
      <c r="B226" s="188"/>
      <c r="C226" s="10"/>
      <c r="D226" s="39"/>
      <c r="E226" s="39"/>
      <c r="F226" s="39"/>
      <c r="G226" s="39"/>
      <c r="H226" s="226"/>
      <c r="I226" s="39"/>
    </row>
  </sheetData>
  <mergeCells count="1">
    <mergeCell ref="O42:P42"/>
  </mergeCells>
  <conditionalFormatting sqref="F45:F59 F61:F91 F93:F102">
    <cfRule type="expression" dxfId="285" priority="55">
      <formula>F45&gt;0</formula>
    </cfRule>
    <cfRule type="expression" dxfId="284" priority="56">
      <formula>F45&lt;0</formula>
    </cfRule>
  </conditionalFormatting>
  <conditionalFormatting sqref="O43:O63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83" priority="57">
      <formula>F40&gt;0</formula>
    </cfRule>
    <cfRule type="expression" dxfId="282" priority="58">
      <formula>F40&lt;0</formula>
    </cfRule>
  </conditionalFormatting>
  <conditionalFormatting sqref="F45:F59 F61:F91 F93:F102">
    <cfRule type="expression" dxfId="281" priority="53">
      <formula>F45&gt;0</formula>
    </cfRule>
    <cfRule type="expression" dxfId="280" priority="54">
      <formula>F45&lt;0</formula>
    </cfRule>
  </conditionalFormatting>
  <conditionalFormatting sqref="H40:H59 H61:H91 H93:H102">
    <cfRule type="expression" dxfId="279" priority="51">
      <formula>H40&gt;0</formula>
    </cfRule>
    <cfRule type="expression" dxfId="278" priority="52">
      <formula>H40&lt;0</formula>
    </cfRule>
  </conditionalFormatting>
  <conditionalFormatting sqref="F36:F39">
    <cfRule type="expression" dxfId="277" priority="49">
      <formula>F36&gt;0</formula>
    </cfRule>
    <cfRule type="expression" dxfId="276" priority="50">
      <formula>F36&lt;0</formula>
    </cfRule>
  </conditionalFormatting>
  <conditionalFormatting sqref="H36:H39">
    <cfRule type="expression" dxfId="275" priority="47">
      <formula>H36&gt;0</formula>
    </cfRule>
    <cfRule type="expression" dxfId="274" priority="48">
      <formula>H36&lt;0</formula>
    </cfRule>
  </conditionalFormatting>
  <conditionalFormatting sqref="Q7">
    <cfRule type="expression" dxfId="273" priority="41">
      <formula>Q7&gt;0</formula>
    </cfRule>
    <cfRule type="expression" dxfId="272" priority="42">
      <formula>Q7&lt;0</formula>
    </cfRule>
  </conditionalFormatting>
  <conditionalFormatting sqref="Q8">
    <cfRule type="expression" dxfId="271" priority="39">
      <formula>Q8&gt;0</formula>
    </cfRule>
    <cfRule type="expression" dxfId="270" priority="40">
      <formula>Q8&lt;0</formula>
    </cfRule>
  </conditionalFormatting>
  <conditionalFormatting sqref="Q10">
    <cfRule type="expression" dxfId="269" priority="37">
      <formula>Q10&gt;0</formula>
    </cfRule>
    <cfRule type="expression" dxfId="268" priority="38">
      <formula>Q10&lt;0</formula>
    </cfRule>
  </conditionalFormatting>
  <conditionalFormatting sqref="F60">
    <cfRule type="expression" dxfId="267" priority="35">
      <formula>F60&gt;0</formula>
    </cfRule>
    <cfRule type="expression" dxfId="266" priority="36">
      <formula>F60&lt;0</formula>
    </cfRule>
  </conditionalFormatting>
  <conditionalFormatting sqref="F60">
    <cfRule type="expression" dxfId="265" priority="33">
      <formula>F60&gt;0</formula>
    </cfRule>
    <cfRule type="expression" dxfId="264" priority="34">
      <formula>F60&lt;0</formula>
    </cfRule>
  </conditionalFormatting>
  <conditionalFormatting sqref="H60">
    <cfRule type="expression" dxfId="263" priority="31">
      <formula>H60&gt;0</formula>
    </cfRule>
    <cfRule type="expression" dxfId="262" priority="32">
      <formula>H60&lt;0</formula>
    </cfRule>
  </conditionalFormatting>
  <conditionalFormatting sqref="F92">
    <cfRule type="expression" dxfId="261" priority="29">
      <formula>F92&gt;0</formula>
    </cfRule>
    <cfRule type="expression" dxfId="260" priority="30">
      <formula>F92&lt;0</formula>
    </cfRule>
  </conditionalFormatting>
  <conditionalFormatting sqref="F92">
    <cfRule type="expression" dxfId="259" priority="27">
      <formula>F92&gt;0</formula>
    </cfRule>
    <cfRule type="expression" dxfId="258" priority="28">
      <formula>F92&lt;0</formula>
    </cfRule>
  </conditionalFormatting>
  <conditionalFormatting sqref="H92">
    <cfRule type="expression" dxfId="257" priority="25">
      <formula>H92&gt;0</formula>
    </cfRule>
    <cfRule type="expression" dxfId="256" priority="26">
      <formula>H92&lt;0</formula>
    </cfRule>
  </conditionalFormatting>
  <conditionalFormatting sqref="F169:F183 F185:F215 F217:F226">
    <cfRule type="expression" dxfId="27" priority="21">
      <formula>F169&gt;0</formula>
    </cfRule>
    <cfRule type="expression" dxfId="26" priority="22">
      <formula>F169&lt;0</formula>
    </cfRule>
  </conditionalFormatting>
  <conditionalFormatting sqref="F164:F168">
    <cfRule type="expression" dxfId="25" priority="23">
      <formula>F164&gt;0</formula>
    </cfRule>
    <cfRule type="expression" dxfId="24" priority="24">
      <formula>F164&lt;0</formula>
    </cfRule>
  </conditionalFormatting>
  <conditionalFormatting sqref="F169:F183 F185:F215 F217:F226">
    <cfRule type="expression" dxfId="23" priority="19">
      <formula>F169&gt;0</formula>
    </cfRule>
    <cfRule type="expression" dxfId="22" priority="20">
      <formula>F169&lt;0</formula>
    </cfRule>
  </conditionalFormatting>
  <conditionalFormatting sqref="H164:H183 H185:H215 H217:H226">
    <cfRule type="expression" dxfId="21" priority="17">
      <formula>H164&gt;0</formula>
    </cfRule>
    <cfRule type="expression" dxfId="20" priority="18">
      <formula>H164&lt;0</formula>
    </cfRule>
  </conditionalFormatting>
  <conditionalFormatting sqref="F160:F163">
    <cfRule type="expression" dxfId="19" priority="15">
      <formula>F160&gt;0</formula>
    </cfRule>
    <cfRule type="expression" dxfId="18" priority="16">
      <formula>F160&lt;0</formula>
    </cfRule>
  </conditionalFormatting>
  <conditionalFormatting sqref="H160:H163">
    <cfRule type="expression" dxfId="17" priority="13">
      <formula>H160&gt;0</formula>
    </cfRule>
    <cfRule type="expression" dxfId="16" priority="14">
      <formula>H160&lt;0</formula>
    </cfRule>
  </conditionalFormatting>
  <conditionalFormatting sqref="F184">
    <cfRule type="expression" dxfId="15" priority="11">
      <formula>F184&gt;0</formula>
    </cfRule>
    <cfRule type="expression" dxfId="14" priority="12">
      <formula>F184&lt;0</formula>
    </cfRule>
  </conditionalFormatting>
  <conditionalFormatting sqref="F184">
    <cfRule type="expression" dxfId="13" priority="9">
      <formula>F184&gt;0</formula>
    </cfRule>
    <cfRule type="expression" dxfId="12" priority="10">
      <formula>F184&lt;0</formula>
    </cfRule>
  </conditionalFormatting>
  <conditionalFormatting sqref="H184">
    <cfRule type="expression" dxfId="11" priority="7">
      <formula>H184&gt;0</formula>
    </cfRule>
    <cfRule type="expression" dxfId="10" priority="8">
      <formula>H184&lt;0</formula>
    </cfRule>
  </conditionalFormatting>
  <conditionalFormatting sqref="F216">
    <cfRule type="expression" dxfId="9" priority="5">
      <formula>F216&gt;0</formula>
    </cfRule>
    <cfRule type="expression" dxfId="8" priority="6">
      <formula>F216&lt;0</formula>
    </cfRule>
  </conditionalFormatting>
  <conditionalFormatting sqref="F216">
    <cfRule type="expression" dxfId="7" priority="3">
      <formula>F216&gt;0</formula>
    </cfRule>
    <cfRule type="expression" dxfId="6" priority="4">
      <formula>F216&lt;0</formula>
    </cfRule>
  </conditionalFormatting>
  <conditionalFormatting sqref="H216">
    <cfRule type="expression" dxfId="5" priority="1">
      <formula>H216&gt;0</formula>
    </cfRule>
    <cfRule type="expression" dxfId="4" priority="2">
      <formula>H216&lt;0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338</v>
      </c>
      <c r="B2" s="486">
        <v>43116</v>
      </c>
      <c r="C2" s="4">
        <v>100</v>
      </c>
      <c r="D2" s="3">
        <v>21.28</v>
      </c>
      <c r="E2" s="3">
        <v>0</v>
      </c>
      <c r="F2" s="3">
        <f>C2*D2+E2</f>
        <v>2128</v>
      </c>
      <c r="G2" s="72"/>
      <c r="H2" s="180"/>
      <c r="I2" s="3"/>
      <c r="J2" s="3"/>
      <c r="K2" s="3"/>
      <c r="L2" s="72"/>
      <c r="M2" s="3"/>
      <c r="O2" s="11" t="s">
        <v>57</v>
      </c>
      <c r="Q2" s="70">
        <f>C17-H17</f>
        <v>200</v>
      </c>
      <c r="T2" s="1">
        <v>43080</v>
      </c>
      <c r="U2" t="s">
        <v>826</v>
      </c>
    </row>
    <row r="3" spans="1:29" x14ac:dyDescent="0.25">
      <c r="A3" s="22" t="s">
        <v>71</v>
      </c>
      <c r="B3" s="486">
        <v>43139</v>
      </c>
      <c r="C3" s="4">
        <v>100</v>
      </c>
      <c r="D3" s="3">
        <v>18.48</v>
      </c>
      <c r="E3" s="3">
        <v>0</v>
      </c>
      <c r="F3" s="3">
        <f>C3*D3+E3</f>
        <v>1848</v>
      </c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(F17-K17-M17)/Q2)</f>
        <v>19.88</v>
      </c>
      <c r="T3" s="1">
        <v>43088</v>
      </c>
      <c r="U3" t="s">
        <v>832</v>
      </c>
      <c r="Z3" s="229"/>
      <c r="AC3" s="229"/>
    </row>
    <row r="4" spans="1:29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196">
        <v>18.61</v>
      </c>
      <c r="R4" s="487">
        <v>-1.6000000000000001E-3</v>
      </c>
      <c r="U4" t="s">
        <v>833</v>
      </c>
    </row>
    <row r="5" spans="1:29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3722</v>
      </c>
    </row>
    <row r="6" spans="1:29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4"/>
      <c r="O6" s="11" t="s">
        <v>64</v>
      </c>
      <c r="Q6" s="2">
        <f>Q3*Q2</f>
        <v>3976</v>
      </c>
    </row>
    <row r="7" spans="1:29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30.970000000004802</v>
      </c>
      <c r="R7" s="29">
        <v>43147</v>
      </c>
      <c r="T7" s="1">
        <v>43103</v>
      </c>
      <c r="U7" t="s">
        <v>900</v>
      </c>
    </row>
    <row r="8" spans="1:29" x14ac:dyDescent="0.25">
      <c r="B8" s="72"/>
      <c r="C8" s="4"/>
      <c r="D8" s="3"/>
      <c r="E8" s="3"/>
      <c r="F8" s="3"/>
      <c r="G8" s="72"/>
      <c r="H8" s="180"/>
      <c r="I8" s="3"/>
      <c r="J8" s="3"/>
      <c r="K8" s="3"/>
      <c r="L8" s="4"/>
      <c r="M8" s="4"/>
      <c r="O8" s="11" t="s">
        <v>180</v>
      </c>
      <c r="P8" s="33"/>
      <c r="Q8" s="2">
        <f>K17+M17-F17+Q2*Q4</f>
        <v>-254</v>
      </c>
    </row>
    <row r="9" spans="1:29" x14ac:dyDescent="0.25">
      <c r="B9" s="72"/>
      <c r="C9" s="4"/>
      <c r="D9" s="3"/>
      <c r="E9" s="3"/>
      <c r="F9" s="3"/>
      <c r="G9" s="72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-6.3883299798792759E-2</v>
      </c>
    </row>
    <row r="10" spans="1:29" x14ac:dyDescent="0.25">
      <c r="B10" s="72"/>
      <c r="C10" s="4"/>
      <c r="D10" s="3"/>
      <c r="E10" s="3"/>
      <c r="F10" s="3"/>
      <c r="G10" s="72"/>
      <c r="H10" s="180"/>
      <c r="I10" s="3"/>
      <c r="J10" s="3"/>
      <c r="K10" s="3"/>
      <c r="L10" s="4"/>
      <c r="M10" s="4"/>
      <c r="O10" s="11" t="s">
        <v>209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4*R11/Q4</f>
        <v>1.5475550779150993E-2</v>
      </c>
      <c r="R11">
        <v>7.1999999999999995E-2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</row>
    <row r="17" spans="1:13" x14ac:dyDescent="0.25">
      <c r="A17" s="31" t="s">
        <v>81</v>
      </c>
      <c r="B17" s="14"/>
      <c r="C17" s="14">
        <f>SUM(C2:C16)</f>
        <v>200</v>
      </c>
      <c r="D17" s="18"/>
      <c r="E17" s="18"/>
      <c r="F17" s="18">
        <f>SUM(F2:F16)</f>
        <v>3976</v>
      </c>
      <c r="G17" s="14"/>
      <c r="H17" s="71">
        <f>SUM(H2:H10)</f>
        <v>0</v>
      </c>
      <c r="I17" s="18"/>
      <c r="J17" s="18"/>
      <c r="K17" s="18">
        <f>SUM(K2:K16)</f>
        <v>0</v>
      </c>
      <c r="L17" s="14"/>
      <c r="M17" s="18">
        <f>SUM(M2:M16)</f>
        <v>0</v>
      </c>
    </row>
    <row r="18" spans="1:13" ht="15.75" thickBot="1" x14ac:dyDescent="0.3">
      <c r="A18" s="347" t="s">
        <v>194</v>
      </c>
      <c r="B18" s="348"/>
      <c r="C18" s="349">
        <f>SumByColor($A$18,C2:C16)</f>
        <v>0</v>
      </c>
      <c r="D18" s="349"/>
      <c r="E18" s="349"/>
      <c r="F18" s="350">
        <f>SumByColor($A$18,F2:F16)</f>
        <v>0</v>
      </c>
      <c r="G18" s="349"/>
      <c r="H18" s="349">
        <f>SumByColor($A$18,H2:H16)</f>
        <v>0</v>
      </c>
      <c r="I18" s="349"/>
      <c r="J18" s="349"/>
      <c r="K18" s="350">
        <f>SumByColor($A$18,K3:K16)</f>
        <v>0</v>
      </c>
      <c r="L18" s="349"/>
      <c r="M18" s="350">
        <f>SumByColor($A$18,M2:M16)</f>
        <v>0</v>
      </c>
    </row>
    <row r="20" spans="1:13" x14ac:dyDescent="0.25">
      <c r="A20" s="186" t="s">
        <v>231</v>
      </c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90" t="s">
        <v>154</v>
      </c>
    </row>
    <row r="21" spans="1:13" x14ac:dyDescent="0.25">
      <c r="A21" s="10"/>
      <c r="B21" s="188">
        <v>43116</v>
      </c>
      <c r="C21" s="10">
        <v>100</v>
      </c>
      <c r="D21" s="39">
        <v>21.28</v>
      </c>
      <c r="E21" s="39">
        <v>21.41</v>
      </c>
      <c r="F21" s="39">
        <f>C21*(E21-D21)</f>
        <v>12.999999999999901</v>
      </c>
      <c r="G21" s="39">
        <f>D21*C21</f>
        <v>2128</v>
      </c>
      <c r="H21" s="226">
        <f>(E21-D21)/D21</f>
        <v>6.1090225563909303E-3</v>
      </c>
      <c r="I21" s="226"/>
    </row>
    <row r="22" spans="1:13" x14ac:dyDescent="0.25">
      <c r="A22" s="10"/>
      <c r="B22" s="188">
        <v>43124</v>
      </c>
      <c r="C22" s="10">
        <v>100</v>
      </c>
      <c r="D22" s="39">
        <v>21.28</v>
      </c>
      <c r="E22" s="39">
        <v>20.57</v>
      </c>
      <c r="F22" s="39">
        <f>C22*(E22-D22)</f>
        <v>-71.000000000000085</v>
      </c>
      <c r="G22" s="39">
        <f>D22*C22</f>
        <v>2128</v>
      </c>
      <c r="H22" s="226">
        <f>(E22-D22)/D22</f>
        <v>-3.3364661654135375E-2</v>
      </c>
      <c r="I22" s="226"/>
    </row>
    <row r="23" spans="1:13" x14ac:dyDescent="0.25">
      <c r="A23" s="10"/>
      <c r="B23" s="188">
        <v>43139</v>
      </c>
      <c r="C23" s="10">
        <v>200</v>
      </c>
      <c r="D23" s="39">
        <v>19.88</v>
      </c>
      <c r="E23" s="39">
        <v>18.64</v>
      </c>
      <c r="F23" s="39">
        <f>C23*(E23-D23)</f>
        <v>-247.99999999999969</v>
      </c>
      <c r="G23" s="39">
        <f>D23*C23</f>
        <v>3976</v>
      </c>
      <c r="H23" s="226">
        <f>(E23-D23)/D23</f>
        <v>-6.2374245472836945E-2</v>
      </c>
      <c r="I23" s="226"/>
    </row>
    <row r="24" spans="1:13" x14ac:dyDescent="0.25">
      <c r="A24" s="10"/>
      <c r="B24" s="188"/>
      <c r="C24" s="10"/>
      <c r="D24" s="39"/>
      <c r="E24" s="39"/>
      <c r="F24" s="39"/>
      <c r="G24" s="39"/>
      <c r="H24" s="226"/>
      <c r="I24" s="226"/>
    </row>
    <row r="25" spans="1:13" x14ac:dyDescent="0.25">
      <c r="A25" s="10"/>
      <c r="B25" s="188"/>
      <c r="C25" s="10"/>
      <c r="D25" s="39"/>
      <c r="E25" s="39"/>
      <c r="F25" s="39"/>
      <c r="G25" s="39"/>
      <c r="H25" s="226"/>
      <c r="I25" s="227"/>
    </row>
    <row r="26" spans="1:13" x14ac:dyDescent="0.25">
      <c r="A26" s="10"/>
      <c r="B26" s="188"/>
      <c r="C26" s="10"/>
      <c r="D26" s="39"/>
      <c r="E26" s="39"/>
      <c r="F26" s="39"/>
      <c r="G26" s="39"/>
      <c r="H26" s="227"/>
      <c r="I26" s="227"/>
    </row>
    <row r="27" spans="1:13" x14ac:dyDescent="0.25">
      <c r="A27" s="10"/>
      <c r="B27" s="188"/>
      <c r="C27" s="10"/>
      <c r="D27" s="39"/>
      <c r="E27" s="39"/>
      <c r="F27" s="39"/>
      <c r="G27" s="39"/>
      <c r="H27" s="227"/>
      <c r="I27" s="227"/>
    </row>
    <row r="28" spans="1:13" x14ac:dyDescent="0.25">
      <c r="A28" s="10"/>
      <c r="B28" s="188"/>
      <c r="C28" s="10"/>
      <c r="D28" s="39"/>
      <c r="E28" s="39"/>
      <c r="F28" s="39"/>
      <c r="G28" s="39"/>
      <c r="H28" s="227"/>
      <c r="I28" s="227"/>
    </row>
    <row r="29" spans="1:13" x14ac:dyDescent="0.25">
      <c r="A29" s="10"/>
      <c r="B29" s="188"/>
      <c r="C29" s="10"/>
      <c r="D29" s="39"/>
      <c r="E29" s="39"/>
      <c r="F29" s="39"/>
      <c r="G29" s="39"/>
      <c r="H29" s="227"/>
      <c r="I29" s="227"/>
    </row>
    <row r="30" spans="1:13" x14ac:dyDescent="0.25">
      <c r="A30" s="10"/>
      <c r="B30" s="188"/>
      <c r="C30" s="10"/>
      <c r="D30" s="39"/>
      <c r="E30" s="39"/>
      <c r="F30" s="39"/>
      <c r="G30" s="39"/>
      <c r="H30" s="227"/>
      <c r="I30" s="227"/>
    </row>
    <row r="31" spans="1:13" x14ac:dyDescent="0.25">
      <c r="A31" s="10"/>
      <c r="B31" s="188"/>
      <c r="C31" s="10"/>
      <c r="D31" s="39"/>
      <c r="E31" s="39"/>
      <c r="F31" s="39"/>
      <c r="G31" s="39"/>
      <c r="H31" s="227"/>
      <c r="I31" s="227"/>
    </row>
    <row r="32" spans="1:13" x14ac:dyDescent="0.25">
      <c r="A32" s="10"/>
      <c r="B32" s="188"/>
      <c r="C32" s="10"/>
      <c r="D32" s="39"/>
      <c r="E32" s="39"/>
      <c r="F32" s="39"/>
      <c r="G32" s="39"/>
      <c r="H32" s="227"/>
      <c r="I32" s="227"/>
    </row>
    <row r="33" spans="1:18" x14ac:dyDescent="0.25">
      <c r="A33" s="10"/>
      <c r="B33" s="188"/>
      <c r="C33" s="10"/>
      <c r="D33" s="39"/>
      <c r="E33" s="39"/>
      <c r="F33" s="39"/>
      <c r="G33" s="39"/>
      <c r="H33" s="227"/>
      <c r="I33" s="227"/>
    </row>
    <row r="34" spans="1:18" x14ac:dyDescent="0.25">
      <c r="A34" s="10"/>
      <c r="B34" s="188"/>
      <c r="C34" s="10"/>
      <c r="D34" s="39"/>
      <c r="E34" s="39"/>
      <c r="F34" s="39"/>
      <c r="G34" s="39"/>
      <c r="H34" s="227"/>
      <c r="I34" s="39"/>
    </row>
    <row r="35" spans="1:18" x14ac:dyDescent="0.25">
      <c r="A35" s="10"/>
      <c r="B35" s="188"/>
      <c r="C35" s="10"/>
      <c r="D35" s="39"/>
      <c r="E35" s="39"/>
      <c r="F35" s="39"/>
      <c r="G35" s="39"/>
      <c r="H35" s="227"/>
      <c r="I35" s="227"/>
    </row>
    <row r="36" spans="1:18" x14ac:dyDescent="0.25">
      <c r="A36" s="10"/>
      <c r="B36" s="188"/>
      <c r="C36" s="10"/>
      <c r="D36" s="39"/>
      <c r="E36" s="39"/>
      <c r="F36" s="39"/>
      <c r="G36" s="39"/>
      <c r="H36" s="227"/>
      <c r="I36" s="39"/>
    </row>
    <row r="37" spans="1:18" x14ac:dyDescent="0.25">
      <c r="A37" s="10"/>
      <c r="B37" s="188"/>
      <c r="C37" s="10"/>
      <c r="D37" s="39"/>
      <c r="E37" s="39"/>
      <c r="F37" s="39"/>
      <c r="G37" s="39"/>
      <c r="H37" s="227"/>
      <c r="I37" s="39"/>
    </row>
    <row r="38" spans="1:18" x14ac:dyDescent="0.25">
      <c r="A38" s="10"/>
      <c r="B38" s="188"/>
      <c r="C38" s="10"/>
      <c r="D38" s="39"/>
      <c r="E38" s="39"/>
      <c r="F38" s="39"/>
      <c r="G38" s="39"/>
      <c r="H38" s="227"/>
      <c r="I38" s="227"/>
    </row>
    <row r="39" spans="1:18" x14ac:dyDescent="0.25">
      <c r="A39" s="10"/>
      <c r="B39" s="188"/>
      <c r="C39" s="10"/>
      <c r="D39" s="39"/>
      <c r="E39" s="39"/>
      <c r="F39" s="39"/>
      <c r="G39" s="39"/>
      <c r="H39" s="227"/>
      <c r="I39" s="197"/>
    </row>
    <row r="40" spans="1:18" x14ac:dyDescent="0.25">
      <c r="A40" s="10"/>
      <c r="B40" s="188"/>
      <c r="C40" s="10"/>
      <c r="D40" s="39"/>
      <c r="E40" s="39"/>
      <c r="F40" s="39"/>
      <c r="G40" s="39"/>
      <c r="H40" s="227"/>
      <c r="I40" s="227"/>
    </row>
    <row r="41" spans="1:18" x14ac:dyDescent="0.25">
      <c r="A41" s="10"/>
      <c r="B41" s="188"/>
      <c r="C41" s="10"/>
      <c r="D41" s="39"/>
      <c r="E41" s="39"/>
      <c r="F41" s="39"/>
      <c r="G41" s="39"/>
      <c r="H41" s="227"/>
      <c r="I41" s="227"/>
      <c r="O41" s="33"/>
      <c r="R41" s="33"/>
    </row>
    <row r="42" spans="1:18" ht="20.25" thickBot="1" x14ac:dyDescent="0.35">
      <c r="A42" s="10"/>
      <c r="B42" s="188"/>
      <c r="C42" s="10"/>
      <c r="D42" s="39"/>
      <c r="E42" s="39"/>
      <c r="F42" s="39"/>
      <c r="G42" s="39"/>
      <c r="H42" s="227"/>
      <c r="I42" s="227"/>
      <c r="O42" s="574" t="s">
        <v>78</v>
      </c>
      <c r="P42" s="574"/>
      <c r="Q42" s="33"/>
      <c r="R42" s="33"/>
    </row>
    <row r="43" spans="1:18" ht="15.75" thickTop="1" x14ac:dyDescent="0.25">
      <c r="A43" s="10"/>
      <c r="B43" s="188"/>
      <c r="C43" s="10"/>
      <c r="D43" s="39"/>
      <c r="E43" s="39"/>
      <c r="F43" s="39"/>
      <c r="G43" s="39"/>
      <c r="H43" s="227"/>
      <c r="I43" s="227"/>
      <c r="O43" s="81">
        <v>1.1000000000000001</v>
      </c>
      <c r="P43" s="81">
        <f>O43*$Q$4</f>
        <v>20.471</v>
      </c>
      <c r="Q43" s="33"/>
      <c r="R43" s="33"/>
    </row>
    <row r="44" spans="1:18" x14ac:dyDescent="0.25">
      <c r="A44" s="10"/>
      <c r="B44" s="188"/>
      <c r="C44" s="10"/>
      <c r="D44" s="39"/>
      <c r="E44" s="39"/>
      <c r="F44" s="39"/>
      <c r="G44" s="39"/>
      <c r="H44" s="227"/>
      <c r="I44" s="227"/>
      <c r="O44" s="81">
        <v>1.0900000000000001</v>
      </c>
      <c r="P44" s="81">
        <f t="shared" ref="P44:P63" si="0">O44*$Q$4</f>
        <v>20.2849</v>
      </c>
      <c r="Q44" s="33"/>
      <c r="R44" s="33"/>
    </row>
    <row r="45" spans="1:18" x14ac:dyDescent="0.25">
      <c r="A45" s="10"/>
      <c r="B45" s="188"/>
      <c r="C45" s="10"/>
      <c r="D45" s="39"/>
      <c r="E45" s="39"/>
      <c r="F45" s="39"/>
      <c r="G45" s="39"/>
      <c r="H45" s="227"/>
      <c r="I45" s="227"/>
      <c r="O45" s="81">
        <v>1.08</v>
      </c>
      <c r="P45" s="81">
        <f t="shared" si="0"/>
        <v>20.098800000000001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7"/>
      <c r="I46" s="227"/>
      <c r="O46" s="81">
        <v>1.07</v>
      </c>
      <c r="P46" s="81">
        <f t="shared" si="0"/>
        <v>19.912700000000001</v>
      </c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7"/>
      <c r="I47" s="227"/>
      <c r="O47" s="81">
        <v>1.06</v>
      </c>
      <c r="P47" s="81">
        <f t="shared" si="0"/>
        <v>19.726600000000001</v>
      </c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7"/>
      <c r="I48" s="227"/>
      <c r="O48" s="81">
        <v>1.05</v>
      </c>
      <c r="P48" s="81">
        <f t="shared" si="0"/>
        <v>19.540500000000002</v>
      </c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7"/>
      <c r="I49" s="227"/>
      <c r="O49" s="81">
        <v>1.04</v>
      </c>
      <c r="P49" s="81">
        <f t="shared" si="0"/>
        <v>19.354400000000002</v>
      </c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7"/>
      <c r="I50" s="227"/>
      <c r="O50" s="81">
        <v>1.03</v>
      </c>
      <c r="P50" s="81">
        <f t="shared" si="0"/>
        <v>19.168299999999999</v>
      </c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7"/>
      <c r="I51" s="227"/>
      <c r="O51" s="81">
        <v>1.02</v>
      </c>
      <c r="P51" s="81">
        <f t="shared" si="0"/>
        <v>18.982199999999999</v>
      </c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7"/>
      <c r="I52" s="227"/>
      <c r="O52" s="81">
        <v>1.01</v>
      </c>
      <c r="P52" s="81">
        <f t="shared" si="0"/>
        <v>18.796099999999999</v>
      </c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7"/>
      <c r="I53" s="227"/>
      <c r="O53" s="81">
        <v>1</v>
      </c>
      <c r="P53" s="81">
        <f t="shared" si="0"/>
        <v>18.61</v>
      </c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7"/>
      <c r="I54" s="227"/>
      <c r="O54" s="81">
        <v>0.99</v>
      </c>
      <c r="P54" s="81">
        <f t="shared" si="0"/>
        <v>18.4239</v>
      </c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7"/>
      <c r="I55" s="227"/>
      <c r="O55" s="81">
        <v>0.98</v>
      </c>
      <c r="P55" s="81">
        <f t="shared" si="0"/>
        <v>18.2378</v>
      </c>
      <c r="Q55" s="81"/>
    </row>
    <row r="56" spans="1:18" x14ac:dyDescent="0.25">
      <c r="O56" s="81">
        <v>0.97</v>
      </c>
      <c r="P56" s="81">
        <f t="shared" si="0"/>
        <v>18.0517</v>
      </c>
      <c r="Q56" s="81"/>
    </row>
    <row r="57" spans="1:18" x14ac:dyDescent="0.25">
      <c r="L57" t="s">
        <v>211</v>
      </c>
      <c r="M57" s="2">
        <f>M76+K76-F76</f>
        <v>284.9700000000048</v>
      </c>
      <c r="O57" s="81">
        <v>0.96</v>
      </c>
      <c r="P57" s="81">
        <f t="shared" si="0"/>
        <v>17.865599999999997</v>
      </c>
      <c r="Q57" s="81"/>
    </row>
    <row r="58" spans="1:18" x14ac:dyDescent="0.25">
      <c r="A58" s="377" t="s">
        <v>1</v>
      </c>
      <c r="B58" s="377" t="s">
        <v>2</v>
      </c>
      <c r="C58" s="377" t="s">
        <v>4</v>
      </c>
      <c r="D58" s="379" t="s">
        <v>5</v>
      </c>
      <c r="E58" s="379" t="s">
        <v>94</v>
      </c>
      <c r="F58" s="379" t="s">
        <v>60</v>
      </c>
      <c r="G58" s="377" t="s">
        <v>3</v>
      </c>
      <c r="H58" s="377" t="s">
        <v>6</v>
      </c>
      <c r="I58" s="379" t="s">
        <v>7</v>
      </c>
      <c r="J58" s="379" t="s">
        <v>95</v>
      </c>
      <c r="K58" s="379" t="s">
        <v>61</v>
      </c>
      <c r="L58" s="377" t="s">
        <v>77</v>
      </c>
      <c r="M58" s="377" t="s">
        <v>38</v>
      </c>
      <c r="O58" s="81">
        <v>0.95</v>
      </c>
      <c r="P58" s="81">
        <f t="shared" si="0"/>
        <v>17.679499999999997</v>
      </c>
      <c r="Q58" s="81"/>
    </row>
    <row r="59" spans="1:18" x14ac:dyDescent="0.25">
      <c r="A59" s="380" t="s">
        <v>338</v>
      </c>
      <c r="B59" s="445">
        <v>42746</v>
      </c>
      <c r="C59" s="7">
        <v>80</v>
      </c>
      <c r="D59" s="43">
        <v>34.020000000000003</v>
      </c>
      <c r="E59" s="43">
        <v>0</v>
      </c>
      <c r="F59" s="43">
        <f t="shared" ref="F59:F67" si="1">C59*D59+E59</f>
        <v>2721.6000000000004</v>
      </c>
      <c r="G59" s="445">
        <v>42760</v>
      </c>
      <c r="H59" s="80">
        <v>80</v>
      </c>
      <c r="I59" s="43">
        <v>33.68</v>
      </c>
      <c r="J59" s="43">
        <v>0.06</v>
      </c>
      <c r="K59" s="43">
        <f t="shared" ref="K59:K67" si="2">H59*I59-J59</f>
        <v>2694.34</v>
      </c>
      <c r="L59" s="72">
        <v>42908</v>
      </c>
      <c r="M59" s="43">
        <v>54.4</v>
      </c>
      <c r="O59" s="81">
        <v>0.94</v>
      </c>
      <c r="P59" s="81">
        <f t="shared" si="0"/>
        <v>17.493399999999998</v>
      </c>
      <c r="Q59" s="81"/>
    </row>
    <row r="60" spans="1:18" x14ac:dyDescent="0.25">
      <c r="A60" s="381" t="s">
        <v>71</v>
      </c>
      <c r="B60" s="445">
        <v>42758</v>
      </c>
      <c r="C60" s="7">
        <v>40</v>
      </c>
      <c r="D60" s="43">
        <v>32.28</v>
      </c>
      <c r="E60" s="43">
        <v>0</v>
      </c>
      <c r="F60" s="43">
        <f t="shared" si="1"/>
        <v>1291.2</v>
      </c>
      <c r="G60" s="445">
        <v>42766</v>
      </c>
      <c r="H60" s="80">
        <v>40</v>
      </c>
      <c r="I60" s="43">
        <v>31.8</v>
      </c>
      <c r="J60" s="43">
        <v>0.03</v>
      </c>
      <c r="K60" s="43">
        <f t="shared" si="2"/>
        <v>1271.97</v>
      </c>
      <c r="L60" s="72">
        <v>42908</v>
      </c>
      <c r="M60" s="43">
        <v>-8.16</v>
      </c>
      <c r="O60" s="81">
        <v>0.93</v>
      </c>
      <c r="P60" s="81">
        <f t="shared" si="0"/>
        <v>17.307300000000001</v>
      </c>
      <c r="Q60" s="81"/>
    </row>
    <row r="61" spans="1:18" x14ac:dyDescent="0.25">
      <c r="A61" s="371"/>
      <c r="B61" s="445">
        <v>42843</v>
      </c>
      <c r="C61" s="7">
        <v>80</v>
      </c>
      <c r="D61" s="43">
        <v>31.08</v>
      </c>
      <c r="E61" s="43">
        <v>0</v>
      </c>
      <c r="F61" s="43">
        <f t="shared" si="1"/>
        <v>2486.3999999999996</v>
      </c>
      <c r="G61" s="445">
        <v>42901</v>
      </c>
      <c r="H61" s="80">
        <v>80</v>
      </c>
      <c r="I61" s="43">
        <v>31.3</v>
      </c>
      <c r="J61" s="43">
        <v>0.05</v>
      </c>
      <c r="K61" s="43">
        <f t="shared" si="2"/>
        <v>2503.9499999999998</v>
      </c>
      <c r="L61" s="72">
        <v>42992</v>
      </c>
      <c r="M61" s="43">
        <v>15.3</v>
      </c>
      <c r="O61" s="81">
        <v>0.92</v>
      </c>
      <c r="P61" s="81">
        <f t="shared" si="0"/>
        <v>17.121200000000002</v>
      </c>
      <c r="Q61" s="81"/>
    </row>
    <row r="62" spans="1:18" x14ac:dyDescent="0.25">
      <c r="A62" s="371"/>
      <c r="B62" s="445">
        <v>42873</v>
      </c>
      <c r="C62" s="7">
        <v>80</v>
      </c>
      <c r="D62" s="43">
        <v>29.68</v>
      </c>
      <c r="E62" s="43">
        <v>0</v>
      </c>
      <c r="F62" s="43">
        <f t="shared" si="1"/>
        <v>2374.4</v>
      </c>
      <c r="G62" s="445">
        <v>42989</v>
      </c>
      <c r="H62" s="80">
        <v>100</v>
      </c>
      <c r="I62" s="43">
        <v>18.559999999999999</v>
      </c>
      <c r="J62" s="43">
        <v>0.04</v>
      </c>
      <c r="K62" s="43">
        <f t="shared" si="2"/>
        <v>1855.9599999999998</v>
      </c>
      <c r="L62" s="72">
        <v>42992</v>
      </c>
      <c r="M62" s="43">
        <v>-2.2999999999999998</v>
      </c>
      <c r="O62" s="81">
        <v>0.91</v>
      </c>
      <c r="P62" s="81">
        <f t="shared" si="0"/>
        <v>16.935099999999998</v>
      </c>
      <c r="Q62" s="81"/>
    </row>
    <row r="63" spans="1:18" x14ac:dyDescent="0.25">
      <c r="A63" s="371"/>
      <c r="B63" s="445">
        <v>42957</v>
      </c>
      <c r="C63" s="7">
        <v>100</v>
      </c>
      <c r="D63" s="43">
        <v>17.28</v>
      </c>
      <c r="E63" s="43">
        <v>0</v>
      </c>
      <c r="F63" s="43">
        <f t="shared" si="1"/>
        <v>1728</v>
      </c>
      <c r="G63" s="445">
        <v>43010</v>
      </c>
      <c r="H63" s="80">
        <v>80</v>
      </c>
      <c r="I63" s="43">
        <v>18.68</v>
      </c>
      <c r="J63" s="43">
        <v>0.03</v>
      </c>
      <c r="K63" s="43">
        <f t="shared" si="2"/>
        <v>1494.3700000000001</v>
      </c>
      <c r="L63" s="72">
        <v>43082</v>
      </c>
      <c r="M63" s="7">
        <f>23.8-3.57</f>
        <v>20.23</v>
      </c>
      <c r="O63" s="81">
        <v>0.9</v>
      </c>
      <c r="P63" s="81">
        <f t="shared" si="0"/>
        <v>16.748999999999999</v>
      </c>
      <c r="Q63" s="81"/>
    </row>
    <row r="64" spans="1:18" x14ac:dyDescent="0.25">
      <c r="A64" s="371"/>
      <c r="B64" s="445">
        <v>42996</v>
      </c>
      <c r="C64" s="7">
        <v>100</v>
      </c>
      <c r="D64" s="43">
        <v>17.68</v>
      </c>
      <c r="E64" s="43">
        <v>0</v>
      </c>
      <c r="F64" s="43">
        <f t="shared" si="1"/>
        <v>1768</v>
      </c>
      <c r="G64" s="445">
        <v>43045</v>
      </c>
      <c r="H64" s="80">
        <v>200</v>
      </c>
      <c r="I64" s="43">
        <v>12.08</v>
      </c>
      <c r="J64" s="43">
        <v>0.06</v>
      </c>
      <c r="K64" s="43">
        <f t="shared" si="2"/>
        <v>2415.94</v>
      </c>
      <c r="L64" s="4"/>
      <c r="M64" s="4"/>
      <c r="O64" s="33"/>
    </row>
    <row r="65" spans="1:15" x14ac:dyDescent="0.25">
      <c r="A65" s="371"/>
      <c r="B65" s="445">
        <v>43011</v>
      </c>
      <c r="C65" s="7">
        <v>80</v>
      </c>
      <c r="D65" s="43">
        <v>17.95</v>
      </c>
      <c r="E65" s="43">
        <v>0</v>
      </c>
      <c r="F65" s="43">
        <f t="shared" si="1"/>
        <v>1436</v>
      </c>
      <c r="G65" s="445">
        <v>43070</v>
      </c>
      <c r="H65" s="80">
        <v>80</v>
      </c>
      <c r="I65" s="43">
        <v>15.27</v>
      </c>
      <c r="J65" s="43">
        <v>0.03</v>
      </c>
      <c r="K65" s="43">
        <f t="shared" si="2"/>
        <v>1221.57</v>
      </c>
    </row>
    <row r="66" spans="1:15" x14ac:dyDescent="0.25">
      <c r="A66" s="371"/>
      <c r="B66" s="445">
        <v>43013</v>
      </c>
      <c r="C66" s="7">
        <v>100</v>
      </c>
      <c r="D66" s="43">
        <v>15.8</v>
      </c>
      <c r="E66" s="43">
        <v>0</v>
      </c>
      <c r="F66" s="43">
        <f t="shared" si="1"/>
        <v>1580</v>
      </c>
      <c r="G66" s="445">
        <v>43111</v>
      </c>
      <c r="H66" s="80">
        <v>100</v>
      </c>
      <c r="I66" s="43">
        <v>21.31</v>
      </c>
      <c r="J66" s="43">
        <v>-0.05</v>
      </c>
      <c r="K66" s="43">
        <f t="shared" si="2"/>
        <v>2131.0500000000002</v>
      </c>
    </row>
    <row r="67" spans="1:15" x14ac:dyDescent="0.25">
      <c r="A67" s="371"/>
      <c r="B67" s="445">
        <v>43041</v>
      </c>
      <c r="C67" s="7">
        <v>200</v>
      </c>
      <c r="D67" s="43">
        <v>11.28</v>
      </c>
      <c r="E67" s="43">
        <v>0</v>
      </c>
      <c r="F67" s="43">
        <f t="shared" si="1"/>
        <v>2256</v>
      </c>
      <c r="G67" s="445">
        <v>43112</v>
      </c>
      <c r="H67" s="80">
        <v>100</v>
      </c>
      <c r="I67" s="43">
        <v>22.58</v>
      </c>
      <c r="J67" s="43">
        <v>0.05</v>
      </c>
      <c r="K67" s="43">
        <f t="shared" si="2"/>
        <v>2257.9499999999998</v>
      </c>
    </row>
    <row r="68" spans="1:15" x14ac:dyDescent="0.25">
      <c r="A68" s="371"/>
      <c r="B68" s="371"/>
      <c r="C68" s="371"/>
      <c r="D68" s="372"/>
      <c r="E68" s="372"/>
      <c r="F68" s="372"/>
      <c r="G68" s="371"/>
      <c r="H68" s="371"/>
      <c r="I68" s="372"/>
      <c r="J68" s="372"/>
      <c r="K68" s="372"/>
      <c r="L68" s="371"/>
      <c r="M68" s="371"/>
    </row>
    <row r="69" spans="1:15" x14ac:dyDescent="0.25">
      <c r="A69" s="371"/>
      <c r="B69" s="371"/>
      <c r="C69" s="371"/>
      <c r="D69" s="372"/>
      <c r="E69" s="372"/>
      <c r="F69" s="372"/>
      <c r="G69" s="371"/>
      <c r="H69" s="371"/>
      <c r="I69" s="372"/>
      <c r="J69" s="372"/>
      <c r="K69" s="372"/>
      <c r="L69" s="371"/>
      <c r="M69" s="371"/>
      <c r="O69" s="33"/>
    </row>
    <row r="70" spans="1:15" x14ac:dyDescent="0.25">
      <c r="A70" s="371"/>
      <c r="B70" s="371"/>
      <c r="C70" s="371"/>
      <c r="D70" s="372"/>
      <c r="E70" s="372"/>
      <c r="F70" s="372"/>
      <c r="G70" s="371"/>
      <c r="H70" s="371"/>
      <c r="I70" s="372"/>
      <c r="J70" s="372"/>
      <c r="K70" s="372"/>
      <c r="L70" s="371"/>
      <c r="M70" s="371"/>
    </row>
    <row r="71" spans="1:15" x14ac:dyDescent="0.25">
      <c r="A71" s="371"/>
      <c r="B71" s="371"/>
      <c r="C71" s="371"/>
      <c r="D71" s="372"/>
      <c r="E71" s="372"/>
      <c r="F71" s="372"/>
      <c r="G71" s="371"/>
      <c r="H71" s="371"/>
      <c r="I71" s="372"/>
      <c r="J71" s="372"/>
      <c r="K71" s="372"/>
      <c r="L71" s="371"/>
      <c r="M71" s="371"/>
    </row>
    <row r="72" spans="1:15" x14ac:dyDescent="0.25">
      <c r="A72" s="371"/>
      <c r="B72" s="371"/>
      <c r="C72" s="371"/>
      <c r="D72" s="372"/>
      <c r="E72" s="372"/>
      <c r="F72" s="372"/>
      <c r="G72" s="371"/>
      <c r="H72" s="371"/>
      <c r="I72" s="372"/>
      <c r="J72" s="372"/>
      <c r="K72" s="372"/>
      <c r="L72" s="371"/>
      <c r="M72" s="371"/>
    </row>
    <row r="73" spans="1:15" x14ac:dyDescent="0.25">
      <c r="A73" s="371"/>
      <c r="B73" s="371"/>
      <c r="C73" s="371"/>
      <c r="D73" s="372"/>
      <c r="E73" s="372"/>
      <c r="F73" s="372"/>
      <c r="G73" s="371"/>
      <c r="H73" s="371"/>
      <c r="I73" s="372"/>
      <c r="J73" s="372"/>
      <c r="K73" s="372"/>
      <c r="L73" s="371"/>
      <c r="M73" s="371"/>
    </row>
    <row r="74" spans="1:15" x14ac:dyDescent="0.25">
      <c r="A74" s="371"/>
      <c r="B74" s="371"/>
      <c r="C74" s="371"/>
      <c r="D74" s="372"/>
      <c r="E74" s="372"/>
      <c r="F74" s="372"/>
      <c r="G74" s="371"/>
      <c r="H74" s="371"/>
      <c r="I74" s="372"/>
      <c r="J74" s="372"/>
      <c r="K74" s="372"/>
      <c r="L74" s="371"/>
      <c r="M74" s="371"/>
    </row>
    <row r="75" spans="1:15" x14ac:dyDescent="0.25">
      <c r="A75" s="371"/>
      <c r="B75" s="371"/>
      <c r="C75" s="371"/>
      <c r="D75" s="372"/>
      <c r="E75" s="372"/>
      <c r="F75" s="372"/>
      <c r="G75" s="371"/>
      <c r="H75" s="371"/>
      <c r="I75" s="372"/>
      <c r="J75" s="372"/>
      <c r="K75" s="372"/>
      <c r="L75" s="371"/>
      <c r="M75" s="371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8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70" t="s">
        <v>231</v>
      </c>
      <c r="B81" s="770" t="s">
        <v>113</v>
      </c>
      <c r="C81" s="770" t="s">
        <v>146</v>
      </c>
      <c r="D81" s="771" t="s">
        <v>145</v>
      </c>
      <c r="E81" s="772" t="s">
        <v>147</v>
      </c>
      <c r="F81" s="773" t="s">
        <v>65</v>
      </c>
      <c r="G81" s="774" t="s">
        <v>151</v>
      </c>
      <c r="H81" s="773" t="s">
        <v>88</v>
      </c>
      <c r="I81" s="773" t="s">
        <v>154</v>
      </c>
    </row>
    <row r="82" spans="1:9" x14ac:dyDescent="0.25">
      <c r="A82" s="775"/>
      <c r="B82" s="776"/>
      <c r="C82" s="775"/>
      <c r="D82" s="777"/>
      <c r="E82" s="777"/>
      <c r="F82" s="777"/>
      <c r="G82" s="777"/>
      <c r="H82" s="778"/>
      <c r="I82" s="778"/>
    </row>
    <row r="83" spans="1:9" x14ac:dyDescent="0.25">
      <c r="A83" s="775"/>
      <c r="B83" s="776">
        <v>42746</v>
      </c>
      <c r="C83" s="775">
        <v>80</v>
      </c>
      <c r="D83" s="777">
        <v>34.020000000000003</v>
      </c>
      <c r="E83" s="777">
        <v>34.28</v>
      </c>
      <c r="F83" s="777">
        <f>C83*(E83-D83)</f>
        <v>20.799999999999841</v>
      </c>
      <c r="G83" s="777">
        <f>D83*C83</f>
        <v>2721.6000000000004</v>
      </c>
      <c r="H83" s="778">
        <f>(E83-D83)/D83</f>
        <v>7.6425631981186948E-3</v>
      </c>
      <c r="I83" s="778"/>
    </row>
    <row r="84" spans="1:9" x14ac:dyDescent="0.25">
      <c r="A84" s="775"/>
      <c r="B84" s="776">
        <v>42758</v>
      </c>
      <c r="C84" s="775">
        <v>120</v>
      </c>
      <c r="D84" s="777">
        <v>33.44</v>
      </c>
      <c r="E84" s="777">
        <v>32.71</v>
      </c>
      <c r="F84" s="777">
        <f>C84*(E84-D84)</f>
        <v>-87.599999999999625</v>
      </c>
      <c r="G84" s="777">
        <f>D84*C84</f>
        <v>4012.7999999999997</v>
      </c>
      <c r="H84" s="778">
        <f>(E84-D84)/D84</f>
        <v>-2.1830143540669766E-2</v>
      </c>
      <c r="I84" s="778"/>
    </row>
    <row r="85" spans="1:9" x14ac:dyDescent="0.25">
      <c r="A85" s="775" t="s">
        <v>372</v>
      </c>
      <c r="B85" s="776">
        <v>42760</v>
      </c>
      <c r="C85" s="775">
        <v>40</v>
      </c>
      <c r="D85" s="777">
        <v>32.961500000000001</v>
      </c>
      <c r="E85" s="777">
        <v>33.68</v>
      </c>
      <c r="F85" s="777">
        <f>C85*(E85-D85)</f>
        <v>28.739999999999952</v>
      </c>
      <c r="G85" s="777">
        <f>D85*C85</f>
        <v>1318.46</v>
      </c>
      <c r="H85" s="778">
        <f>(E85-D85)/D85</f>
        <v>2.1798158457594429E-2</v>
      </c>
      <c r="I85" s="778"/>
    </row>
    <row r="86" spans="1:9" x14ac:dyDescent="0.25">
      <c r="A86" s="775"/>
      <c r="B86" s="776">
        <v>42766</v>
      </c>
      <c r="C86" s="775">
        <v>0</v>
      </c>
      <c r="D86" s="777"/>
      <c r="E86" s="777"/>
      <c r="F86" s="777">
        <v>-46.49</v>
      </c>
      <c r="G86" s="777"/>
      <c r="H86" s="778"/>
      <c r="I86" s="778"/>
    </row>
    <row r="87" spans="1:9" x14ac:dyDescent="0.25">
      <c r="A87" s="775">
        <v>0</v>
      </c>
      <c r="B87" s="776">
        <v>42843</v>
      </c>
      <c r="C87" s="775">
        <v>80</v>
      </c>
      <c r="D87" s="777">
        <v>31.661100000000001</v>
      </c>
      <c r="E87" s="777">
        <v>30.99</v>
      </c>
      <c r="F87" s="777">
        <f t="shared" ref="F87:F106" si="3">C87*(E87-D87)</f>
        <v>-53.688000000000216</v>
      </c>
      <c r="G87" s="777">
        <f t="shared" ref="G87:G106" si="4">D87*C87</f>
        <v>2532.8879999999999</v>
      </c>
      <c r="H87" s="778">
        <f t="shared" ref="H87:H106" si="5">(E87-D87)/D87</f>
        <v>-2.1196357675507253E-2</v>
      </c>
      <c r="I87" s="779"/>
    </row>
    <row r="88" spans="1:9" x14ac:dyDescent="0.25">
      <c r="A88" s="775">
        <v>0</v>
      </c>
      <c r="B88" s="776">
        <v>42873</v>
      </c>
      <c r="C88" s="775">
        <v>160</v>
      </c>
      <c r="D88" s="777">
        <v>30.6706</v>
      </c>
      <c r="E88" s="777">
        <v>29.73</v>
      </c>
      <c r="F88" s="777">
        <f t="shared" si="3"/>
        <v>-150.49599999999998</v>
      </c>
      <c r="G88" s="777">
        <f t="shared" si="4"/>
        <v>4907.2960000000003</v>
      </c>
      <c r="H88" s="779">
        <f t="shared" si="5"/>
        <v>-3.0667805651014322E-2</v>
      </c>
      <c r="I88" s="779"/>
    </row>
    <row r="89" spans="1:9" x14ac:dyDescent="0.25">
      <c r="A89" s="775"/>
      <c r="B89" s="776">
        <v>42901</v>
      </c>
      <c r="C89" s="775">
        <v>80</v>
      </c>
      <c r="D89" s="777">
        <v>30.041799999999999</v>
      </c>
      <c r="E89" s="777">
        <v>30.43</v>
      </c>
      <c r="F89" s="777">
        <f t="shared" si="3"/>
        <v>31.056000000000097</v>
      </c>
      <c r="G89" s="777">
        <f t="shared" si="4"/>
        <v>2403.3440000000001</v>
      </c>
      <c r="H89" s="779">
        <f t="shared" si="5"/>
        <v>1.2921995353141331E-2</v>
      </c>
      <c r="I89" s="779"/>
    </row>
    <row r="90" spans="1:9" x14ac:dyDescent="0.25">
      <c r="A90" s="775">
        <v>80</v>
      </c>
      <c r="B90" s="776">
        <v>42917</v>
      </c>
      <c r="C90" s="775">
        <v>80</v>
      </c>
      <c r="D90" s="777">
        <v>29.463799999999999</v>
      </c>
      <c r="E90" s="777">
        <v>33.22</v>
      </c>
      <c r="F90" s="777">
        <f t="shared" si="3"/>
        <v>300.49599999999998</v>
      </c>
      <c r="G90" s="777">
        <f t="shared" si="4"/>
        <v>2357.1039999999998</v>
      </c>
      <c r="H90" s="779">
        <f t="shared" si="5"/>
        <v>0.12748525309023276</v>
      </c>
      <c r="I90" s="779"/>
    </row>
    <row r="91" spans="1:9" x14ac:dyDescent="0.25">
      <c r="A91" s="775">
        <v>80</v>
      </c>
      <c r="B91" s="776">
        <v>42957</v>
      </c>
      <c r="C91" s="775">
        <v>180</v>
      </c>
      <c r="D91" s="777">
        <v>22.695</v>
      </c>
      <c r="E91" s="777">
        <v>17.190000000000001</v>
      </c>
      <c r="F91" s="777">
        <f t="shared" si="3"/>
        <v>-990.89999999999986</v>
      </c>
      <c r="G91" s="777">
        <f t="shared" si="4"/>
        <v>4085.1</v>
      </c>
      <c r="H91" s="779">
        <f t="shared" si="5"/>
        <v>-0.24256444150693982</v>
      </c>
      <c r="I91" s="779"/>
    </row>
    <row r="92" spans="1:9" x14ac:dyDescent="0.25">
      <c r="A92" s="775">
        <v>80</v>
      </c>
      <c r="B92" s="776">
        <v>42983</v>
      </c>
      <c r="C92" s="775">
        <v>180</v>
      </c>
      <c r="D92" s="777">
        <v>22.695</v>
      </c>
      <c r="E92" s="777">
        <v>15.41</v>
      </c>
      <c r="F92" s="777">
        <f t="shared" si="3"/>
        <v>-1311.3</v>
      </c>
      <c r="G92" s="777">
        <f t="shared" si="4"/>
        <v>4085.1</v>
      </c>
      <c r="H92" s="779">
        <f t="shared" si="5"/>
        <v>-0.32099581405595945</v>
      </c>
      <c r="I92" s="779"/>
    </row>
    <row r="93" spans="1:9" x14ac:dyDescent="0.25">
      <c r="A93" s="775">
        <v>80</v>
      </c>
      <c r="B93" s="776">
        <v>42989</v>
      </c>
      <c r="C93" s="775">
        <v>80</v>
      </c>
      <c r="D93" s="777">
        <v>27.8643</v>
      </c>
      <c r="E93" s="777">
        <v>18.5</v>
      </c>
      <c r="F93" s="777">
        <f t="shared" si="3"/>
        <v>-749.14400000000001</v>
      </c>
      <c r="G93" s="777">
        <f t="shared" si="4"/>
        <v>2229.1440000000002</v>
      </c>
      <c r="H93" s="779">
        <f t="shared" si="5"/>
        <v>-0.33606801534580089</v>
      </c>
      <c r="I93" s="779"/>
    </row>
    <row r="94" spans="1:9" x14ac:dyDescent="0.25">
      <c r="A94" s="775">
        <v>80</v>
      </c>
      <c r="B94" s="776">
        <v>42996</v>
      </c>
      <c r="C94" s="775">
        <v>180</v>
      </c>
      <c r="D94" s="777">
        <v>22.1341</v>
      </c>
      <c r="E94" s="777">
        <v>16.989999999999998</v>
      </c>
      <c r="F94" s="777">
        <f t="shared" si="3"/>
        <v>-925.93800000000033</v>
      </c>
      <c r="G94" s="777">
        <f t="shared" si="4"/>
        <v>3984.1379999999999</v>
      </c>
      <c r="H94" s="779">
        <f t="shared" si="5"/>
        <v>-0.23240610641498871</v>
      </c>
      <c r="I94" s="779"/>
    </row>
    <row r="95" spans="1:9" x14ac:dyDescent="0.25">
      <c r="A95" s="775">
        <v>0</v>
      </c>
      <c r="B95" s="776">
        <v>43010</v>
      </c>
      <c r="C95" s="775">
        <v>100</v>
      </c>
      <c r="D95" s="777">
        <v>24.8977</v>
      </c>
      <c r="E95" s="777">
        <v>18.47</v>
      </c>
      <c r="F95" s="777">
        <f t="shared" si="3"/>
        <v>-642.77000000000021</v>
      </c>
      <c r="G95" s="777">
        <f t="shared" si="4"/>
        <v>2489.77</v>
      </c>
      <c r="H95" s="779">
        <f t="shared" si="5"/>
        <v>-0.25816440876064861</v>
      </c>
      <c r="I95" s="779"/>
    </row>
    <row r="96" spans="1:9" x14ac:dyDescent="0.25">
      <c r="A96" s="775">
        <v>0</v>
      </c>
      <c r="B96" s="776">
        <v>43011</v>
      </c>
      <c r="C96" s="775">
        <v>180</v>
      </c>
      <c r="D96" s="777">
        <v>21.809799999999999</v>
      </c>
      <c r="E96" s="777">
        <v>18.82</v>
      </c>
      <c r="F96" s="777">
        <f t="shared" si="3"/>
        <v>-538.16399999999976</v>
      </c>
      <c r="G96" s="777">
        <f t="shared" si="4"/>
        <v>3925.7639999999997</v>
      </c>
      <c r="H96" s="779">
        <f t="shared" si="5"/>
        <v>-0.13708516355033054</v>
      </c>
      <c r="I96" s="777">
        <v>21.5</v>
      </c>
    </row>
    <row r="97" spans="1:9" x14ac:dyDescent="0.25">
      <c r="A97" s="775">
        <v>0</v>
      </c>
      <c r="B97" s="776">
        <v>43012</v>
      </c>
      <c r="C97" s="775">
        <v>180</v>
      </c>
      <c r="D97" s="777">
        <v>21.81</v>
      </c>
      <c r="E97" s="777">
        <v>16.079999999999998</v>
      </c>
      <c r="F97" s="777">
        <f t="shared" si="3"/>
        <v>-1031.4000000000001</v>
      </c>
      <c r="G97" s="777">
        <f t="shared" si="4"/>
        <v>3925.7999999999997</v>
      </c>
      <c r="H97" s="779">
        <f t="shared" si="5"/>
        <v>-0.2627235213204952</v>
      </c>
      <c r="I97" s="779"/>
    </row>
    <row r="98" spans="1:9" x14ac:dyDescent="0.25">
      <c r="A98" s="775">
        <v>0</v>
      </c>
      <c r="B98" s="776">
        <v>43013</v>
      </c>
      <c r="C98" s="775">
        <v>280</v>
      </c>
      <c r="D98" s="777">
        <v>19.663499999999999</v>
      </c>
      <c r="E98" s="777">
        <v>15.68</v>
      </c>
      <c r="F98" s="777">
        <f t="shared" si="3"/>
        <v>-1115.3799999999999</v>
      </c>
      <c r="G98" s="777">
        <f t="shared" si="4"/>
        <v>5505.78</v>
      </c>
      <c r="H98" s="779">
        <f t="shared" si="5"/>
        <v>-0.2025834668294047</v>
      </c>
      <c r="I98" s="777">
        <v>19.5</v>
      </c>
    </row>
    <row r="99" spans="1:9" x14ac:dyDescent="0.25">
      <c r="A99" s="775">
        <v>100</v>
      </c>
      <c r="B99" s="776">
        <v>43031</v>
      </c>
      <c r="C99" s="775">
        <v>280</v>
      </c>
      <c r="D99" s="777">
        <v>19.663499999999999</v>
      </c>
      <c r="E99" s="777">
        <v>14.54</v>
      </c>
      <c r="F99" s="777">
        <f t="shared" si="3"/>
        <v>-1434.58</v>
      </c>
      <c r="G99" s="777">
        <f t="shared" si="4"/>
        <v>5505.78</v>
      </c>
      <c r="H99" s="779">
        <f t="shared" si="5"/>
        <v>-0.26055890355226691</v>
      </c>
      <c r="I99" s="777"/>
    </row>
    <row r="100" spans="1:9" x14ac:dyDescent="0.25">
      <c r="A100" s="775"/>
      <c r="B100" s="776">
        <v>43044</v>
      </c>
      <c r="C100" s="775">
        <v>480</v>
      </c>
      <c r="D100" s="777">
        <v>16.170000000000002</v>
      </c>
      <c r="E100" s="777">
        <v>11.4</v>
      </c>
      <c r="F100" s="777">
        <f t="shared" si="3"/>
        <v>-2289.6000000000008</v>
      </c>
      <c r="G100" s="777">
        <f t="shared" si="4"/>
        <v>7761.6</v>
      </c>
      <c r="H100" s="779">
        <f t="shared" si="5"/>
        <v>-0.29499072356215217</v>
      </c>
      <c r="I100" s="779"/>
    </row>
    <row r="101" spans="1:9" x14ac:dyDescent="0.25">
      <c r="A101" s="775">
        <v>80</v>
      </c>
      <c r="B101" s="776">
        <v>43045</v>
      </c>
      <c r="C101" s="775">
        <v>280</v>
      </c>
      <c r="D101" s="777">
        <v>19.092300000000002</v>
      </c>
      <c r="E101" s="777">
        <v>12.41</v>
      </c>
      <c r="F101" s="777">
        <f t="shared" si="3"/>
        <v>-1871.0440000000003</v>
      </c>
      <c r="G101" s="777">
        <f t="shared" si="4"/>
        <v>5345.8440000000001</v>
      </c>
      <c r="H101" s="779">
        <f t="shared" si="5"/>
        <v>-0.34999973811431839</v>
      </c>
      <c r="I101" s="780" t="s">
        <v>818</v>
      </c>
    </row>
    <row r="102" spans="1:9" x14ac:dyDescent="0.25">
      <c r="A102" s="775">
        <v>0</v>
      </c>
      <c r="B102" s="776">
        <v>43070</v>
      </c>
      <c r="C102" s="775">
        <v>200</v>
      </c>
      <c r="D102" s="777">
        <v>20.621300000000002</v>
      </c>
      <c r="E102" s="777">
        <v>15.26</v>
      </c>
      <c r="F102" s="777">
        <f t="shared" si="3"/>
        <v>-1072.2600000000004</v>
      </c>
      <c r="G102" s="777">
        <f t="shared" si="4"/>
        <v>4124.26</v>
      </c>
      <c r="H102" s="779">
        <f t="shared" si="5"/>
        <v>-0.25998845853559188</v>
      </c>
      <c r="I102" s="779"/>
    </row>
    <row r="103" spans="1:9" x14ac:dyDescent="0.25">
      <c r="A103" s="775">
        <v>200</v>
      </c>
      <c r="B103" s="776">
        <v>43077</v>
      </c>
      <c r="C103" s="775">
        <v>200</v>
      </c>
      <c r="D103" s="777">
        <v>20.62</v>
      </c>
      <c r="E103" s="777">
        <v>16.059999999999999</v>
      </c>
      <c r="F103" s="777">
        <f t="shared" si="3"/>
        <v>-912.00000000000045</v>
      </c>
      <c r="G103" s="777">
        <f t="shared" si="4"/>
        <v>4124</v>
      </c>
      <c r="H103" s="779">
        <f t="shared" si="5"/>
        <v>-0.22114451988360825</v>
      </c>
      <c r="I103" s="779"/>
    </row>
    <row r="104" spans="1:9" x14ac:dyDescent="0.25">
      <c r="A104" s="775">
        <v>200</v>
      </c>
      <c r="B104" s="776">
        <v>43082</v>
      </c>
      <c r="C104" s="775">
        <v>200</v>
      </c>
      <c r="D104" s="777">
        <v>20.52</v>
      </c>
      <c r="E104" s="777">
        <v>15.7</v>
      </c>
      <c r="F104" s="777">
        <f t="shared" si="3"/>
        <v>-964</v>
      </c>
      <c r="G104" s="777">
        <f t="shared" si="4"/>
        <v>4104</v>
      </c>
      <c r="H104" s="779">
        <f t="shared" si="5"/>
        <v>-0.23489278752436649</v>
      </c>
      <c r="I104" s="779" t="s">
        <v>185</v>
      </c>
    </row>
    <row r="105" spans="1:9" x14ac:dyDescent="0.25">
      <c r="A105" s="775">
        <v>200</v>
      </c>
      <c r="B105" s="776">
        <v>43083</v>
      </c>
      <c r="C105" s="775">
        <v>200</v>
      </c>
      <c r="D105" s="777">
        <v>20.520199999999999</v>
      </c>
      <c r="E105" s="777">
        <v>19.22</v>
      </c>
      <c r="F105" s="777">
        <f t="shared" si="3"/>
        <v>-260.04000000000008</v>
      </c>
      <c r="G105" s="777">
        <f t="shared" si="4"/>
        <v>4104.04</v>
      </c>
      <c r="H105" s="779">
        <f t="shared" si="5"/>
        <v>-6.3361955536495762E-2</v>
      </c>
      <c r="I105" s="779"/>
    </row>
    <row r="106" spans="1:9" x14ac:dyDescent="0.25">
      <c r="A106" s="775">
        <v>100</v>
      </c>
      <c r="B106" s="776">
        <v>43111</v>
      </c>
      <c r="C106" s="775">
        <v>100</v>
      </c>
      <c r="D106" s="777">
        <v>19.73</v>
      </c>
      <c r="E106" s="777">
        <v>21.74</v>
      </c>
      <c r="F106" s="777">
        <f t="shared" si="3"/>
        <v>200.9999999999998</v>
      </c>
      <c r="G106" s="777">
        <f t="shared" si="4"/>
        <v>1973</v>
      </c>
      <c r="H106" s="779">
        <f t="shared" si="5"/>
        <v>0.10187531677648241</v>
      </c>
      <c r="I106" s="779"/>
    </row>
    <row r="107" spans="1:9" x14ac:dyDescent="0.25">
      <c r="A107" s="775"/>
      <c r="B107" s="776">
        <v>43112</v>
      </c>
      <c r="C107" s="775">
        <v>0</v>
      </c>
      <c r="D107" s="777"/>
      <c r="E107" s="777">
        <v>22.07</v>
      </c>
      <c r="F107" s="777">
        <v>284.97000000000003</v>
      </c>
      <c r="G107" s="777"/>
      <c r="H107" s="779"/>
      <c r="I107" s="779"/>
    </row>
    <row r="108" spans="1:9" x14ac:dyDescent="0.25">
      <c r="A108" s="775"/>
      <c r="B108" s="776"/>
      <c r="C108" s="775"/>
      <c r="D108" s="777"/>
      <c r="E108" s="777"/>
      <c r="F108" s="777"/>
      <c r="G108" s="777"/>
      <c r="H108" s="779"/>
      <c r="I108" s="779"/>
    </row>
    <row r="109" spans="1:9" x14ac:dyDescent="0.25">
      <c r="A109" s="775"/>
      <c r="B109" s="776"/>
      <c r="C109" s="775"/>
      <c r="D109" s="777"/>
      <c r="E109" s="777"/>
      <c r="F109" s="777"/>
      <c r="G109" s="777"/>
      <c r="H109" s="779"/>
      <c r="I109" s="779"/>
    </row>
    <row r="110" spans="1:9" x14ac:dyDescent="0.25">
      <c r="A110" s="775"/>
      <c r="B110" s="776"/>
      <c r="C110" s="775"/>
      <c r="D110" s="777"/>
      <c r="E110" s="777"/>
      <c r="F110" s="777"/>
      <c r="G110" s="777"/>
      <c r="H110" s="779"/>
      <c r="I110" s="779"/>
    </row>
    <row r="111" spans="1:9" x14ac:dyDescent="0.25">
      <c r="A111" s="775"/>
      <c r="B111" s="776"/>
      <c r="C111" s="775"/>
      <c r="D111" s="777"/>
      <c r="E111" s="777"/>
      <c r="F111" s="777"/>
      <c r="G111" s="777"/>
      <c r="H111" s="779"/>
      <c r="I111" s="779"/>
    </row>
    <row r="112" spans="1:9" x14ac:dyDescent="0.25">
      <c r="A112" s="775"/>
      <c r="B112" s="776"/>
      <c r="C112" s="775"/>
      <c r="D112" s="777"/>
      <c r="E112" s="777"/>
      <c r="F112" s="777"/>
      <c r="G112" s="777"/>
      <c r="H112" s="779"/>
      <c r="I112" s="779"/>
    </row>
    <row r="113" spans="1:9" x14ac:dyDescent="0.25">
      <c r="A113" s="775"/>
      <c r="B113" s="776"/>
      <c r="C113" s="775"/>
      <c r="D113" s="777"/>
      <c r="E113" s="777"/>
      <c r="F113" s="777"/>
      <c r="G113" s="777"/>
      <c r="H113" s="779"/>
      <c r="I113" s="779"/>
    </row>
    <row r="114" spans="1:9" x14ac:dyDescent="0.25">
      <c r="A114" s="775"/>
      <c r="B114" s="776"/>
      <c r="C114" s="775"/>
      <c r="D114" s="777"/>
      <c r="E114" s="777"/>
      <c r="F114" s="777"/>
      <c r="G114" s="777"/>
      <c r="H114" s="779"/>
      <c r="I114" s="779"/>
    </row>
    <row r="115" spans="1:9" x14ac:dyDescent="0.25">
      <c r="A115" s="775"/>
      <c r="B115" s="776"/>
      <c r="C115" s="775"/>
      <c r="D115" s="777"/>
      <c r="E115" s="777"/>
      <c r="F115" s="777"/>
      <c r="G115" s="777"/>
      <c r="H115" s="779"/>
      <c r="I115" s="779"/>
    </row>
    <row r="116" spans="1:9" x14ac:dyDescent="0.25">
      <c r="A116" s="775"/>
      <c r="B116" s="776"/>
      <c r="C116" s="775"/>
      <c r="D116" s="777"/>
      <c r="E116" s="777"/>
      <c r="F116" s="777"/>
      <c r="G116" s="777"/>
      <c r="H116" s="779"/>
      <c r="I116" s="779"/>
    </row>
    <row r="117" spans="1:9" x14ac:dyDescent="0.25">
      <c r="A117" s="775"/>
      <c r="B117" s="776"/>
      <c r="C117" s="775"/>
      <c r="D117" s="777"/>
      <c r="E117" s="777"/>
      <c r="F117" s="777"/>
      <c r="G117" s="777"/>
      <c r="H117" s="779"/>
      <c r="I117" s="779"/>
    </row>
    <row r="118" spans="1:9" x14ac:dyDescent="0.25">
      <c r="A118" s="775"/>
      <c r="B118" s="776"/>
      <c r="C118" s="775"/>
      <c r="D118" s="777"/>
      <c r="E118" s="777"/>
      <c r="F118" s="777"/>
      <c r="G118" s="777"/>
      <c r="H118" s="779"/>
      <c r="I118" s="779"/>
    </row>
  </sheetData>
  <conditionalFormatting sqref="O43:O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:F30">
    <cfRule type="expression" dxfId="255" priority="97">
      <formula>F26&gt;0</formula>
    </cfRule>
    <cfRule type="expression" dxfId="254" priority="98">
      <formula>F26&lt;0</formula>
    </cfRule>
  </conditionalFormatting>
  <conditionalFormatting sqref="H26:H28">
    <cfRule type="expression" dxfId="253" priority="95">
      <formula>H26&gt;0</formula>
    </cfRule>
    <cfRule type="expression" dxfId="252" priority="96">
      <formula>H26&lt;0</formula>
    </cfRule>
  </conditionalFormatting>
  <conditionalFormatting sqref="H29:H30">
    <cfRule type="expression" dxfId="251" priority="91">
      <formula>H29&gt;0</formula>
    </cfRule>
    <cfRule type="expression" dxfId="250" priority="92">
      <formula>H29&lt;0</formula>
    </cfRule>
  </conditionalFormatting>
  <conditionalFormatting sqref="H31:H55">
    <cfRule type="expression" dxfId="249" priority="89">
      <formula>H31&gt;0</formula>
    </cfRule>
    <cfRule type="expression" dxfId="248" priority="90">
      <formula>H31&lt;0</formula>
    </cfRule>
  </conditionalFormatting>
  <conditionalFormatting sqref="F24">
    <cfRule type="expression" dxfId="247" priority="87">
      <formula>F24&gt;0</formula>
    </cfRule>
    <cfRule type="expression" dxfId="246" priority="88">
      <formula>F24&lt;0</formula>
    </cfRule>
  </conditionalFormatting>
  <conditionalFormatting sqref="H24">
    <cfRule type="expression" dxfId="245" priority="85">
      <formula>H24&gt;0</formula>
    </cfRule>
    <cfRule type="expression" dxfId="244" priority="86">
      <formula>H24&lt;0</formula>
    </cfRule>
  </conditionalFormatting>
  <conditionalFormatting sqref="F31">
    <cfRule type="expression" dxfId="243" priority="83">
      <formula>F31&gt;0</formula>
    </cfRule>
    <cfRule type="expression" dxfId="242" priority="84">
      <formula>F31&lt;0</formula>
    </cfRule>
  </conditionalFormatting>
  <conditionalFormatting sqref="I25:I27">
    <cfRule type="expression" dxfId="241" priority="81">
      <formula>I25&gt;0</formula>
    </cfRule>
    <cfRule type="expression" dxfId="240" priority="82">
      <formula>I25&lt;0</formula>
    </cfRule>
  </conditionalFormatting>
  <conditionalFormatting sqref="I28">
    <cfRule type="expression" dxfId="239" priority="79">
      <formula>I28&gt;0</formula>
    </cfRule>
    <cfRule type="expression" dxfId="238" priority="80">
      <formula>I28&lt;0</formula>
    </cfRule>
  </conditionalFormatting>
  <conditionalFormatting sqref="I29">
    <cfRule type="expression" dxfId="237" priority="77">
      <formula>I29&gt;0</formula>
    </cfRule>
    <cfRule type="expression" dxfId="236" priority="78">
      <formula>I29&lt;0</formula>
    </cfRule>
  </conditionalFormatting>
  <conditionalFormatting sqref="I30:I33 I35 I38 I40:I55">
    <cfRule type="expression" dxfId="235" priority="75">
      <formula>I30&gt;0</formula>
    </cfRule>
    <cfRule type="expression" dxfId="234" priority="76">
      <formula>I30&lt;0</formula>
    </cfRule>
  </conditionalFormatting>
  <conditionalFormatting sqref="I21:I24">
    <cfRule type="expression" dxfId="233" priority="73">
      <formula>I21&gt;0</formula>
    </cfRule>
    <cfRule type="expression" dxfId="232" priority="74">
      <formula>I21&lt;0</formula>
    </cfRule>
  </conditionalFormatting>
  <conditionalFormatting sqref="F32:F55">
    <cfRule type="expression" dxfId="231" priority="71">
      <formula>F32&gt;0</formula>
    </cfRule>
    <cfRule type="expression" dxfId="230" priority="72">
      <formula>F32&lt;0</formula>
    </cfRule>
  </conditionalFormatting>
  <conditionalFormatting sqref="Q8">
    <cfRule type="expression" dxfId="229" priority="67">
      <formula>Q8&gt;0</formula>
    </cfRule>
    <cfRule type="expression" dxfId="228" priority="68">
      <formula>Q8&lt;0</formula>
    </cfRule>
  </conditionalFormatting>
  <conditionalFormatting sqref="Q7">
    <cfRule type="expression" dxfId="227" priority="69">
      <formula>Q7&gt;0</formula>
    </cfRule>
    <cfRule type="expression" dxfId="226" priority="70">
      <formula>Q7&lt;0</formula>
    </cfRule>
  </conditionalFormatting>
  <conditionalFormatting sqref="F82">
    <cfRule type="expression" dxfId="225" priority="55">
      <formula>F82&gt;0</formula>
    </cfRule>
    <cfRule type="expression" dxfId="224" priority="56">
      <formula>F82&lt;0</formula>
    </cfRule>
  </conditionalFormatting>
  <conditionalFormatting sqref="H82">
    <cfRule type="expression" dxfId="223" priority="53">
      <formula>H82&gt;0</formula>
    </cfRule>
    <cfRule type="expression" dxfId="222" priority="54">
      <formula>H82&lt;0</formula>
    </cfRule>
  </conditionalFormatting>
  <conditionalFormatting sqref="I82">
    <cfRule type="expression" dxfId="221" priority="41">
      <formula>I82&gt;0</formula>
    </cfRule>
    <cfRule type="expression" dxfId="220" priority="42">
      <formula>I82&lt;0</formula>
    </cfRule>
  </conditionalFormatting>
  <conditionalFormatting sqref="F25">
    <cfRule type="expression" dxfId="219" priority="37">
      <formula>F25&gt;0</formula>
    </cfRule>
    <cfRule type="expression" dxfId="218" priority="38">
      <formula>F25&lt;0</formula>
    </cfRule>
  </conditionalFormatting>
  <conditionalFormatting sqref="H25">
    <cfRule type="expression" dxfId="217" priority="35">
      <formula>H25&gt;0</formula>
    </cfRule>
    <cfRule type="expression" dxfId="216" priority="36">
      <formula>H25&lt;0</formula>
    </cfRule>
  </conditionalFormatting>
  <conditionalFormatting sqref="F88:F92">
    <cfRule type="expression" dxfId="215" priority="33">
      <formula>F88&gt;0</formula>
    </cfRule>
    <cfRule type="expression" dxfId="214" priority="34">
      <formula>F88&lt;0</formula>
    </cfRule>
  </conditionalFormatting>
  <conditionalFormatting sqref="H88:H90">
    <cfRule type="expression" dxfId="213" priority="31">
      <formula>H88&gt;0</formula>
    </cfRule>
    <cfRule type="expression" dxfId="212" priority="32">
      <formula>H88&lt;0</formula>
    </cfRule>
  </conditionalFormatting>
  <conditionalFormatting sqref="H91:H92">
    <cfRule type="expression" dxfId="211" priority="29">
      <formula>H91&gt;0</formula>
    </cfRule>
    <cfRule type="expression" dxfId="210" priority="30">
      <formula>H91&lt;0</formula>
    </cfRule>
  </conditionalFormatting>
  <conditionalFormatting sqref="H93:H118">
    <cfRule type="expression" dxfId="209" priority="27">
      <formula>H93&gt;0</formula>
    </cfRule>
    <cfRule type="expression" dxfId="208" priority="28">
      <formula>H93&lt;0</formula>
    </cfRule>
  </conditionalFormatting>
  <conditionalFormatting sqref="F83:F86">
    <cfRule type="expression" dxfId="207" priority="25">
      <formula>F83&gt;0</formula>
    </cfRule>
    <cfRule type="expression" dxfId="206" priority="26">
      <formula>F83&lt;0</formula>
    </cfRule>
  </conditionalFormatting>
  <conditionalFormatting sqref="H83:H86">
    <cfRule type="expression" dxfId="205" priority="23">
      <formula>H83&gt;0</formula>
    </cfRule>
    <cfRule type="expression" dxfId="204" priority="24">
      <formula>H83&lt;0</formula>
    </cfRule>
  </conditionalFormatting>
  <conditionalFormatting sqref="F93">
    <cfRule type="expression" dxfId="203" priority="21">
      <formula>F93&gt;0</formula>
    </cfRule>
    <cfRule type="expression" dxfId="202" priority="22">
      <formula>F93&lt;0</formula>
    </cfRule>
  </conditionalFormatting>
  <conditionalFormatting sqref="I87:I89">
    <cfRule type="expression" dxfId="201" priority="19">
      <formula>I87&gt;0</formula>
    </cfRule>
    <cfRule type="expression" dxfId="200" priority="20">
      <formula>I87&lt;0</formula>
    </cfRule>
  </conditionalFormatting>
  <conditionalFormatting sqref="I90">
    <cfRule type="expression" dxfId="199" priority="17">
      <formula>I90&gt;0</formula>
    </cfRule>
    <cfRule type="expression" dxfId="198" priority="18">
      <formula>I90&lt;0</formula>
    </cfRule>
  </conditionalFormatting>
  <conditionalFormatting sqref="I91">
    <cfRule type="expression" dxfId="197" priority="15">
      <formula>I91&gt;0</formula>
    </cfRule>
    <cfRule type="expression" dxfId="196" priority="16">
      <formula>I91&lt;0</formula>
    </cfRule>
  </conditionalFormatting>
  <conditionalFormatting sqref="I92:I95 I97 I100 I102:I118">
    <cfRule type="expression" dxfId="195" priority="13">
      <formula>I92&gt;0</formula>
    </cfRule>
    <cfRule type="expression" dxfId="194" priority="14">
      <formula>I92&lt;0</formula>
    </cfRule>
  </conditionalFormatting>
  <conditionalFormatting sqref="I83:I86">
    <cfRule type="expression" dxfId="193" priority="11">
      <formula>I83&gt;0</formula>
    </cfRule>
    <cfRule type="expression" dxfId="192" priority="12">
      <formula>I83&lt;0</formula>
    </cfRule>
  </conditionalFormatting>
  <conditionalFormatting sqref="F94:F118">
    <cfRule type="expression" dxfId="191" priority="9">
      <formula>F94&gt;0</formula>
    </cfRule>
    <cfRule type="expression" dxfId="190" priority="10">
      <formula>F94&lt;0</formula>
    </cfRule>
  </conditionalFormatting>
  <conditionalFormatting sqref="F87">
    <cfRule type="expression" dxfId="189" priority="7">
      <formula>F87&gt;0</formula>
    </cfRule>
    <cfRule type="expression" dxfId="188" priority="8">
      <formula>F87&lt;0</formula>
    </cfRule>
  </conditionalFormatting>
  <conditionalFormatting sqref="H87">
    <cfRule type="expression" dxfId="187" priority="5">
      <formula>H87&gt;0</formula>
    </cfRule>
    <cfRule type="expression" dxfId="186" priority="6">
      <formula>H87&lt;0</formula>
    </cfRule>
  </conditionalFormatting>
  <conditionalFormatting sqref="F21:F23">
    <cfRule type="expression" dxfId="185" priority="3">
      <formula>F21&gt;0</formula>
    </cfRule>
    <cfRule type="expression" dxfId="184" priority="4">
      <formula>F21&lt;0</formula>
    </cfRule>
  </conditionalFormatting>
  <conditionalFormatting sqref="H21:H23">
    <cfRule type="expression" dxfId="183" priority="1">
      <formula>H21&gt;0</formula>
    </cfRule>
    <cfRule type="expression" dxfId="182" priority="2">
      <formula>H21&lt;0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80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4"/>
      <c r="M3" s="4"/>
      <c r="O3" s="11" t="s">
        <v>58</v>
      </c>
      <c r="Q3" s="225">
        <f>IF(Q2=0, Q4, (F18-K18-M18)/Q2)</f>
        <v>103.09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4"/>
      <c r="M4" s="4"/>
      <c r="O4" s="11" t="s">
        <v>66</v>
      </c>
      <c r="Q4" s="54">
        <v>103.09</v>
      </c>
      <c r="R4" s="487">
        <v>1.72E-2</v>
      </c>
      <c r="T4" s="159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80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80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80"/>
      <c r="I9" s="3"/>
      <c r="J9" s="3"/>
      <c r="K9" s="3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209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7" t="s">
        <v>194</v>
      </c>
      <c r="B19" s="348"/>
      <c r="C19" s="349">
        <f>SumByColor($A$19,C2:C17)</f>
        <v>0</v>
      </c>
      <c r="D19" s="349"/>
      <c r="E19" s="349"/>
      <c r="F19" s="350">
        <f>SumByColor($A$19,F2:F17)</f>
        <v>0</v>
      </c>
      <c r="G19" s="349"/>
      <c r="H19" s="349">
        <f>SumByColor($A$19,H2:H17)</f>
        <v>0</v>
      </c>
      <c r="I19" s="349"/>
      <c r="J19" s="349"/>
      <c r="K19" s="350">
        <f>SumByColor($A$19,K2:K17)</f>
        <v>0</v>
      </c>
      <c r="L19" s="349"/>
      <c r="M19" s="35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6" t="s">
        <v>113</v>
      </c>
      <c r="C24" s="186" t="s">
        <v>146</v>
      </c>
      <c r="D24" s="187" t="s">
        <v>145</v>
      </c>
      <c r="E24" s="189" t="s">
        <v>147</v>
      </c>
      <c r="F24" s="189" t="s">
        <v>65</v>
      </c>
      <c r="G24" s="224" t="s">
        <v>151</v>
      </c>
      <c r="H24" s="224" t="s">
        <v>88</v>
      </c>
      <c r="I24" s="224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8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6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8">
        <v>42374</v>
      </c>
      <c r="C26" s="253">
        <v>25</v>
      </c>
      <c r="D26" s="231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6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8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6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8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6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8">
        <v>42416</v>
      </c>
      <c r="C29" s="253">
        <v>25</v>
      </c>
      <c r="D29" s="231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6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8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6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8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6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8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6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8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6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8">
        <v>42482</v>
      </c>
      <c r="C34" s="232">
        <v>15</v>
      </c>
      <c r="D34" s="233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6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8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6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8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6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8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6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8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6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8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6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8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6">
        <f t="shared" si="7"/>
        <v>6.55933343459109E-2</v>
      </c>
      <c r="I40" s="39"/>
      <c r="O40" s="804" t="s">
        <v>78</v>
      </c>
      <c r="P40" s="80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8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6">
        <f t="shared" si="7"/>
        <v>6.0060320697810518E-2</v>
      </c>
      <c r="I41" s="39"/>
      <c r="O41" s="81">
        <v>1.1000000000000001</v>
      </c>
      <c r="P41" s="81">
        <f>O41*$Q$4</f>
        <v>113.39900000000002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8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6">
        <f t="shared" si="7"/>
        <v>5.6588625859786856E-2</v>
      </c>
      <c r="I42" s="39"/>
      <c r="O42" s="81">
        <v>1.0900000000000001</v>
      </c>
      <c r="P42" s="81">
        <f t="shared" ref="P42:P61" si="8">O42*$Q$4</f>
        <v>112.36810000000001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8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6">
        <f t="shared" ref="H43:H65" si="11">(E43-D43)/D43</f>
        <v>4.8994293401609899E-2</v>
      </c>
      <c r="I43" s="39"/>
      <c r="O43" s="81">
        <v>1.08</v>
      </c>
      <c r="P43" s="81">
        <f t="shared" si="8"/>
        <v>111.33720000000001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8">
        <v>42579</v>
      </c>
      <c r="C44" s="232">
        <v>15</v>
      </c>
      <c r="D44" s="233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6">
        <f t="shared" si="11"/>
        <v>4.8609288900551016E-2</v>
      </c>
      <c r="I44" s="39" t="s">
        <v>185</v>
      </c>
      <c r="O44" s="81">
        <v>1.07</v>
      </c>
      <c r="P44" s="81">
        <f t="shared" si="8"/>
        <v>110.30630000000001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8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6">
        <f t="shared" si="11"/>
        <v>2.1336882325162062E-2</v>
      </c>
      <c r="I45" s="39"/>
      <c r="O45" s="81">
        <v>1.06</v>
      </c>
      <c r="P45" s="81">
        <f t="shared" si="8"/>
        <v>109.2754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8">
        <v>42593</v>
      </c>
      <c r="C46" s="232">
        <v>15</v>
      </c>
      <c r="D46" s="233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6">
        <f t="shared" si="11"/>
        <v>0.10618768792530471</v>
      </c>
      <c r="I46" s="39"/>
      <c r="O46" s="81">
        <v>1.05</v>
      </c>
      <c r="P46" s="81">
        <f t="shared" si="8"/>
        <v>108.2445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8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6">
        <f t="shared" si="11"/>
        <v>4.7939735370933899E-2</v>
      </c>
      <c r="I47" s="39"/>
      <c r="O47" s="81">
        <v>1.04</v>
      </c>
      <c r="P47" s="81">
        <f t="shared" si="8"/>
        <v>107.21360000000001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8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6">
        <f t="shared" si="11"/>
        <v>4.3083166051501268E-2</v>
      </c>
      <c r="I48" s="39"/>
      <c r="O48" s="81">
        <v>1.03</v>
      </c>
      <c r="P48" s="81">
        <f t="shared" si="8"/>
        <v>106.18270000000001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8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6">
        <f t="shared" si="11"/>
        <v>3.4665112564484485E-2</v>
      </c>
      <c r="I49" s="39"/>
      <c r="O49" s="81">
        <v>1.02</v>
      </c>
      <c r="P49" s="81">
        <f t="shared" si="8"/>
        <v>105.15180000000001</v>
      </c>
      <c r="Q49" s="2"/>
      <c r="T49" s="91" t="s">
        <v>103</v>
      </c>
      <c r="U49" s="86" t="s">
        <v>532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8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6">
        <f t="shared" si="11"/>
        <v>3.1211552159554446E-2</v>
      </c>
      <c r="I50" s="39"/>
      <c r="O50" s="81">
        <v>1.01</v>
      </c>
      <c r="P50" s="81">
        <f t="shared" si="8"/>
        <v>104.12090000000001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8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6">
        <f t="shared" si="11"/>
        <v>1.4309602316222615E-2</v>
      </c>
      <c r="I51" s="39"/>
      <c r="O51" s="81">
        <v>1</v>
      </c>
      <c r="P51" s="81">
        <f t="shared" si="8"/>
        <v>103.09</v>
      </c>
      <c r="Q51" s="2"/>
      <c r="T51" s="91" t="s">
        <v>104</v>
      </c>
      <c r="U51" s="86" t="s">
        <v>684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8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6">
        <f t="shared" si="11"/>
        <v>9.4983941256217615E-3</v>
      </c>
      <c r="I52" s="39"/>
      <c r="O52" s="81">
        <v>0.99</v>
      </c>
      <c r="P52" s="81">
        <f t="shared" si="8"/>
        <v>102.0591</v>
      </c>
      <c r="Q52" s="2"/>
      <c r="T52" s="91" t="s">
        <v>105</v>
      </c>
      <c r="U52" s="86" t="s">
        <v>685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8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6">
        <f t="shared" si="11"/>
        <v>2.8696183963494663E-3</v>
      </c>
      <c r="I53" s="39"/>
      <c r="O53" s="81">
        <v>0.98</v>
      </c>
      <c r="P53" s="81">
        <f t="shared" si="8"/>
        <v>101.0282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8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6">
        <f t="shared" si="11"/>
        <v>1.9073767582292653E-3</v>
      </c>
      <c r="I54" s="39"/>
      <c r="O54" s="81">
        <v>0.97</v>
      </c>
      <c r="P54" s="81">
        <f t="shared" si="8"/>
        <v>99.997299999999996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8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6">
        <f t="shared" si="11"/>
        <v>5.9701747858478416E-3</v>
      </c>
      <c r="I55" s="39"/>
      <c r="O55" s="81">
        <v>0.96</v>
      </c>
      <c r="P55" s="81">
        <f t="shared" si="8"/>
        <v>98.966399999999993</v>
      </c>
      <c r="T55" s="91" t="s">
        <v>107</v>
      </c>
      <c r="U55" s="86" t="s">
        <v>686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8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6">
        <f t="shared" si="11"/>
        <v>-9.5444676167551392E-3</v>
      </c>
      <c r="I56" s="39"/>
      <c r="O56" s="81">
        <v>0.95</v>
      </c>
      <c r="P56" s="81">
        <f t="shared" si="8"/>
        <v>97.935500000000005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8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6">
        <f t="shared" si="11"/>
        <v>-1.1259170983789502E-2</v>
      </c>
      <c r="I57" s="39"/>
      <c r="O57" s="81">
        <v>0.94</v>
      </c>
      <c r="P57" s="81">
        <f t="shared" si="8"/>
        <v>96.904600000000002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8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6">
        <f t="shared" si="11"/>
        <v>1.0652594667701508E-3</v>
      </c>
      <c r="I58" s="39"/>
      <c r="O58" s="81">
        <v>0.93</v>
      </c>
      <c r="P58" s="81">
        <f t="shared" si="8"/>
        <v>95.873700000000014</v>
      </c>
      <c r="T58" s="91" t="s">
        <v>108</v>
      </c>
      <c r="U58" s="86" t="s">
        <v>555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8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6">
        <f t="shared" si="11"/>
        <v>-1.4474239796979123E-2</v>
      </c>
      <c r="I59" s="39"/>
      <c r="O59" s="81">
        <v>0.92</v>
      </c>
      <c r="P59" s="81">
        <f t="shared" si="8"/>
        <v>94.842800000000011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8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6">
        <f t="shared" si="11"/>
        <v>-1.7046294847530667E-2</v>
      </c>
      <c r="I60" s="39"/>
      <c r="O60" s="81">
        <v>0.91</v>
      </c>
      <c r="P60" s="81">
        <f t="shared" si="8"/>
        <v>93.811900000000009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8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6">
        <f t="shared" si="11"/>
        <v>-1.1902184746427426E-2</v>
      </c>
      <c r="I61" s="39"/>
      <c r="O61" s="81">
        <v>0.9</v>
      </c>
      <c r="P61" s="81">
        <f t="shared" si="8"/>
        <v>92.781000000000006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8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6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8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6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8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6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8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6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8">
        <v>42701</v>
      </c>
      <c r="C66" s="10">
        <v>0</v>
      </c>
      <c r="D66" s="39"/>
      <c r="E66" s="39"/>
      <c r="F66" s="39">
        <v>257.31</v>
      </c>
      <c r="G66" s="39"/>
      <c r="H66" s="226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8"/>
      <c r="C67" s="10"/>
      <c r="D67" s="39"/>
      <c r="E67" s="39"/>
      <c r="F67" s="39"/>
      <c r="G67" s="39"/>
      <c r="H67" s="226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8"/>
      <c r="C68" s="10"/>
      <c r="D68" s="39"/>
      <c r="E68" s="39"/>
      <c r="F68" s="39"/>
      <c r="G68" s="39"/>
      <c r="H68" s="226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8"/>
      <c r="C69" s="10"/>
      <c r="D69" s="39"/>
      <c r="E69" s="39"/>
      <c r="F69" s="39"/>
      <c r="G69" s="39"/>
      <c r="H69" s="226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8"/>
      <c r="C70" s="10"/>
      <c r="D70" s="39"/>
      <c r="E70" s="39"/>
      <c r="F70" s="39"/>
      <c r="G70" s="39"/>
      <c r="H70" s="226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38" t="s">
        <v>1</v>
      </c>
      <c r="B82" s="538" t="s">
        <v>2</v>
      </c>
      <c r="C82" s="538" t="s">
        <v>4</v>
      </c>
      <c r="D82" s="539" t="s">
        <v>5</v>
      </c>
      <c r="E82" s="539" t="s">
        <v>94</v>
      </c>
      <c r="F82" s="539" t="s">
        <v>60</v>
      </c>
      <c r="G82" s="538" t="s">
        <v>3</v>
      </c>
      <c r="H82" s="538" t="s">
        <v>6</v>
      </c>
      <c r="I82" s="539" t="s">
        <v>7</v>
      </c>
      <c r="J82" s="539" t="s">
        <v>95</v>
      </c>
      <c r="K82" s="539" t="s">
        <v>61</v>
      </c>
      <c r="L82" s="538" t="s">
        <v>37</v>
      </c>
      <c r="M82" s="538" t="s">
        <v>38</v>
      </c>
    </row>
    <row r="83" spans="1:13" x14ac:dyDescent="0.25">
      <c r="A83" s="540" t="s">
        <v>63</v>
      </c>
      <c r="B83" s="537">
        <v>42226</v>
      </c>
      <c r="C83" s="541">
        <v>10</v>
      </c>
      <c r="D83" s="542">
        <v>113.72</v>
      </c>
      <c r="E83" s="542">
        <v>0</v>
      </c>
      <c r="F83" s="542">
        <f t="shared" ref="F83:F92" si="12">C83*D83</f>
        <v>1137.2</v>
      </c>
      <c r="G83" s="537">
        <v>42304</v>
      </c>
      <c r="H83" s="543">
        <v>30</v>
      </c>
      <c r="I83" s="542">
        <v>111.35</v>
      </c>
      <c r="J83" s="542">
        <v>0.06</v>
      </c>
      <c r="K83" s="542">
        <f t="shared" ref="K83:K88" si="13">I83*H83-J83</f>
        <v>3340.44</v>
      </c>
      <c r="L83" s="537">
        <v>42580</v>
      </c>
      <c r="M83" s="542">
        <v>10.65</v>
      </c>
    </row>
    <row r="84" spans="1:13" x14ac:dyDescent="0.25">
      <c r="A84" s="544" t="s">
        <v>71</v>
      </c>
      <c r="B84" s="537">
        <v>42226</v>
      </c>
      <c r="C84" s="541">
        <v>5</v>
      </c>
      <c r="D84" s="542">
        <v>112.2</v>
      </c>
      <c r="E84" s="542">
        <v>0</v>
      </c>
      <c r="F84" s="542">
        <f t="shared" si="12"/>
        <v>561</v>
      </c>
      <c r="G84" s="537">
        <v>42416</v>
      </c>
      <c r="H84" s="543">
        <v>15</v>
      </c>
      <c r="I84" s="542">
        <v>92.85</v>
      </c>
      <c r="J84" s="542">
        <v>0.03</v>
      </c>
      <c r="K84" s="542">
        <f t="shared" si="13"/>
        <v>1392.72</v>
      </c>
      <c r="L84" s="541"/>
      <c r="M84" s="541"/>
    </row>
    <row r="85" spans="1:13" x14ac:dyDescent="0.25">
      <c r="A85" s="541"/>
      <c r="B85" s="537">
        <v>42226</v>
      </c>
      <c r="C85" s="541">
        <v>5</v>
      </c>
      <c r="D85" s="542">
        <v>110.93</v>
      </c>
      <c r="E85" s="542">
        <v>0</v>
      </c>
      <c r="F85" s="542">
        <f t="shared" si="12"/>
        <v>554.65000000000009</v>
      </c>
      <c r="G85" s="537">
        <v>42482</v>
      </c>
      <c r="H85" s="543">
        <v>10</v>
      </c>
      <c r="I85" s="542">
        <v>103.71</v>
      </c>
      <c r="J85" s="542">
        <v>0.02</v>
      </c>
      <c r="K85" s="542">
        <f t="shared" si="13"/>
        <v>1037.08</v>
      </c>
      <c r="L85" s="541"/>
      <c r="M85" s="541"/>
    </row>
    <row r="86" spans="1:13" x14ac:dyDescent="0.25">
      <c r="A86" s="541"/>
      <c r="B86" s="537">
        <v>42227</v>
      </c>
      <c r="C86" s="541">
        <v>10</v>
      </c>
      <c r="D86" s="542">
        <v>105</v>
      </c>
      <c r="E86" s="542">
        <v>0</v>
      </c>
      <c r="F86" s="542">
        <f t="shared" si="12"/>
        <v>1050</v>
      </c>
      <c r="G86" s="537">
        <v>42592</v>
      </c>
      <c r="H86" s="543">
        <v>15</v>
      </c>
      <c r="I86" s="542">
        <v>97.88</v>
      </c>
      <c r="J86" s="542">
        <v>0.03</v>
      </c>
      <c r="K86" s="542">
        <f t="shared" si="13"/>
        <v>1468.1699999999998</v>
      </c>
      <c r="L86" s="541"/>
      <c r="M86" s="541"/>
    </row>
    <row r="87" spans="1:13" x14ac:dyDescent="0.25">
      <c r="A87" s="541"/>
      <c r="B87" s="537">
        <v>42374</v>
      </c>
      <c r="C87" s="541">
        <v>25</v>
      </c>
      <c r="D87" s="542">
        <v>100.9</v>
      </c>
      <c r="E87" s="542">
        <v>0</v>
      </c>
      <c r="F87" s="542">
        <f t="shared" si="12"/>
        <v>2522.5</v>
      </c>
      <c r="G87" s="537">
        <v>42684</v>
      </c>
      <c r="H87" s="543">
        <v>50</v>
      </c>
      <c r="I87" s="542">
        <v>97.5</v>
      </c>
      <c r="J87" s="542">
        <v>0.11</v>
      </c>
      <c r="K87" s="542">
        <f t="shared" si="13"/>
        <v>4874.8900000000003</v>
      </c>
      <c r="L87" s="541"/>
      <c r="M87" s="541"/>
    </row>
    <row r="88" spans="1:13" x14ac:dyDescent="0.25">
      <c r="A88" s="541"/>
      <c r="B88" s="537">
        <v>42409</v>
      </c>
      <c r="C88" s="541">
        <v>15</v>
      </c>
      <c r="D88" s="542">
        <v>88.5</v>
      </c>
      <c r="E88" s="542">
        <v>0</v>
      </c>
      <c r="F88" s="542">
        <f t="shared" si="12"/>
        <v>1327.5</v>
      </c>
      <c r="G88" s="537">
        <v>42684</v>
      </c>
      <c r="H88" s="543">
        <v>20</v>
      </c>
      <c r="I88" s="542">
        <v>95.71</v>
      </c>
      <c r="J88" s="542">
        <v>0.04</v>
      </c>
      <c r="K88" s="542">
        <f t="shared" si="13"/>
        <v>1914.1599999999999</v>
      </c>
      <c r="L88" s="541"/>
      <c r="M88" s="541"/>
    </row>
    <row r="89" spans="1:13" x14ac:dyDescent="0.25">
      <c r="A89" s="541"/>
      <c r="B89" s="537">
        <v>42586</v>
      </c>
      <c r="C89" s="541">
        <v>15</v>
      </c>
      <c r="D89" s="542">
        <v>94.88</v>
      </c>
      <c r="E89" s="542">
        <v>0</v>
      </c>
      <c r="F89" s="542">
        <f t="shared" si="12"/>
        <v>1423.1999999999998</v>
      </c>
      <c r="G89" s="541"/>
      <c r="H89" s="543"/>
      <c r="I89" s="542"/>
      <c r="J89" s="542"/>
      <c r="K89" s="542"/>
      <c r="L89" s="541"/>
      <c r="M89" s="541"/>
    </row>
    <row r="90" spans="1:13" x14ac:dyDescent="0.25">
      <c r="A90" s="541"/>
      <c r="B90" s="537">
        <v>42594</v>
      </c>
      <c r="C90" s="541">
        <v>15</v>
      </c>
      <c r="D90" s="542">
        <v>96.85</v>
      </c>
      <c r="E90" s="542">
        <v>0</v>
      </c>
      <c r="F90" s="542">
        <f t="shared" si="12"/>
        <v>1452.75</v>
      </c>
      <c r="G90" s="541"/>
      <c r="H90" s="543"/>
      <c r="I90" s="542"/>
      <c r="J90" s="542"/>
      <c r="K90" s="542"/>
      <c r="L90" s="541"/>
      <c r="M90" s="541"/>
    </row>
    <row r="91" spans="1:13" x14ac:dyDescent="0.25">
      <c r="A91" s="541"/>
      <c r="B91" s="537">
        <v>42611</v>
      </c>
      <c r="C91" s="541">
        <v>25</v>
      </c>
      <c r="D91" s="542">
        <v>94.58</v>
      </c>
      <c r="E91" s="542">
        <v>0</v>
      </c>
      <c r="F91" s="542">
        <f t="shared" si="12"/>
        <v>2364.5</v>
      </c>
      <c r="G91" s="541"/>
      <c r="H91" s="541"/>
      <c r="I91" s="542"/>
      <c r="J91" s="542"/>
      <c r="K91" s="542"/>
      <c r="L91" s="541"/>
      <c r="M91" s="541"/>
    </row>
    <row r="92" spans="1:13" x14ac:dyDescent="0.25">
      <c r="A92" s="541"/>
      <c r="B92" s="537">
        <v>42622</v>
      </c>
      <c r="C92" s="541">
        <v>15</v>
      </c>
      <c r="D92" s="542">
        <v>92.5</v>
      </c>
      <c r="E92" s="542">
        <v>0</v>
      </c>
      <c r="F92" s="542">
        <f t="shared" si="12"/>
        <v>1387.5</v>
      </c>
      <c r="G92" s="541"/>
      <c r="H92" s="541"/>
      <c r="I92" s="542"/>
      <c r="J92" s="542"/>
      <c r="K92" s="542"/>
      <c r="L92" s="541"/>
      <c r="M92" s="541"/>
    </row>
    <row r="93" spans="1:13" x14ac:dyDescent="0.25">
      <c r="A93" s="541"/>
      <c r="B93" s="541"/>
      <c r="C93" s="541"/>
      <c r="D93" s="542"/>
      <c r="E93" s="542"/>
      <c r="F93" s="542"/>
      <c r="G93" s="541"/>
      <c r="H93" s="541"/>
      <c r="I93" s="542"/>
      <c r="J93" s="542"/>
      <c r="K93" s="542"/>
      <c r="L93" s="541"/>
      <c r="M93" s="541"/>
    </row>
    <row r="94" spans="1:13" x14ac:dyDescent="0.25">
      <c r="A94" s="541"/>
      <c r="B94" s="541"/>
      <c r="C94" s="541"/>
      <c r="D94" s="542"/>
      <c r="E94" s="542"/>
      <c r="F94" s="542"/>
      <c r="G94" s="541"/>
      <c r="H94" s="541"/>
      <c r="I94" s="542"/>
      <c r="J94" s="542"/>
      <c r="K94" s="542"/>
      <c r="L94" s="541"/>
      <c r="M94" s="541"/>
    </row>
    <row r="95" spans="1:13" x14ac:dyDescent="0.25">
      <c r="A95" s="541"/>
      <c r="B95" s="541"/>
      <c r="C95" s="541"/>
      <c r="D95" s="542"/>
      <c r="E95" s="542"/>
      <c r="F95" s="542"/>
      <c r="G95" s="541"/>
      <c r="H95" s="541"/>
      <c r="I95" s="542"/>
      <c r="J95" s="542"/>
      <c r="K95" s="542"/>
      <c r="L95" s="541"/>
      <c r="M95" s="541"/>
    </row>
    <row r="96" spans="1:13" x14ac:dyDescent="0.25">
      <c r="A96" s="541"/>
      <c r="B96" s="541"/>
      <c r="C96" s="541"/>
      <c r="D96" s="542"/>
      <c r="E96" s="542"/>
      <c r="F96" s="542"/>
      <c r="G96" s="541"/>
      <c r="H96" s="541"/>
      <c r="I96" s="542"/>
      <c r="J96" s="542"/>
      <c r="K96" s="542"/>
      <c r="L96" s="541"/>
      <c r="M96" s="541"/>
    </row>
    <row r="97" spans="1:13" x14ac:dyDescent="0.25">
      <c r="A97" s="541"/>
      <c r="B97" s="541"/>
      <c r="C97" s="541"/>
      <c r="D97" s="542"/>
      <c r="E97" s="542"/>
      <c r="F97" s="542"/>
      <c r="G97" s="541"/>
      <c r="H97" s="541"/>
      <c r="I97" s="542"/>
      <c r="J97" s="542"/>
      <c r="K97" s="542"/>
      <c r="L97" s="541"/>
      <c r="M97" s="541"/>
    </row>
    <row r="98" spans="1:13" x14ac:dyDescent="0.25">
      <c r="A98" s="541"/>
      <c r="B98" s="541"/>
      <c r="C98" s="541"/>
      <c r="D98" s="542"/>
      <c r="E98" s="542"/>
      <c r="F98" s="542"/>
      <c r="G98" s="541"/>
      <c r="H98" s="541"/>
      <c r="I98" s="542"/>
      <c r="J98" s="542"/>
      <c r="K98" s="542"/>
      <c r="L98" s="541"/>
      <c r="M98" s="541"/>
    </row>
    <row r="99" spans="1:13" x14ac:dyDescent="0.25">
      <c r="A99" s="545" t="s">
        <v>81</v>
      </c>
      <c r="B99" s="546"/>
      <c r="C99" s="546">
        <f>SUM(C83:C92)</f>
        <v>140</v>
      </c>
      <c r="D99" s="547"/>
      <c r="E99" s="547"/>
      <c r="F99" s="547">
        <f>SUM(F83:F92)</f>
        <v>13780.8</v>
      </c>
      <c r="G99" s="546"/>
      <c r="H99" s="548">
        <f>SUM(H83:H88)</f>
        <v>140</v>
      </c>
      <c r="I99" s="547"/>
      <c r="J99" s="547"/>
      <c r="K99" s="547">
        <f>SUM(K83:K88)</f>
        <v>14027.46</v>
      </c>
      <c r="L99" s="546"/>
      <c r="M99" s="547">
        <f>SUM(M83:M86)</f>
        <v>10.65</v>
      </c>
    </row>
    <row r="100" spans="1:13" ht="15.75" thickBot="1" x14ac:dyDescent="0.3">
      <c r="A100" s="549" t="s">
        <v>194</v>
      </c>
      <c r="B100" s="550"/>
      <c r="C100" s="551">
        <f>SumByColor($A$19,C83:C98)</f>
        <v>0</v>
      </c>
      <c r="D100" s="551"/>
      <c r="E100" s="551"/>
      <c r="F100" s="552">
        <f>SumByColor($A$19,F83:F98)</f>
        <v>0</v>
      </c>
      <c r="G100" s="551"/>
      <c r="H100" s="551">
        <f>SumByColor($A$19,H83:H98)</f>
        <v>0</v>
      </c>
      <c r="I100" s="551"/>
      <c r="J100" s="551"/>
      <c r="K100" s="552">
        <f>SumByColor($A$19,K83:K98)</f>
        <v>0</v>
      </c>
      <c r="L100" s="551"/>
      <c r="M100" s="55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81" priority="15">
      <formula>F25&gt;0</formula>
    </cfRule>
    <cfRule type="expression" dxfId="180" priority="16">
      <formula>F25&lt;0</formula>
    </cfRule>
  </conditionalFormatting>
  <conditionalFormatting sqref="F32:F70">
    <cfRule type="expression" dxfId="179" priority="11">
      <formula>F32&gt;0</formula>
    </cfRule>
    <cfRule type="expression" dxfId="178" priority="12">
      <formula>F32&lt;0</formula>
    </cfRule>
  </conditionalFormatting>
  <conditionalFormatting sqref="F32:F70">
    <cfRule type="expression" dxfId="177" priority="13">
      <formula>F32&gt;0</formula>
    </cfRule>
    <cfRule type="expression" dxfId="176" priority="14">
      <formula>F32&lt;0</formula>
    </cfRule>
  </conditionalFormatting>
  <conditionalFormatting sqref="H25 H30:H70">
    <cfRule type="expression" dxfId="175" priority="9">
      <formula>H25&gt;0</formula>
    </cfRule>
    <cfRule type="expression" dxfId="174" priority="10">
      <formula>H25&lt;0</formula>
    </cfRule>
  </conditionalFormatting>
  <conditionalFormatting sqref="F26:F29">
    <cfRule type="expression" dxfId="173" priority="7">
      <formula>F26&gt;0</formula>
    </cfRule>
    <cfRule type="expression" dxfId="172" priority="8">
      <formula>F26&lt;0</formula>
    </cfRule>
  </conditionalFormatting>
  <conditionalFormatting sqref="H26:H29">
    <cfRule type="expression" dxfId="171" priority="5">
      <formula>H26&gt;0</formula>
    </cfRule>
    <cfRule type="expression" dxfId="170" priority="6">
      <formula>H26&lt;0</formula>
    </cfRule>
  </conditionalFormatting>
  <conditionalFormatting sqref="Q7">
    <cfRule type="expression" dxfId="169" priority="3">
      <formula>Q7&gt;0</formula>
    </cfRule>
    <cfRule type="expression" dxfId="168" priority="4">
      <formula>Q7&lt;0</formula>
    </cfRule>
  </conditionalFormatting>
  <conditionalFormatting sqref="Q8">
    <cfRule type="expression" dxfId="167" priority="1">
      <formula>Q8&gt;0</formula>
    </cfRule>
    <cfRule type="expression" dxfId="166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88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88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725</v>
      </c>
      <c r="U2" s="84">
        <v>15</v>
      </c>
    </row>
    <row r="3" spans="1:21" x14ac:dyDescent="0.25">
      <c r="A3" s="22" t="s">
        <v>71</v>
      </c>
      <c r="B3" s="488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88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78">
        <f>IF(Q2=0, Q4, (F29-M29-K29)/Q2)</f>
        <v>6.81</v>
      </c>
      <c r="T3" s="1"/>
    </row>
    <row r="4" spans="1:21" x14ac:dyDescent="0.25">
      <c r="B4" s="488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88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6">
        <v>6.81</v>
      </c>
      <c r="R4" s="487">
        <v>-4.7600000000000003E-2</v>
      </c>
      <c r="T4" s="159"/>
    </row>
    <row r="5" spans="1:21" x14ac:dyDescent="0.25">
      <c r="B5" s="488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88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725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88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88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88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88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88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88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88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88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210</v>
      </c>
      <c r="Q9" s="134">
        <f>IF(Q2=0, 0, Q8/Q6)</f>
        <v>0</v>
      </c>
    </row>
    <row r="10" spans="1:21" x14ac:dyDescent="0.25">
      <c r="B10" s="488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88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209</v>
      </c>
      <c r="P10" s="33"/>
      <c r="Q10" s="2">
        <f>M102</f>
        <v>434.93000000000029</v>
      </c>
    </row>
    <row r="11" spans="1:21" x14ac:dyDescent="0.25">
      <c r="B11" s="488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88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88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88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45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88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45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88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45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88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45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45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45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45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45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45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7" t="s">
        <v>194</v>
      </c>
      <c r="B30" s="348"/>
      <c r="C30" s="349">
        <f>SumByColor($A$30,C2:C28)</f>
        <v>13800</v>
      </c>
      <c r="D30" s="349"/>
      <c r="E30" s="349"/>
      <c r="F30" s="350">
        <f>SumByColor($A$30,F2:F28)</f>
        <v>32192</v>
      </c>
      <c r="G30" s="349"/>
      <c r="H30" s="349">
        <f>SumByColor($A$30,H2:H28)</f>
        <v>13800</v>
      </c>
      <c r="I30" s="349"/>
      <c r="J30" s="349"/>
      <c r="K30" s="350">
        <f>SumByColor($A$30,K2:K28)</f>
        <v>23206</v>
      </c>
      <c r="L30" s="349"/>
      <c r="M30" s="566">
        <f>SumByColor($A$30,M2:M28)</f>
        <v>486</v>
      </c>
    </row>
    <row r="34" spans="2:21" x14ac:dyDescent="0.25">
      <c r="B34" s="188"/>
      <c r="C34" s="10"/>
      <c r="D34" s="197"/>
      <c r="E34" s="39"/>
      <c r="F34" s="231"/>
      <c r="G34" s="39"/>
      <c r="H34" s="227"/>
      <c r="I34" s="39"/>
      <c r="J34" s="39"/>
      <c r="K34" s="39"/>
    </row>
    <row r="35" spans="2:21" x14ac:dyDescent="0.25">
      <c r="B35" s="186" t="s">
        <v>113</v>
      </c>
      <c r="C35" s="186" t="s">
        <v>146</v>
      </c>
      <c r="D35" s="187" t="s">
        <v>145</v>
      </c>
      <c r="E35" s="189" t="s">
        <v>147</v>
      </c>
      <c r="F35" s="190" t="s">
        <v>65</v>
      </c>
      <c r="G35" s="224" t="s">
        <v>151</v>
      </c>
      <c r="H35" s="190" t="s">
        <v>88</v>
      </c>
      <c r="I35" s="224" t="s">
        <v>154</v>
      </c>
      <c r="J35" s="224" t="s">
        <v>514</v>
      </c>
      <c r="K35" s="224" t="s">
        <v>150</v>
      </c>
    </row>
    <row r="36" spans="2:21" x14ac:dyDescent="0.25">
      <c r="B36" s="188">
        <v>42629</v>
      </c>
      <c r="C36" s="232">
        <v>400</v>
      </c>
      <c r="D36" s="523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7">
        <f t="shared" ref="H36:H42" si="6">(E36-D36)/D36</f>
        <v>0</v>
      </c>
      <c r="I36" s="39"/>
      <c r="J36" s="39"/>
      <c r="K36" s="39"/>
    </row>
    <row r="37" spans="2:21" x14ac:dyDescent="0.25">
      <c r="B37" s="188">
        <v>42632</v>
      </c>
      <c r="C37" s="10">
        <v>400</v>
      </c>
      <c r="D37" s="197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7">
        <f t="shared" si="6"/>
        <v>4.6728971962615821E-3</v>
      </c>
      <c r="I37" s="39"/>
      <c r="J37" s="39"/>
      <c r="K37" s="39"/>
    </row>
    <row r="38" spans="2:21" x14ac:dyDescent="0.25">
      <c r="B38" s="188">
        <v>42633</v>
      </c>
      <c r="C38" s="10">
        <v>400</v>
      </c>
      <c r="D38" s="197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7">
        <f t="shared" si="6"/>
        <v>-1.6355140186915952E-2</v>
      </c>
      <c r="I38" s="39"/>
      <c r="J38" s="39"/>
      <c r="K38" s="39"/>
    </row>
    <row r="39" spans="2:21" x14ac:dyDescent="0.25">
      <c r="B39" s="188">
        <v>42634</v>
      </c>
      <c r="C39" s="7">
        <v>800</v>
      </c>
      <c r="D39" s="522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7">
        <f t="shared" si="6"/>
        <v>-1.1961722488038236E-2</v>
      </c>
      <c r="I39" s="39"/>
      <c r="J39" s="39"/>
      <c r="K39" s="39"/>
    </row>
    <row r="40" spans="2:21" ht="20.25" thickBot="1" x14ac:dyDescent="0.35">
      <c r="B40" s="188">
        <v>42635</v>
      </c>
      <c r="C40" s="10">
        <v>400</v>
      </c>
      <c r="D40" s="197">
        <v>4.1600999999999999</v>
      </c>
      <c r="E40" s="39">
        <v>4.33</v>
      </c>
      <c r="F40" s="231">
        <f t="shared" si="4"/>
        <v>67.960000000000065</v>
      </c>
      <c r="G40" s="39">
        <f t="shared" si="5"/>
        <v>1664.04</v>
      </c>
      <c r="H40" s="227">
        <f t="shared" si="6"/>
        <v>4.0840364414317001E-2</v>
      </c>
      <c r="I40" s="39"/>
      <c r="J40" s="39"/>
      <c r="K40" s="39"/>
      <c r="O40" s="804" t="s">
        <v>78</v>
      </c>
      <c r="P40" s="804"/>
    </row>
    <row r="41" spans="2:21" ht="15.75" thickTop="1" x14ac:dyDescent="0.25">
      <c r="B41" s="188">
        <v>42643</v>
      </c>
      <c r="C41" s="10">
        <v>400</v>
      </c>
      <c r="D41" s="197">
        <v>4.1600999999999999</v>
      </c>
      <c r="E41" s="39">
        <v>4.16</v>
      </c>
      <c r="F41" s="231">
        <f t="shared" si="4"/>
        <v>-3.9999999999906777E-2</v>
      </c>
      <c r="G41" s="39">
        <f t="shared" si="5"/>
        <v>1664.04</v>
      </c>
      <c r="H41" s="227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7.4910000000000005</v>
      </c>
      <c r="Q41" s="2"/>
    </row>
    <row r="42" spans="2:21" ht="20.25" thickBot="1" x14ac:dyDescent="0.35">
      <c r="B42" s="188">
        <v>42648</v>
      </c>
      <c r="C42" s="7">
        <v>800</v>
      </c>
      <c r="D42" s="522">
        <v>4.0900499999999997</v>
      </c>
      <c r="E42" s="39">
        <v>4.03</v>
      </c>
      <c r="F42" s="231">
        <f t="shared" si="4"/>
        <v>-48.039999999999594</v>
      </c>
      <c r="G42" s="39">
        <f t="shared" si="5"/>
        <v>3272.04</v>
      </c>
      <c r="H42" s="227">
        <f t="shared" si="6"/>
        <v>-1.4681972103030402E-2</v>
      </c>
      <c r="I42" s="522">
        <v>4</v>
      </c>
      <c r="J42" s="39"/>
      <c r="K42" s="39"/>
      <c r="O42" s="81">
        <v>1.0900000000000001</v>
      </c>
      <c r="P42" s="81">
        <f t="shared" ref="P42:P61" si="7">O42*$Q$4</f>
        <v>7.4229000000000003</v>
      </c>
      <c r="Q42" s="2"/>
      <c r="T42" s="89" t="s">
        <v>112</v>
      </c>
    </row>
    <row r="43" spans="2:21" ht="15.75" thickTop="1" x14ac:dyDescent="0.25">
      <c r="B43" s="188">
        <v>42649</v>
      </c>
      <c r="C43" s="10">
        <v>800</v>
      </c>
      <c r="D43" s="197">
        <v>4.0900499999999997</v>
      </c>
      <c r="E43" s="39">
        <v>3.99</v>
      </c>
      <c r="F43" s="231">
        <f>C43*(E43-D43)</f>
        <v>-80.039999999999623</v>
      </c>
      <c r="G43" s="39">
        <f>D43*C43</f>
        <v>3272.04</v>
      </c>
      <c r="H43" s="227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7.3548</v>
      </c>
      <c r="Q43" s="2"/>
      <c r="T43" s="125" t="s">
        <v>97</v>
      </c>
      <c r="U43" s="96">
        <v>2.13</v>
      </c>
    </row>
    <row r="44" spans="2:21" x14ac:dyDescent="0.25">
      <c r="B44" s="188">
        <v>42650</v>
      </c>
      <c r="C44" s="10">
        <v>800</v>
      </c>
      <c r="D44" s="197">
        <v>4.0900499999999997</v>
      </c>
      <c r="E44" s="39">
        <v>4.2300000000000004</v>
      </c>
      <c r="F44" s="231">
        <f>C44*(E44-D44)</f>
        <v>111.96000000000055</v>
      </c>
      <c r="G44" s="39">
        <f>D44*C44</f>
        <v>3272.04</v>
      </c>
      <c r="H44" s="227">
        <f>(E44-D44)/D44</f>
        <v>3.4217185608978053E-2</v>
      </c>
      <c r="I44" s="197" t="s">
        <v>299</v>
      </c>
      <c r="J44" s="39"/>
      <c r="K44" s="39"/>
      <c r="O44" s="81">
        <v>1.07</v>
      </c>
      <c r="P44" s="81">
        <f t="shared" si="7"/>
        <v>7.2866999999999997</v>
      </c>
      <c r="Q44" s="2"/>
      <c r="T44" s="91" t="s">
        <v>98</v>
      </c>
      <c r="U44" s="86">
        <v>2.15</v>
      </c>
    </row>
    <row r="45" spans="2:21" x14ac:dyDescent="0.25">
      <c r="B45" s="188">
        <v>42661</v>
      </c>
      <c r="C45" s="10">
        <v>800</v>
      </c>
      <c r="D45" s="197">
        <v>4.0900499999999997</v>
      </c>
      <c r="E45" s="39">
        <v>4.08</v>
      </c>
      <c r="F45" s="231">
        <f t="shared" ref="F45:F51" si="8">C45*(E45-D45)</f>
        <v>-8.0399999999997362</v>
      </c>
      <c r="G45" s="39">
        <f t="shared" ref="G45:G51" si="9">D45*C45</f>
        <v>3272.04</v>
      </c>
      <c r="H45" s="227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7.2186000000000003</v>
      </c>
      <c r="Q45" s="2"/>
      <c r="T45" s="91" t="s">
        <v>99</v>
      </c>
      <c r="U45" s="86" t="s">
        <v>687</v>
      </c>
    </row>
    <row r="46" spans="2:21" x14ac:dyDescent="0.25">
      <c r="B46" s="188">
        <v>42670</v>
      </c>
      <c r="C46" s="232">
        <v>400</v>
      </c>
      <c r="D46" s="523">
        <v>3.9802</v>
      </c>
      <c r="E46" s="39">
        <v>4.17</v>
      </c>
      <c r="F46" s="231">
        <f t="shared" si="8"/>
        <v>75.919999999999987</v>
      </c>
      <c r="G46" s="39">
        <f t="shared" si="9"/>
        <v>1592.08</v>
      </c>
      <c r="H46" s="227">
        <f t="shared" si="10"/>
        <v>4.7686045927340326E-2</v>
      </c>
      <c r="I46" s="523">
        <v>3.9</v>
      </c>
      <c r="J46" s="39"/>
      <c r="K46" s="39"/>
      <c r="O46" s="81">
        <v>1.05</v>
      </c>
      <c r="P46" s="81">
        <f t="shared" si="7"/>
        <v>7.1505000000000001</v>
      </c>
      <c r="Q46" s="2"/>
      <c r="T46" s="91" t="s">
        <v>100</v>
      </c>
      <c r="U46" s="86" t="s">
        <v>688</v>
      </c>
    </row>
    <row r="47" spans="2:21" x14ac:dyDescent="0.25">
      <c r="B47" s="188">
        <v>42674</v>
      </c>
      <c r="C47" s="7">
        <v>800</v>
      </c>
      <c r="D47" s="522">
        <v>4.0000999999999998</v>
      </c>
      <c r="E47" s="39">
        <v>4.0199999999999996</v>
      </c>
      <c r="F47" s="231">
        <f t="shared" si="8"/>
        <v>15.919999999999845</v>
      </c>
      <c r="G47" s="39">
        <f t="shared" si="9"/>
        <v>3200.08</v>
      </c>
      <c r="H47" s="227">
        <f t="shared" si="10"/>
        <v>4.9748756281092496E-3</v>
      </c>
      <c r="I47" s="522" t="s">
        <v>306</v>
      </c>
      <c r="J47" s="39"/>
      <c r="K47" s="39"/>
      <c r="O47" s="81">
        <v>1.04</v>
      </c>
      <c r="P47" s="81">
        <f t="shared" si="7"/>
        <v>7.0823999999999998</v>
      </c>
      <c r="Q47" s="2"/>
      <c r="T47" s="91" t="s">
        <v>101</v>
      </c>
      <c r="U47" s="86">
        <v>3.22</v>
      </c>
    </row>
    <row r="48" spans="2:21" x14ac:dyDescent="0.25">
      <c r="B48" s="188">
        <v>42676</v>
      </c>
      <c r="C48" s="10">
        <v>1100</v>
      </c>
      <c r="D48" s="197">
        <v>3.8882500000000002</v>
      </c>
      <c r="E48" s="39">
        <v>3.39</v>
      </c>
      <c r="F48" s="231">
        <f t="shared" si="8"/>
        <v>-548.07500000000005</v>
      </c>
      <c r="G48" s="39">
        <f t="shared" si="9"/>
        <v>4277.0749999999998</v>
      </c>
      <c r="H48" s="227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7.0142999999999995</v>
      </c>
      <c r="Q48" s="2"/>
      <c r="T48" s="91" t="s">
        <v>102</v>
      </c>
      <c r="U48" s="86">
        <v>0.447965</v>
      </c>
    </row>
    <row r="49" spans="1:21" x14ac:dyDescent="0.25">
      <c r="B49" s="188">
        <v>42678</v>
      </c>
      <c r="C49" s="567">
        <v>1500</v>
      </c>
      <c r="D49" s="568">
        <v>3.6860499999999998</v>
      </c>
      <c r="E49" s="39">
        <v>3.12</v>
      </c>
      <c r="F49" s="231">
        <f t="shared" si="8"/>
        <v>-849.07499999999959</v>
      </c>
      <c r="G49" s="39">
        <f t="shared" si="9"/>
        <v>5529.0749999999998</v>
      </c>
      <c r="H49" s="227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6.9462000000000002</v>
      </c>
      <c r="Q49" s="2"/>
      <c r="T49" s="91" t="s">
        <v>121</v>
      </c>
      <c r="U49" s="86" t="s">
        <v>436</v>
      </c>
    </row>
    <row r="50" spans="1:21" x14ac:dyDescent="0.25">
      <c r="B50" s="188">
        <v>42701</v>
      </c>
      <c r="C50" s="10">
        <v>1100</v>
      </c>
      <c r="D50" s="197">
        <v>3.7101000000000002</v>
      </c>
      <c r="E50" s="39">
        <v>3.69</v>
      </c>
      <c r="F50" s="231">
        <f t="shared" si="8"/>
        <v>-22.110000000000252</v>
      </c>
      <c r="G50" s="39">
        <f t="shared" si="9"/>
        <v>4081.11</v>
      </c>
      <c r="H50" s="227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6.8780999999999999</v>
      </c>
      <c r="Q50" s="2"/>
      <c r="T50" s="91"/>
      <c r="U50" s="86"/>
    </row>
    <row r="51" spans="1:21" x14ac:dyDescent="0.25">
      <c r="B51" s="188">
        <v>42702</v>
      </c>
      <c r="C51" s="10">
        <v>700</v>
      </c>
      <c r="D51" s="197">
        <v>3.6873399999999998</v>
      </c>
      <c r="E51" s="39">
        <v>3.74</v>
      </c>
      <c r="F51" s="231">
        <f t="shared" si="8"/>
        <v>36.862000000000265</v>
      </c>
      <c r="G51" s="39">
        <f t="shared" si="9"/>
        <v>2581.1379999999999</v>
      </c>
      <c r="H51" s="227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6.81</v>
      </c>
      <c r="Q51" s="2"/>
      <c r="T51" s="91" t="s">
        <v>104</v>
      </c>
      <c r="U51" s="86" t="s">
        <v>689</v>
      </c>
    </row>
    <row r="52" spans="1:21" x14ac:dyDescent="0.25">
      <c r="B52" s="188">
        <v>42705</v>
      </c>
      <c r="C52" s="10">
        <v>700</v>
      </c>
      <c r="D52" s="197">
        <v>3.6873399999999998</v>
      </c>
      <c r="E52" s="39">
        <v>3.51</v>
      </c>
      <c r="F52" s="231">
        <f t="shared" ref="F52:F65" si="11">C52*(E52-D52)</f>
        <v>-124.13800000000003</v>
      </c>
      <c r="G52" s="39">
        <f t="shared" ref="G52:G65" si="12">D52*C52</f>
        <v>2581.1379999999999</v>
      </c>
      <c r="H52" s="227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6.7418999999999993</v>
      </c>
      <c r="Q52" s="2"/>
      <c r="T52" s="91" t="s">
        <v>105</v>
      </c>
      <c r="U52" s="86" t="s">
        <v>537</v>
      </c>
    </row>
    <row r="53" spans="1:21" x14ac:dyDescent="0.25">
      <c r="B53" s="188">
        <v>42713</v>
      </c>
      <c r="C53" s="10">
        <v>700</v>
      </c>
      <c r="D53" s="197">
        <v>3.6873399999999998</v>
      </c>
      <c r="E53" s="39">
        <v>3.67</v>
      </c>
      <c r="F53" s="231">
        <f t="shared" si="11"/>
        <v>-12.137999999999938</v>
      </c>
      <c r="G53" s="39">
        <f t="shared" si="12"/>
        <v>2581.1379999999999</v>
      </c>
      <c r="H53" s="227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6.6737999999999991</v>
      </c>
      <c r="Q53" s="2"/>
      <c r="T53" s="91" t="s">
        <v>106</v>
      </c>
      <c r="U53" s="88">
        <v>80683646</v>
      </c>
    </row>
    <row r="54" spans="1:21" x14ac:dyDescent="0.25">
      <c r="B54" s="188">
        <v>42716</v>
      </c>
      <c r="C54" s="10">
        <v>1100</v>
      </c>
      <c r="D54" s="197">
        <v>3.641</v>
      </c>
      <c r="E54" s="39">
        <v>3.49</v>
      </c>
      <c r="F54" s="231">
        <f t="shared" si="11"/>
        <v>-166.0999999999998</v>
      </c>
      <c r="G54" s="39">
        <f t="shared" si="12"/>
        <v>4005.1</v>
      </c>
      <c r="H54" s="227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6.6056999999999997</v>
      </c>
      <c r="T54" s="91" t="s">
        <v>109</v>
      </c>
      <c r="U54" s="88">
        <v>41241800</v>
      </c>
    </row>
    <row r="55" spans="1:21" x14ac:dyDescent="0.25">
      <c r="B55" s="188">
        <v>42725</v>
      </c>
      <c r="C55" s="10">
        <v>1800</v>
      </c>
      <c r="D55" s="197">
        <v>3.5200800000000001</v>
      </c>
      <c r="E55" s="39">
        <v>3.29</v>
      </c>
      <c r="F55" s="231">
        <f t="shared" si="11"/>
        <v>-414.14400000000012</v>
      </c>
      <c r="G55" s="39">
        <f t="shared" si="12"/>
        <v>6336.1440000000002</v>
      </c>
      <c r="H55" s="227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6.5375999999999994</v>
      </c>
      <c r="T55" s="91" t="s">
        <v>107</v>
      </c>
      <c r="U55" s="86" t="s">
        <v>690</v>
      </c>
    </row>
    <row r="56" spans="1:21" x14ac:dyDescent="0.25">
      <c r="B56" s="188">
        <v>42729</v>
      </c>
      <c r="C56" s="10">
        <v>1800</v>
      </c>
      <c r="D56" s="197">
        <v>3.5200800000000001</v>
      </c>
      <c r="E56" s="39">
        <v>3.42</v>
      </c>
      <c r="F56" s="231">
        <f t="shared" si="11"/>
        <v>-180.14400000000029</v>
      </c>
      <c r="G56" s="39">
        <f t="shared" si="12"/>
        <v>6336.1440000000002</v>
      </c>
      <c r="H56" s="227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6.4694999999999991</v>
      </c>
      <c r="T56" s="91" t="s">
        <v>110</v>
      </c>
      <c r="U56" s="86" t="s">
        <v>128</v>
      </c>
    </row>
    <row r="57" spans="1:21" x14ac:dyDescent="0.25">
      <c r="B57" s="188">
        <v>42736</v>
      </c>
      <c r="C57" s="10">
        <v>1800</v>
      </c>
      <c r="D57" s="197">
        <v>3.4559099999999998</v>
      </c>
      <c r="E57" s="39">
        <v>3.3650000000000002</v>
      </c>
      <c r="F57" s="231">
        <f t="shared" si="11"/>
        <v>-163.63799999999929</v>
      </c>
      <c r="G57" s="39">
        <f t="shared" si="12"/>
        <v>6220.6379999999999</v>
      </c>
      <c r="H57" s="227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6.4013999999999989</v>
      </c>
      <c r="T57" s="91" t="s">
        <v>111</v>
      </c>
      <c r="U57" s="86">
        <v>-0.51</v>
      </c>
    </row>
    <row r="58" spans="1:21" x14ac:dyDescent="0.25">
      <c r="B58" s="188">
        <v>42738</v>
      </c>
      <c r="C58" s="10">
        <v>1100</v>
      </c>
      <c r="D58" s="197">
        <v>3.3961100000000002</v>
      </c>
      <c r="E58" s="39">
        <v>3.58</v>
      </c>
      <c r="F58" s="231">
        <f t="shared" si="11"/>
        <v>202.27899999999988</v>
      </c>
      <c r="G58" s="39">
        <f t="shared" si="12"/>
        <v>3735.721</v>
      </c>
      <c r="H58" s="227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6.3333000000000004</v>
      </c>
      <c r="T58" s="91" t="s">
        <v>108</v>
      </c>
      <c r="U58" s="86" t="s">
        <v>577</v>
      </c>
    </row>
    <row r="59" spans="1:21" x14ac:dyDescent="0.25">
      <c r="B59" s="188">
        <v>42739</v>
      </c>
      <c r="C59" s="10">
        <v>1100</v>
      </c>
      <c r="D59" s="197">
        <v>3.39608</v>
      </c>
      <c r="E59" s="39">
        <v>3.67</v>
      </c>
      <c r="F59" s="231">
        <f t="shared" si="11"/>
        <v>301.31199999999995</v>
      </c>
      <c r="G59" s="39">
        <f t="shared" si="12"/>
        <v>3735.6880000000001</v>
      </c>
      <c r="H59" s="227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6.2652000000000001</v>
      </c>
    </row>
    <row r="60" spans="1:21" x14ac:dyDescent="0.25">
      <c r="B60" s="188">
        <v>42745</v>
      </c>
      <c r="C60" s="10">
        <v>1100</v>
      </c>
      <c r="D60" s="197">
        <v>3.39608</v>
      </c>
      <c r="E60" s="39">
        <v>3.63</v>
      </c>
      <c r="F60" s="231">
        <f t="shared" si="11"/>
        <v>257.3119999999999</v>
      </c>
      <c r="G60" s="39">
        <f t="shared" si="12"/>
        <v>3735.6880000000001</v>
      </c>
      <c r="H60" s="227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6.1970999999999998</v>
      </c>
    </row>
    <row r="61" spans="1:21" x14ac:dyDescent="0.25">
      <c r="A61" t="s">
        <v>358</v>
      </c>
      <c r="B61" s="188">
        <v>42754</v>
      </c>
      <c r="C61" s="567">
        <v>1500</v>
      </c>
      <c r="D61" s="568">
        <v>3.40246</v>
      </c>
      <c r="E61" s="39">
        <v>3.48</v>
      </c>
      <c r="F61" s="231">
        <f t="shared" si="11"/>
        <v>116.30999999999992</v>
      </c>
      <c r="G61" s="39">
        <f t="shared" si="12"/>
        <v>5103.6900000000005</v>
      </c>
      <c r="H61" s="227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6.1289999999999996</v>
      </c>
    </row>
    <row r="62" spans="1:21" x14ac:dyDescent="0.25">
      <c r="A62" t="s">
        <v>365</v>
      </c>
      <c r="B62" s="188">
        <v>42760</v>
      </c>
      <c r="C62" s="10">
        <v>1800</v>
      </c>
      <c r="D62" s="197">
        <v>3.40205</v>
      </c>
      <c r="E62" s="39">
        <v>3.43</v>
      </c>
      <c r="F62" s="231">
        <f t="shared" si="11"/>
        <v>50.310000000000258</v>
      </c>
      <c r="G62" s="39">
        <f t="shared" si="12"/>
        <v>6123.69</v>
      </c>
      <c r="H62" s="227">
        <f t="shared" si="13"/>
        <v>8.2156346908482062E-3</v>
      </c>
      <c r="I62" s="39"/>
      <c r="J62" s="39"/>
      <c r="K62" s="39"/>
    </row>
    <row r="63" spans="1:21" x14ac:dyDescent="0.25">
      <c r="A63" t="s">
        <v>366</v>
      </c>
      <c r="B63" s="188">
        <v>42760</v>
      </c>
      <c r="C63" s="10">
        <v>1400</v>
      </c>
      <c r="D63" s="197">
        <v>3.38801</v>
      </c>
      <c r="E63" s="39">
        <v>3.44</v>
      </c>
      <c r="F63" s="231">
        <f t="shared" si="11"/>
        <v>72.785999999999973</v>
      </c>
      <c r="G63" s="39">
        <f t="shared" si="12"/>
        <v>4743.2139999999999</v>
      </c>
      <c r="H63" s="227">
        <f t="shared" si="13"/>
        <v>1.5345291188632849E-2</v>
      </c>
      <c r="I63" s="39"/>
      <c r="J63" s="39"/>
      <c r="K63" s="39"/>
    </row>
    <row r="64" spans="1:21" x14ac:dyDescent="0.25">
      <c r="A64" t="s">
        <v>409</v>
      </c>
      <c r="B64" s="188">
        <v>42771</v>
      </c>
      <c r="C64" s="10">
        <v>1400</v>
      </c>
      <c r="D64" s="197">
        <v>3.38801</v>
      </c>
      <c r="E64" s="39">
        <v>3.42</v>
      </c>
      <c r="F64" s="231">
        <f t="shared" si="11"/>
        <v>44.785999999999945</v>
      </c>
      <c r="G64" s="39">
        <f t="shared" si="12"/>
        <v>4743.2139999999999</v>
      </c>
      <c r="H64" s="227">
        <f t="shared" si="13"/>
        <v>9.4421208910245146E-3</v>
      </c>
      <c r="I64" s="39"/>
      <c r="J64" s="39"/>
      <c r="K64" s="39"/>
    </row>
    <row r="65" spans="1:13" x14ac:dyDescent="0.25">
      <c r="A65" t="s">
        <v>412</v>
      </c>
      <c r="B65" s="188">
        <v>42772</v>
      </c>
      <c r="C65" s="10">
        <v>2000</v>
      </c>
      <c r="D65" s="197">
        <v>3.3616199999999998</v>
      </c>
      <c r="E65" s="39">
        <v>3.33</v>
      </c>
      <c r="F65" s="231">
        <f t="shared" si="11"/>
        <v>-63.239999999999519</v>
      </c>
      <c r="G65" s="39">
        <f t="shared" si="12"/>
        <v>6723.24</v>
      </c>
      <c r="H65" s="227">
        <f t="shared" si="13"/>
        <v>-9.4061791636174709E-3</v>
      </c>
      <c r="I65" s="39"/>
      <c r="J65" s="39"/>
      <c r="K65" s="231"/>
    </row>
    <row r="66" spans="1:13" x14ac:dyDescent="0.25">
      <c r="A66" t="s">
        <v>458</v>
      </c>
      <c r="B66" s="188">
        <v>42788</v>
      </c>
      <c r="C66" s="10">
        <v>2000</v>
      </c>
      <c r="D66" s="197">
        <v>3.3616199999999998</v>
      </c>
      <c r="E66" s="39">
        <v>3.35</v>
      </c>
      <c r="F66" s="231">
        <f t="shared" ref="F66:F68" si="14">C66*(E66-D66)</f>
        <v>-23.239999999999483</v>
      </c>
      <c r="G66" s="39">
        <f t="shared" ref="G66:G68" si="15">D66*C66</f>
        <v>6723.24</v>
      </c>
      <c r="H66" s="227">
        <f t="shared" ref="H66:H68" si="16">(E66-D66)/D66</f>
        <v>-3.4566667261617143E-3</v>
      </c>
      <c r="I66" s="39"/>
      <c r="J66" s="39"/>
      <c r="K66" s="231"/>
    </row>
    <row r="67" spans="1:13" x14ac:dyDescent="0.25">
      <c r="A67" t="s">
        <v>462</v>
      </c>
      <c r="B67" s="188">
        <v>42790</v>
      </c>
      <c r="C67" s="10">
        <v>1300</v>
      </c>
      <c r="D67" s="237">
        <v>3.33</v>
      </c>
      <c r="E67" s="39">
        <v>3.37</v>
      </c>
      <c r="F67" s="231">
        <f t="shared" si="14"/>
        <v>52.000000000000043</v>
      </c>
      <c r="G67" s="39">
        <f t="shared" si="15"/>
        <v>4329</v>
      </c>
      <c r="H67" s="227">
        <f t="shared" si="16"/>
        <v>1.2012012012012022E-2</v>
      </c>
      <c r="I67" s="39"/>
      <c r="J67" s="39"/>
      <c r="K67" s="231"/>
    </row>
    <row r="68" spans="1:13" x14ac:dyDescent="0.25">
      <c r="A68" t="s">
        <v>475</v>
      </c>
      <c r="B68" s="188">
        <v>42793</v>
      </c>
      <c r="C68" s="10">
        <v>2000</v>
      </c>
      <c r="D68" s="237">
        <v>3.2776399999999999</v>
      </c>
      <c r="E68" s="39">
        <v>3.29</v>
      </c>
      <c r="F68" s="231">
        <f t="shared" si="14"/>
        <v>24.720000000000297</v>
      </c>
      <c r="G68" s="39">
        <f t="shared" si="15"/>
        <v>6555.28</v>
      </c>
      <c r="H68" s="227">
        <f t="shared" si="16"/>
        <v>3.7710059677085188E-3</v>
      </c>
      <c r="I68" s="39" t="s">
        <v>476</v>
      </c>
      <c r="J68" s="39"/>
      <c r="K68" s="231"/>
    </row>
    <row r="69" spans="1:13" x14ac:dyDescent="0.25">
      <c r="A69">
        <v>700</v>
      </c>
      <c r="B69" s="188">
        <v>42800</v>
      </c>
      <c r="C69" s="10">
        <v>2000</v>
      </c>
      <c r="D69" s="237">
        <v>3.2776399999999999</v>
      </c>
      <c r="E69" s="39">
        <v>2.76</v>
      </c>
      <c r="F69" s="231">
        <f t="shared" ref="F69" si="17">C69*(E69-D69)</f>
        <v>-1035.2800000000002</v>
      </c>
      <c r="G69" s="39">
        <f t="shared" ref="G69" si="18">D69*C69</f>
        <v>6555.28</v>
      </c>
      <c r="H69" s="227">
        <f t="shared" ref="H69" si="19">(E69-D69)/D69</f>
        <v>-0.15793070623985553</v>
      </c>
      <c r="I69" s="39"/>
      <c r="J69" s="39"/>
      <c r="K69" s="231"/>
      <c r="M69" s="271"/>
    </row>
    <row r="70" spans="1:13" x14ac:dyDescent="0.25">
      <c r="A70">
        <v>1300</v>
      </c>
      <c r="B70" s="188">
        <v>42808</v>
      </c>
      <c r="C70" s="10">
        <v>3000</v>
      </c>
      <c r="D70" s="237">
        <v>2.988</v>
      </c>
      <c r="E70" s="39">
        <v>2.41</v>
      </c>
      <c r="F70" s="231">
        <f t="shared" ref="F70:F72" si="20">C70*(E70-D70)</f>
        <v>-1733.9999999999995</v>
      </c>
      <c r="G70" s="39">
        <f t="shared" ref="G70:G72" si="21">D70*C70</f>
        <v>8964</v>
      </c>
      <c r="H70" s="227">
        <f t="shared" ref="H70:H72" si="22">(E70-D70)/D70</f>
        <v>-0.19344042838018738</v>
      </c>
      <c r="I70" s="39"/>
      <c r="J70" s="39"/>
      <c r="K70" s="231"/>
    </row>
    <row r="71" spans="1:13" x14ac:dyDescent="0.25">
      <c r="A71">
        <v>300</v>
      </c>
      <c r="B71" s="188">
        <v>42809</v>
      </c>
      <c r="C71" s="10">
        <v>3000</v>
      </c>
      <c r="D71" s="237">
        <v>2.97</v>
      </c>
      <c r="E71" s="39">
        <v>2.41</v>
      </c>
      <c r="F71" s="231">
        <f t="shared" si="20"/>
        <v>-1680.0000000000002</v>
      </c>
      <c r="G71" s="39">
        <f t="shared" si="21"/>
        <v>8910</v>
      </c>
      <c r="H71" s="227">
        <f t="shared" si="22"/>
        <v>-0.18855218855218855</v>
      </c>
      <c r="I71" s="39"/>
      <c r="J71" s="39"/>
      <c r="K71" s="231"/>
    </row>
    <row r="72" spans="1:13" x14ac:dyDescent="0.25">
      <c r="A72">
        <v>0</v>
      </c>
      <c r="B72" s="188">
        <v>42810</v>
      </c>
      <c r="C72" s="10">
        <v>2600</v>
      </c>
      <c r="D72" s="237">
        <v>3.0394000000000001</v>
      </c>
      <c r="E72" s="39">
        <v>2.5099999999999998</v>
      </c>
      <c r="F72" s="231">
        <f t="shared" si="20"/>
        <v>-1376.4400000000007</v>
      </c>
      <c r="G72" s="39">
        <f t="shared" si="21"/>
        <v>7902.4400000000005</v>
      </c>
      <c r="H72" s="227">
        <f t="shared" si="22"/>
        <v>-0.17417911429887487</v>
      </c>
      <c r="I72" s="39"/>
      <c r="J72" s="39"/>
      <c r="K72" s="231">
        <v>-941</v>
      </c>
    </row>
    <row r="73" spans="1:13" x14ac:dyDescent="0.25">
      <c r="A73">
        <v>0</v>
      </c>
      <c r="B73" s="188">
        <v>42811</v>
      </c>
      <c r="C73" s="10">
        <v>3000</v>
      </c>
      <c r="D73" s="237">
        <v>2.9581200000000001</v>
      </c>
      <c r="E73" s="39">
        <v>2.4700000000000002</v>
      </c>
      <c r="F73" s="231">
        <f t="shared" ref="F73" si="23">C73*(E73-D73)</f>
        <v>-1464.3599999999997</v>
      </c>
      <c r="G73" s="39">
        <f t="shared" ref="G73" si="24">D73*C73</f>
        <v>8874.36</v>
      </c>
      <c r="H73" s="227">
        <f t="shared" ref="H73" si="25">(E73-D73)/D73</f>
        <v>-0.16501020918691597</v>
      </c>
      <c r="I73" s="39"/>
      <c r="J73" s="39"/>
      <c r="K73" s="231">
        <v>-1029</v>
      </c>
    </row>
    <row r="74" spans="1:13" x14ac:dyDescent="0.25">
      <c r="A74">
        <v>0</v>
      </c>
      <c r="B74" s="188">
        <v>42816</v>
      </c>
      <c r="C74" s="10">
        <v>4000</v>
      </c>
      <c r="D74" s="237">
        <v>2.7585999999999999</v>
      </c>
      <c r="E74" s="39">
        <v>2.11</v>
      </c>
      <c r="F74" s="231">
        <f t="shared" ref="F74" si="26">C74*(E74-D74)</f>
        <v>-2594.4</v>
      </c>
      <c r="G74" s="39">
        <f t="shared" ref="G74" si="27">D74*C74</f>
        <v>11034.4</v>
      </c>
      <c r="H74" s="227">
        <f t="shared" ref="H74" si="28">(E74-D74)/D74</f>
        <v>-0.23511926339447548</v>
      </c>
      <c r="I74" s="39"/>
      <c r="J74" s="39"/>
      <c r="K74" s="231">
        <v>-2159</v>
      </c>
    </row>
    <row r="75" spans="1:13" x14ac:dyDescent="0.25">
      <c r="A75">
        <v>0</v>
      </c>
      <c r="B75" s="188">
        <v>42821</v>
      </c>
      <c r="C75" s="10">
        <v>4000</v>
      </c>
      <c r="D75" s="237">
        <v>2.7585999999999999</v>
      </c>
      <c r="E75" s="39">
        <v>2.02</v>
      </c>
      <c r="F75" s="231">
        <f t="shared" ref="F75" si="29">C75*(E75-D75)</f>
        <v>-2954.3999999999996</v>
      </c>
      <c r="G75" s="39">
        <f t="shared" ref="G75" si="30">D75*C75</f>
        <v>11034.4</v>
      </c>
      <c r="H75" s="227">
        <f t="shared" ref="H75" si="31">(E75-D75)/D75</f>
        <v>-0.26774450808381062</v>
      </c>
      <c r="I75" s="39"/>
      <c r="J75" s="39"/>
      <c r="K75" s="231">
        <v>-2519</v>
      </c>
    </row>
    <row r="76" spans="1:13" x14ac:dyDescent="0.25">
      <c r="A76">
        <v>600</v>
      </c>
      <c r="B76" s="188">
        <v>42824</v>
      </c>
      <c r="C76" s="10">
        <v>4000</v>
      </c>
      <c r="D76" s="237">
        <v>2.7585999999999999</v>
      </c>
      <c r="E76" s="39">
        <v>2.13</v>
      </c>
      <c r="F76" s="231">
        <f t="shared" ref="F76" si="32">C76*(E76-D76)</f>
        <v>-2514.4</v>
      </c>
      <c r="G76" s="39">
        <f t="shared" ref="G76" si="33">D76*C76</f>
        <v>11034.4</v>
      </c>
      <c r="H76" s="227">
        <f t="shared" ref="H76" si="34">(E76-D76)/D76</f>
        <v>-0.22786920901906765</v>
      </c>
      <c r="I76" s="39"/>
      <c r="J76" s="39"/>
      <c r="K76" s="231">
        <v>-2079</v>
      </c>
    </row>
    <row r="77" spans="1:13" x14ac:dyDescent="0.25">
      <c r="A77">
        <v>4000</v>
      </c>
      <c r="B77" s="188">
        <v>42862</v>
      </c>
      <c r="C77" s="10">
        <v>4000</v>
      </c>
      <c r="D77" s="237">
        <v>2.7585999999999999</v>
      </c>
      <c r="E77" s="39">
        <v>1.46</v>
      </c>
      <c r="F77" s="231">
        <f t="shared" ref="F77:F79" si="35">C77*(E77-D77)</f>
        <v>-5194.3999999999996</v>
      </c>
      <c r="G77" s="39">
        <f t="shared" ref="G77:G79" si="36">D77*C77</f>
        <v>11034.4</v>
      </c>
      <c r="H77" s="227">
        <f t="shared" ref="H77:H79" si="37">(E77-D77)/D77</f>
        <v>-0.47074603059522946</v>
      </c>
      <c r="I77" s="39"/>
      <c r="J77" s="39"/>
      <c r="K77" s="231">
        <v>-4549</v>
      </c>
    </row>
    <row r="78" spans="1:13" x14ac:dyDescent="0.25">
      <c r="B78" s="188">
        <v>42879</v>
      </c>
      <c r="C78" s="10">
        <v>4000</v>
      </c>
      <c r="D78" s="237">
        <v>2.6636000000000002</v>
      </c>
      <c r="E78" s="39"/>
      <c r="F78" s="231"/>
      <c r="G78" s="39">
        <f t="shared" si="36"/>
        <v>10654.400000000001</v>
      </c>
      <c r="H78" s="227"/>
      <c r="I78" s="39"/>
      <c r="J78" s="39"/>
      <c r="K78" s="231"/>
    </row>
    <row r="79" spans="1:13" x14ac:dyDescent="0.25">
      <c r="A79">
        <v>4000</v>
      </c>
      <c r="B79" s="188">
        <v>42917</v>
      </c>
      <c r="C79" s="10">
        <v>4000</v>
      </c>
      <c r="D79" s="237">
        <v>2.6240000000000001</v>
      </c>
      <c r="E79" s="39">
        <v>1.1599999999999999</v>
      </c>
      <c r="F79" s="231">
        <f t="shared" si="35"/>
        <v>-5856.0000000000009</v>
      </c>
      <c r="G79" s="39">
        <f t="shared" si="36"/>
        <v>10496</v>
      </c>
      <c r="H79" s="227">
        <f t="shared" si="37"/>
        <v>-0.55792682926829273</v>
      </c>
      <c r="I79" s="39"/>
      <c r="J79" s="39"/>
      <c r="K79" s="231">
        <v>-5420</v>
      </c>
    </row>
    <row r="80" spans="1:13" x14ac:dyDescent="0.25">
      <c r="B80" s="188"/>
      <c r="C80" s="10"/>
      <c r="D80" s="237"/>
      <c r="E80" s="39"/>
      <c r="F80" s="231"/>
      <c r="G80" s="39"/>
      <c r="H80" s="227"/>
      <c r="I80" s="39"/>
      <c r="J80" s="39"/>
      <c r="K80" s="231"/>
    </row>
    <row r="81" spans="1:11" x14ac:dyDescent="0.25">
      <c r="A81">
        <v>166</v>
      </c>
      <c r="B81" s="188">
        <v>42942</v>
      </c>
      <c r="C81" s="10">
        <v>166</v>
      </c>
      <c r="D81" s="237">
        <v>53.826999999999998</v>
      </c>
      <c r="E81" s="39">
        <v>15.75</v>
      </c>
      <c r="F81" s="231">
        <f t="shared" ref="F81" si="38">C81*(E81-D81)</f>
        <v>-6320.7819999999992</v>
      </c>
      <c r="G81" s="39">
        <f t="shared" ref="G81" si="39">D81*C81</f>
        <v>8935.2819999999992</v>
      </c>
      <c r="H81" s="227">
        <f t="shared" ref="H81" si="40">(E81-D81)/D81</f>
        <v>-0.70739591654745759</v>
      </c>
      <c r="I81" s="39"/>
      <c r="J81" s="39"/>
      <c r="K81" s="231">
        <v>-5885</v>
      </c>
    </row>
    <row r="82" spans="1:11" x14ac:dyDescent="0.25">
      <c r="A82">
        <v>166</v>
      </c>
      <c r="B82" s="188">
        <v>42962</v>
      </c>
      <c r="C82" s="10">
        <v>266</v>
      </c>
      <c r="D82" s="237">
        <v>38.979999999999997</v>
      </c>
      <c r="E82" s="39">
        <v>14.34</v>
      </c>
      <c r="F82" s="231">
        <f t="shared" ref="F82" si="41">C82*(E82-D82)</f>
        <v>-6554.2399999999989</v>
      </c>
      <c r="G82" s="39">
        <f t="shared" ref="G82" si="42">D82*C82</f>
        <v>10368.679999999998</v>
      </c>
      <c r="H82" s="227">
        <f t="shared" ref="H82" si="43">(E82-D82)/D82</f>
        <v>-0.63211903540277059</v>
      </c>
      <c r="I82" s="39"/>
      <c r="J82" s="39"/>
      <c r="K82" s="231">
        <v>-6120</v>
      </c>
    </row>
    <row r="83" spans="1:11" x14ac:dyDescent="0.25">
      <c r="B83" s="188">
        <v>42983</v>
      </c>
      <c r="C83" s="10">
        <v>266</v>
      </c>
      <c r="D83" s="237">
        <v>38.979999999999997</v>
      </c>
      <c r="E83" s="39">
        <v>13.77</v>
      </c>
      <c r="F83" s="231">
        <f t="shared" ref="F83:F87" si="44">C83*(E83-D83)</f>
        <v>-6705.86</v>
      </c>
      <c r="G83" s="39">
        <f t="shared" ref="G83:G87" si="45">D83*C83</f>
        <v>10368.679999999998</v>
      </c>
      <c r="H83" s="227">
        <f t="shared" ref="H83:H87" si="46">(E83-D83)/D83</f>
        <v>-0.64674191893278599</v>
      </c>
      <c r="I83" s="39"/>
      <c r="J83" s="39"/>
      <c r="K83" s="231">
        <v>-6271</v>
      </c>
    </row>
    <row r="84" spans="1:11" x14ac:dyDescent="0.25">
      <c r="B84" s="188">
        <v>42999</v>
      </c>
      <c r="C84" s="10">
        <v>266</v>
      </c>
      <c r="D84" s="237">
        <v>38.979999999999997</v>
      </c>
      <c r="E84" s="39">
        <v>11.69</v>
      </c>
      <c r="F84" s="231">
        <f t="shared" si="44"/>
        <v>-7259.1399999999994</v>
      </c>
      <c r="G84" s="39">
        <f t="shared" si="45"/>
        <v>10368.679999999998</v>
      </c>
      <c r="H84" s="227">
        <f t="shared" si="46"/>
        <v>-0.70010261672652641</v>
      </c>
      <c r="I84" s="39"/>
      <c r="J84" s="39"/>
      <c r="K84" s="231">
        <v>-6825</v>
      </c>
    </row>
    <row r="85" spans="1:11" x14ac:dyDescent="0.25">
      <c r="A85">
        <v>266</v>
      </c>
      <c r="B85" s="188">
        <v>43010</v>
      </c>
      <c r="C85" s="10">
        <v>266</v>
      </c>
      <c r="D85" s="237">
        <v>38.380000000000003</v>
      </c>
      <c r="E85" s="39">
        <v>12.17</v>
      </c>
      <c r="F85" s="231">
        <f t="shared" si="44"/>
        <v>-6971.8600000000006</v>
      </c>
      <c r="G85" s="39">
        <f t="shared" si="45"/>
        <v>10209.08</v>
      </c>
      <c r="H85" s="227">
        <f t="shared" si="46"/>
        <v>-0.6829077644606566</v>
      </c>
      <c r="I85" s="39"/>
      <c r="J85" s="39"/>
      <c r="K85" s="231">
        <v>-6538</v>
      </c>
    </row>
    <row r="86" spans="1:11" x14ac:dyDescent="0.25">
      <c r="A86">
        <v>266</v>
      </c>
      <c r="B86" s="188">
        <v>43040</v>
      </c>
      <c r="C86" s="10">
        <v>366</v>
      </c>
      <c r="D86" s="237">
        <v>30.376300000000001</v>
      </c>
      <c r="E86" s="39">
        <v>8.86</v>
      </c>
      <c r="F86" s="231">
        <f t="shared" si="44"/>
        <v>-7874.9657999999999</v>
      </c>
      <c r="G86" s="39">
        <f t="shared" si="45"/>
        <v>11117.7258</v>
      </c>
      <c r="H86" s="227">
        <f t="shared" si="46"/>
        <v>-0.7083252404012339</v>
      </c>
      <c r="I86" s="39"/>
      <c r="J86" s="39"/>
      <c r="K86" s="231">
        <v>-7440</v>
      </c>
    </row>
    <row r="87" spans="1:11" x14ac:dyDescent="0.25">
      <c r="B87" s="188">
        <v>43044</v>
      </c>
      <c r="C87" s="10">
        <v>366</v>
      </c>
      <c r="D87" s="237">
        <v>30.376000000000001</v>
      </c>
      <c r="E87" s="39">
        <v>7.41</v>
      </c>
      <c r="F87" s="231">
        <f t="shared" si="44"/>
        <v>-8405.5560000000005</v>
      </c>
      <c r="G87" s="39">
        <f t="shared" si="45"/>
        <v>11117.616</v>
      </c>
      <c r="H87" s="227">
        <f t="shared" si="46"/>
        <v>-0.75605741374769553</v>
      </c>
      <c r="I87" s="39"/>
      <c r="J87" s="39"/>
      <c r="K87" s="231">
        <v>-7971</v>
      </c>
    </row>
    <row r="88" spans="1:11" x14ac:dyDescent="0.25">
      <c r="A88">
        <v>166</v>
      </c>
      <c r="B88" s="188">
        <v>43048</v>
      </c>
      <c r="C88" s="10">
        <v>266</v>
      </c>
      <c r="D88" s="237">
        <v>38.799999999999997</v>
      </c>
      <c r="E88" s="39">
        <v>7.96</v>
      </c>
      <c r="F88" s="231">
        <f t="shared" ref="F88" si="47">C88*(E88-D88)</f>
        <v>-8203.4399999999987</v>
      </c>
      <c r="G88" s="39">
        <f t="shared" ref="G88" si="48">D88*C88</f>
        <v>10320.799999999999</v>
      </c>
      <c r="H88" s="227">
        <f t="shared" ref="H88" si="49">(E88-D88)/D88</f>
        <v>-0.79484536082474222</v>
      </c>
      <c r="I88" s="39"/>
      <c r="J88" s="39"/>
      <c r="K88" s="231">
        <v>-7769</v>
      </c>
    </row>
    <row r="89" spans="1:11" x14ac:dyDescent="0.25">
      <c r="B89" s="188"/>
      <c r="C89" s="10">
        <v>0</v>
      </c>
      <c r="D89" s="237"/>
      <c r="E89" s="39"/>
      <c r="F89" s="231"/>
      <c r="G89" s="39"/>
      <c r="H89" s="227"/>
      <c r="I89" s="39"/>
      <c r="J89" s="39"/>
      <c r="K89" s="231">
        <v>-7897.18</v>
      </c>
    </row>
    <row r="90" spans="1:11" x14ac:dyDescent="0.25">
      <c r="B90" s="188"/>
      <c r="C90" s="10"/>
      <c r="D90" s="237"/>
      <c r="E90" s="39"/>
      <c r="F90" s="231"/>
      <c r="G90" s="39"/>
      <c r="H90" s="227"/>
      <c r="I90" s="39"/>
      <c r="J90" s="39"/>
      <c r="K90" s="231"/>
    </row>
    <row r="91" spans="1:11" x14ac:dyDescent="0.25">
      <c r="B91" s="188"/>
      <c r="C91" s="10"/>
      <c r="D91" s="237"/>
      <c r="E91" s="39"/>
      <c r="F91" s="231"/>
      <c r="G91" s="39"/>
      <c r="H91" s="227"/>
      <c r="I91" s="39"/>
      <c r="J91" s="39"/>
      <c r="K91" s="231"/>
    </row>
    <row r="92" spans="1:11" x14ac:dyDescent="0.25">
      <c r="B92" s="188"/>
      <c r="C92" s="10"/>
      <c r="D92" s="237"/>
      <c r="E92" s="39"/>
      <c r="F92" s="231"/>
      <c r="G92" s="39"/>
      <c r="H92" s="227"/>
      <c r="I92" s="39"/>
      <c r="J92" s="39"/>
      <c r="K92" s="231"/>
    </row>
    <row r="93" spans="1:11" x14ac:dyDescent="0.25">
      <c r="B93" s="188"/>
      <c r="C93" s="10"/>
      <c r="D93" s="237"/>
      <c r="E93" s="39"/>
      <c r="F93" s="231"/>
      <c r="G93" s="39"/>
      <c r="H93" s="227"/>
      <c r="I93" s="39"/>
      <c r="J93" s="39"/>
      <c r="K93" s="231"/>
    </row>
    <row r="94" spans="1:11" x14ac:dyDescent="0.25">
      <c r="B94" s="188"/>
      <c r="C94" s="10"/>
      <c r="D94" s="237"/>
      <c r="E94" s="39"/>
      <c r="F94" s="231"/>
      <c r="G94" s="39"/>
      <c r="H94" s="227"/>
      <c r="I94" s="39"/>
      <c r="J94" s="39"/>
      <c r="K94" s="231"/>
    </row>
    <row r="95" spans="1:11" x14ac:dyDescent="0.25">
      <c r="B95" s="188"/>
      <c r="C95" s="10"/>
      <c r="D95" s="237"/>
      <c r="E95" s="39"/>
      <c r="F95" s="231"/>
      <c r="G95" s="39"/>
      <c r="H95" s="227"/>
      <c r="I95" s="39"/>
      <c r="J95" s="39"/>
      <c r="K95" s="231"/>
    </row>
    <row r="96" spans="1:11" x14ac:dyDescent="0.25">
      <c r="B96" s="188"/>
      <c r="C96" s="10"/>
      <c r="D96" s="237"/>
      <c r="E96" s="39"/>
      <c r="F96" s="231"/>
      <c r="G96" s="39"/>
      <c r="H96" s="227"/>
      <c r="I96" s="39"/>
      <c r="J96" s="39"/>
      <c r="K96" s="231"/>
    </row>
    <row r="97" spans="1:13" x14ac:dyDescent="0.25">
      <c r="B97" s="188"/>
      <c r="C97" s="10"/>
      <c r="D97" s="237"/>
      <c r="E97" s="39"/>
      <c r="F97" s="231"/>
      <c r="G97" s="39"/>
      <c r="H97" s="227"/>
      <c r="I97" s="39"/>
      <c r="J97" s="39"/>
      <c r="K97" s="231"/>
    </row>
    <row r="98" spans="1:13" x14ac:dyDescent="0.25">
      <c r="B98" s="188"/>
      <c r="C98" s="10"/>
      <c r="D98" s="237"/>
      <c r="E98" s="39"/>
      <c r="F98" s="231"/>
      <c r="G98" s="39"/>
      <c r="H98" s="227"/>
      <c r="I98" s="39"/>
      <c r="J98" s="39"/>
      <c r="K98" s="231"/>
    </row>
    <row r="99" spans="1:13" x14ac:dyDescent="0.25">
      <c r="B99" s="188"/>
      <c r="C99" s="10"/>
      <c r="D99" s="237"/>
      <c r="E99" s="39"/>
      <c r="F99" s="231"/>
      <c r="G99" s="39"/>
      <c r="H99" s="227"/>
      <c r="I99" s="39"/>
      <c r="J99" s="39"/>
      <c r="K99" s="231"/>
    </row>
    <row r="102" spans="1:13" x14ac:dyDescent="0.25">
      <c r="L102" t="s">
        <v>209</v>
      </c>
      <c r="M102" s="2">
        <f>K120+M120-F120</f>
        <v>434.93000000000029</v>
      </c>
    </row>
    <row r="103" spans="1:13" x14ac:dyDescent="0.25">
      <c r="A103" s="377" t="s">
        <v>1</v>
      </c>
      <c r="B103" s="377" t="s">
        <v>2</v>
      </c>
      <c r="C103" s="377" t="s">
        <v>4</v>
      </c>
      <c r="D103" s="379" t="s">
        <v>5</v>
      </c>
      <c r="E103" s="379" t="s">
        <v>94</v>
      </c>
      <c r="F103" s="379" t="s">
        <v>60</v>
      </c>
      <c r="G103" s="377" t="s">
        <v>3</v>
      </c>
      <c r="H103" s="377" t="s">
        <v>6</v>
      </c>
      <c r="I103" s="379" t="s">
        <v>7</v>
      </c>
      <c r="J103" s="379" t="s">
        <v>95</v>
      </c>
      <c r="K103" s="379" t="s">
        <v>61</v>
      </c>
      <c r="L103" s="377" t="s">
        <v>37</v>
      </c>
      <c r="M103" s="377" t="s">
        <v>38</v>
      </c>
    </row>
    <row r="104" spans="1:13" x14ac:dyDescent="0.25">
      <c r="A104" s="380" t="s">
        <v>9</v>
      </c>
      <c r="B104" s="370">
        <v>42356</v>
      </c>
      <c r="C104" s="371">
        <v>250</v>
      </c>
      <c r="D104" s="372">
        <v>4.45</v>
      </c>
      <c r="E104" s="372">
        <v>0</v>
      </c>
      <c r="F104" s="372">
        <f>C104*D104+E104</f>
        <v>1112.5</v>
      </c>
      <c r="G104" s="370">
        <v>42398</v>
      </c>
      <c r="H104" s="375">
        <v>250</v>
      </c>
      <c r="I104" s="372">
        <v>4.5199999999999996</v>
      </c>
      <c r="J104" s="372">
        <v>0.02</v>
      </c>
      <c r="K104" s="372">
        <f>H104*I104-J104</f>
        <v>1129.98</v>
      </c>
      <c r="L104" s="371"/>
      <c r="M104" s="371"/>
    </row>
    <row r="105" spans="1:13" x14ac:dyDescent="0.25">
      <c r="A105" s="381"/>
      <c r="B105" s="370">
        <v>42382</v>
      </c>
      <c r="C105" s="371">
        <v>250</v>
      </c>
      <c r="D105" s="372">
        <v>4.25</v>
      </c>
      <c r="E105" s="372">
        <v>0</v>
      </c>
      <c r="F105" s="372">
        <f>C105*D105+E105</f>
        <v>1062.5</v>
      </c>
      <c r="G105" s="370">
        <v>42418</v>
      </c>
      <c r="H105" s="375">
        <v>250</v>
      </c>
      <c r="I105" s="372">
        <v>4.45</v>
      </c>
      <c r="J105" s="372">
        <v>0.02</v>
      </c>
      <c r="K105" s="372">
        <f>H105*I105-J105</f>
        <v>1112.48</v>
      </c>
      <c r="L105" s="371"/>
      <c r="M105" s="371"/>
    </row>
    <row r="106" spans="1:13" x14ac:dyDescent="0.25">
      <c r="A106" s="371"/>
      <c r="B106" s="370">
        <v>42402</v>
      </c>
      <c r="C106" s="371">
        <v>250</v>
      </c>
      <c r="D106" s="372">
        <v>4.3600000000000003</v>
      </c>
      <c r="E106" s="372">
        <v>0</v>
      </c>
      <c r="F106" s="372">
        <f>C106*D106+E106</f>
        <v>1090</v>
      </c>
      <c r="G106" s="370">
        <v>42436</v>
      </c>
      <c r="H106" s="375">
        <v>250</v>
      </c>
      <c r="I106" s="372">
        <v>5.83</v>
      </c>
      <c r="J106" s="372">
        <v>0.03</v>
      </c>
      <c r="K106" s="372">
        <f>H106*I106-J106</f>
        <v>1457.47</v>
      </c>
      <c r="L106" s="371"/>
      <c r="M106" s="371"/>
    </row>
    <row r="107" spans="1:13" x14ac:dyDescent="0.25">
      <c r="A107" s="371"/>
      <c r="B107" s="370"/>
      <c r="C107" s="371"/>
      <c r="D107" s="372"/>
      <c r="E107" s="372"/>
      <c r="F107" s="372"/>
      <c r="G107" s="371"/>
      <c r="H107" s="375"/>
      <c r="I107" s="372"/>
      <c r="J107" s="372"/>
      <c r="K107" s="372"/>
      <c r="L107" s="371"/>
      <c r="M107" s="371"/>
    </row>
    <row r="108" spans="1:13" x14ac:dyDescent="0.25">
      <c r="A108" s="371"/>
      <c r="B108" s="371"/>
      <c r="C108" s="371"/>
      <c r="D108" s="372"/>
      <c r="E108" s="372"/>
      <c r="F108" s="372"/>
      <c r="G108" s="371"/>
      <c r="H108" s="375"/>
      <c r="I108" s="372"/>
      <c r="J108" s="372"/>
      <c r="K108" s="372"/>
      <c r="L108" s="371"/>
      <c r="M108" s="371"/>
    </row>
    <row r="109" spans="1:13" x14ac:dyDescent="0.25">
      <c r="A109" s="371"/>
      <c r="B109" s="371"/>
      <c r="C109" s="371"/>
      <c r="D109" s="372"/>
      <c r="E109" s="372"/>
      <c r="F109" s="372"/>
      <c r="G109" s="371"/>
      <c r="H109" s="375"/>
      <c r="I109" s="372"/>
      <c r="J109" s="372"/>
      <c r="K109" s="372"/>
      <c r="L109" s="371"/>
      <c r="M109" s="371"/>
    </row>
    <row r="110" spans="1:13" x14ac:dyDescent="0.25">
      <c r="A110" s="371"/>
      <c r="B110" s="371"/>
      <c r="C110" s="371"/>
      <c r="D110" s="372"/>
      <c r="E110" s="372"/>
      <c r="F110" s="372"/>
      <c r="G110" s="371"/>
      <c r="H110" s="375"/>
      <c r="I110" s="372"/>
      <c r="J110" s="372"/>
      <c r="K110" s="372"/>
      <c r="L110" s="371"/>
      <c r="M110" s="371"/>
    </row>
    <row r="111" spans="1:13" x14ac:dyDescent="0.25">
      <c r="A111" s="371"/>
      <c r="B111" s="371"/>
      <c r="C111" s="371"/>
      <c r="D111" s="372"/>
      <c r="E111" s="372"/>
      <c r="F111" s="372"/>
      <c r="G111" s="371"/>
      <c r="H111" s="375"/>
      <c r="I111" s="372"/>
      <c r="J111" s="372"/>
      <c r="K111" s="372"/>
      <c r="L111" s="371"/>
      <c r="M111" s="371"/>
    </row>
    <row r="112" spans="1:13" x14ac:dyDescent="0.25">
      <c r="A112" s="371"/>
      <c r="B112" s="371"/>
      <c r="C112" s="371"/>
      <c r="D112" s="372"/>
      <c r="E112" s="372"/>
      <c r="F112" s="372"/>
      <c r="G112" s="371"/>
      <c r="H112" s="371"/>
      <c r="I112" s="372"/>
      <c r="J112" s="372"/>
      <c r="K112" s="372"/>
      <c r="L112" s="371"/>
      <c r="M112" s="371"/>
    </row>
    <row r="113" spans="1:13" x14ac:dyDescent="0.25">
      <c r="A113" s="371"/>
      <c r="B113" s="371"/>
      <c r="C113" s="371"/>
      <c r="D113" s="372"/>
      <c r="E113" s="372"/>
      <c r="F113" s="372"/>
      <c r="G113" s="371"/>
      <c r="H113" s="371"/>
      <c r="I113" s="372"/>
      <c r="J113" s="372"/>
      <c r="K113" s="372"/>
      <c r="L113" s="371"/>
      <c r="M113" s="371"/>
    </row>
    <row r="114" spans="1:13" x14ac:dyDescent="0.25">
      <c r="A114" s="371"/>
      <c r="B114" s="371"/>
      <c r="C114" s="371"/>
      <c r="D114" s="372"/>
      <c r="E114" s="372"/>
      <c r="F114" s="372"/>
      <c r="G114" s="371"/>
      <c r="H114" s="371"/>
      <c r="I114" s="372"/>
      <c r="J114" s="372"/>
      <c r="K114" s="372"/>
      <c r="L114" s="371"/>
      <c r="M114" s="371"/>
    </row>
    <row r="115" spans="1:13" x14ac:dyDescent="0.25">
      <c r="A115" s="371"/>
      <c r="B115" s="371"/>
      <c r="C115" s="371"/>
      <c r="D115" s="372"/>
      <c r="E115" s="372"/>
      <c r="F115" s="372"/>
      <c r="G115" s="371"/>
      <c r="H115" s="371"/>
      <c r="I115" s="372"/>
      <c r="J115" s="372"/>
      <c r="K115" s="372"/>
      <c r="L115" s="371"/>
      <c r="M115" s="371"/>
    </row>
    <row r="116" spans="1:13" x14ac:dyDescent="0.25">
      <c r="A116" s="371"/>
      <c r="B116" s="371"/>
      <c r="C116" s="371"/>
      <c r="D116" s="372"/>
      <c r="E116" s="372"/>
      <c r="F116" s="372"/>
      <c r="G116" s="371"/>
      <c r="H116" s="371"/>
      <c r="I116" s="372"/>
      <c r="J116" s="372"/>
      <c r="K116" s="372"/>
      <c r="L116" s="371"/>
      <c r="M116" s="371"/>
    </row>
    <row r="117" spans="1:13" x14ac:dyDescent="0.25">
      <c r="A117" s="371"/>
      <c r="B117" s="371"/>
      <c r="C117" s="371"/>
      <c r="D117" s="372"/>
      <c r="E117" s="372"/>
      <c r="F117" s="372"/>
      <c r="G117" s="371"/>
      <c r="H117" s="371"/>
      <c r="I117" s="372"/>
      <c r="J117" s="372"/>
      <c r="K117" s="372"/>
      <c r="L117" s="371"/>
      <c r="M117" s="371"/>
    </row>
    <row r="118" spans="1:13" x14ac:dyDescent="0.25">
      <c r="A118" s="371"/>
      <c r="B118" s="371"/>
      <c r="C118" s="371"/>
      <c r="D118" s="372"/>
      <c r="E118" s="372"/>
      <c r="F118" s="372"/>
      <c r="G118" s="371"/>
      <c r="H118" s="371"/>
      <c r="I118" s="372"/>
      <c r="J118" s="372"/>
      <c r="K118" s="372"/>
      <c r="L118" s="371"/>
      <c r="M118" s="371"/>
    </row>
    <row r="119" spans="1:13" x14ac:dyDescent="0.25">
      <c r="A119" s="371"/>
      <c r="B119" s="371"/>
      <c r="C119" s="371"/>
      <c r="D119" s="372"/>
      <c r="E119" s="372"/>
      <c r="F119" s="372"/>
      <c r="G119" s="371"/>
      <c r="H119" s="375"/>
      <c r="I119" s="372"/>
      <c r="J119" s="372"/>
      <c r="K119" s="372"/>
      <c r="L119" s="371"/>
      <c r="M119" s="371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98" t="s">
        <v>113</v>
      </c>
      <c r="C123" s="498" t="s">
        <v>146</v>
      </c>
      <c r="D123" s="499" t="s">
        <v>145</v>
      </c>
      <c r="E123" s="500" t="s">
        <v>147</v>
      </c>
      <c r="F123" s="501" t="s">
        <v>65</v>
      </c>
      <c r="G123" s="502" t="s">
        <v>151</v>
      </c>
      <c r="H123" s="501" t="s">
        <v>88</v>
      </c>
      <c r="I123" s="502" t="s">
        <v>154</v>
      </c>
    </row>
    <row r="124" spans="1:13" x14ac:dyDescent="0.25">
      <c r="B124" s="370">
        <v>42353</v>
      </c>
      <c r="C124" s="371">
        <v>250</v>
      </c>
      <c r="D124" s="503">
        <v>4.45</v>
      </c>
      <c r="E124" s="372">
        <v>4.45</v>
      </c>
      <c r="F124" s="372">
        <f>C124*(E124-D124)</f>
        <v>0</v>
      </c>
      <c r="G124" s="372">
        <f>D124*C124</f>
        <v>1112.5</v>
      </c>
      <c r="H124" s="374">
        <f>(E124-D124)/D124</f>
        <v>0</v>
      </c>
      <c r="I124" s="372"/>
    </row>
    <row r="125" spans="1:13" x14ac:dyDescent="0.25">
      <c r="B125" s="370">
        <v>42356</v>
      </c>
      <c r="C125" s="371">
        <v>250</v>
      </c>
      <c r="D125" s="503">
        <v>4.45</v>
      </c>
      <c r="E125" s="372">
        <v>4.79</v>
      </c>
      <c r="F125" s="372">
        <f>C125*(E125-D125)</f>
        <v>84.999999999999972</v>
      </c>
      <c r="G125" s="372">
        <f>D125*C125</f>
        <v>1112.5</v>
      </c>
      <c r="H125" s="374">
        <f>(E125-D125)/D125</f>
        <v>7.6404494382022431E-2</v>
      </c>
      <c r="I125" s="372"/>
    </row>
    <row r="126" spans="1:13" x14ac:dyDescent="0.25">
      <c r="B126" s="370">
        <v>42382</v>
      </c>
      <c r="C126" s="371">
        <v>500</v>
      </c>
      <c r="D126" s="503">
        <v>4.3499999999999996</v>
      </c>
      <c r="E126" s="372">
        <v>4.17</v>
      </c>
      <c r="F126" s="372">
        <f t="shared" ref="F126:F134" si="50">C126*(E126-D126)</f>
        <v>-89.999999999999858</v>
      </c>
      <c r="G126" s="372">
        <f t="shared" ref="G126:G134" si="51">D126*C126</f>
        <v>2175</v>
      </c>
      <c r="H126" s="374">
        <f t="shared" ref="H126:H134" si="52">(E126-D126)/D126</f>
        <v>-4.1379310344827523E-2</v>
      </c>
      <c r="I126" s="372"/>
    </row>
    <row r="127" spans="1:13" x14ac:dyDescent="0.25">
      <c r="B127" s="370">
        <v>42398</v>
      </c>
      <c r="C127" s="371">
        <v>250</v>
      </c>
      <c r="D127" s="503">
        <v>4.18</v>
      </c>
      <c r="E127" s="372">
        <v>4.5199999999999996</v>
      </c>
      <c r="F127" s="372">
        <f t="shared" si="50"/>
        <v>84.999999999999972</v>
      </c>
      <c r="G127" s="372">
        <f t="shared" si="51"/>
        <v>1045</v>
      </c>
      <c r="H127" s="374">
        <f t="shared" si="52"/>
        <v>8.1339712918660254E-2</v>
      </c>
      <c r="I127" s="372"/>
    </row>
    <row r="128" spans="1:13" x14ac:dyDescent="0.25">
      <c r="B128" s="370">
        <v>42402</v>
      </c>
      <c r="C128" s="371">
        <v>500</v>
      </c>
      <c r="D128" s="503">
        <v>4.2699999999999996</v>
      </c>
      <c r="E128" s="372">
        <v>4.3499999999999996</v>
      </c>
      <c r="F128" s="372">
        <f t="shared" si="50"/>
        <v>40.000000000000036</v>
      </c>
      <c r="G128" s="372">
        <f t="shared" si="51"/>
        <v>2135</v>
      </c>
      <c r="H128" s="374">
        <f t="shared" si="52"/>
        <v>1.8735362997658097E-2</v>
      </c>
      <c r="I128" s="372"/>
    </row>
    <row r="129" spans="2:9" x14ac:dyDescent="0.25">
      <c r="B129" s="370">
        <v>42403</v>
      </c>
      <c r="C129" s="371">
        <v>500</v>
      </c>
      <c r="D129" s="503">
        <v>4.2699999999999996</v>
      </c>
      <c r="E129" s="372">
        <v>4.5999999999999996</v>
      </c>
      <c r="F129" s="372">
        <f t="shared" si="50"/>
        <v>165.00000000000003</v>
      </c>
      <c r="G129" s="372">
        <f t="shared" si="51"/>
        <v>2135</v>
      </c>
      <c r="H129" s="374">
        <f t="shared" si="52"/>
        <v>7.7283372365339609E-2</v>
      </c>
      <c r="I129" s="372"/>
    </row>
    <row r="130" spans="2:9" x14ac:dyDescent="0.25">
      <c r="B130" s="370">
        <v>42418</v>
      </c>
      <c r="C130" s="371">
        <v>250</v>
      </c>
      <c r="D130" s="503">
        <v>4.09</v>
      </c>
      <c r="E130" s="372">
        <v>4.25</v>
      </c>
      <c r="F130" s="372">
        <f t="shared" si="50"/>
        <v>40.000000000000036</v>
      </c>
      <c r="G130" s="372">
        <f t="shared" si="51"/>
        <v>1022.5</v>
      </c>
      <c r="H130" s="374">
        <f t="shared" si="52"/>
        <v>3.911980440097803E-2</v>
      </c>
      <c r="I130" s="372"/>
    </row>
    <row r="131" spans="2:9" x14ac:dyDescent="0.25">
      <c r="B131" s="370">
        <v>42421</v>
      </c>
      <c r="C131" s="371">
        <v>250</v>
      </c>
      <c r="D131" s="503">
        <v>4.09</v>
      </c>
      <c r="E131" s="372">
        <v>4.4400000000000004</v>
      </c>
      <c r="F131" s="372">
        <f t="shared" si="50"/>
        <v>87.500000000000128</v>
      </c>
      <c r="G131" s="372">
        <f t="shared" si="51"/>
        <v>1022.5</v>
      </c>
      <c r="H131" s="374">
        <f t="shared" si="52"/>
        <v>8.5574572127139495E-2</v>
      </c>
      <c r="I131" s="372"/>
    </row>
    <row r="132" spans="2:9" x14ac:dyDescent="0.25">
      <c r="B132" s="370">
        <v>42424</v>
      </c>
      <c r="C132" s="371">
        <v>250</v>
      </c>
      <c r="D132" s="503">
        <v>4.09</v>
      </c>
      <c r="E132" s="372">
        <v>5.3</v>
      </c>
      <c r="F132" s="372">
        <f t="shared" si="50"/>
        <v>302.5</v>
      </c>
      <c r="G132" s="372">
        <f t="shared" si="51"/>
        <v>1022.5</v>
      </c>
      <c r="H132" s="374">
        <f t="shared" si="52"/>
        <v>0.29584352078239606</v>
      </c>
      <c r="I132" s="372"/>
    </row>
    <row r="133" spans="2:9" x14ac:dyDescent="0.25">
      <c r="B133" s="370">
        <v>42430</v>
      </c>
      <c r="C133" s="371">
        <v>250</v>
      </c>
      <c r="D133" s="503">
        <v>4.09</v>
      </c>
      <c r="E133" s="372">
        <v>5.47</v>
      </c>
      <c r="F133" s="454">
        <f t="shared" si="50"/>
        <v>345</v>
      </c>
      <c r="G133" s="372">
        <f t="shared" si="51"/>
        <v>1022.5</v>
      </c>
      <c r="H133" s="374">
        <f t="shared" si="52"/>
        <v>0.33740831295843521</v>
      </c>
      <c r="I133" s="372"/>
    </row>
    <row r="134" spans="2:9" x14ac:dyDescent="0.25">
      <c r="B134" s="370">
        <v>42431</v>
      </c>
      <c r="C134" s="371">
        <v>250</v>
      </c>
      <c r="D134" s="503">
        <v>4.09</v>
      </c>
      <c r="E134" s="372">
        <v>5.63</v>
      </c>
      <c r="F134" s="454">
        <f t="shared" si="50"/>
        <v>385</v>
      </c>
      <c r="G134" s="372">
        <f t="shared" si="51"/>
        <v>1022.5</v>
      </c>
      <c r="H134" s="374">
        <f t="shared" si="52"/>
        <v>0.37652811735941322</v>
      </c>
      <c r="I134" s="372"/>
    </row>
    <row r="135" spans="2:9" x14ac:dyDescent="0.25">
      <c r="B135" s="370">
        <v>42436</v>
      </c>
      <c r="C135" s="371">
        <v>0</v>
      </c>
      <c r="D135" s="503"/>
      <c r="E135" s="372">
        <v>5.79</v>
      </c>
      <c r="F135" s="454">
        <v>434.93</v>
      </c>
      <c r="G135" s="372"/>
      <c r="H135" s="374"/>
      <c r="I135" s="37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65" priority="25">
      <formula>F34&gt;0</formula>
    </cfRule>
    <cfRule type="expression" dxfId="164" priority="26">
      <formula>F34&lt;0</formula>
    </cfRule>
  </conditionalFormatting>
  <conditionalFormatting sqref="H124:H131">
    <cfRule type="expression" dxfId="163" priority="23">
      <formula>H124&gt;0</formula>
    </cfRule>
    <cfRule type="expression" dxfId="162" priority="24">
      <formula>H124&lt;0</formula>
    </cfRule>
  </conditionalFormatting>
  <conditionalFormatting sqref="H132">
    <cfRule type="expression" dxfId="161" priority="21">
      <formula>H132&gt;0</formula>
    </cfRule>
    <cfRule type="expression" dxfId="160" priority="22">
      <formula>H132&lt;0</formula>
    </cfRule>
  </conditionalFormatting>
  <conditionalFormatting sqref="Q8">
    <cfRule type="expression" dxfId="159" priority="11">
      <formula>Q8&gt;0</formula>
    </cfRule>
    <cfRule type="expression" dxfId="158" priority="12">
      <formula>Q8&lt;0</formula>
    </cfRule>
  </conditionalFormatting>
  <conditionalFormatting sqref="Q7">
    <cfRule type="expression" dxfId="157" priority="13">
      <formula>Q7&gt;0</formula>
    </cfRule>
    <cfRule type="expression" dxfId="156" priority="14">
      <formula>Q7&lt;0</formula>
    </cfRule>
  </conditionalFormatting>
  <conditionalFormatting sqref="F36:F39">
    <cfRule type="expression" dxfId="155" priority="9">
      <formula>F36&gt;0</formula>
    </cfRule>
    <cfRule type="expression" dxfId="154" priority="10">
      <formula>F36&lt;0</formula>
    </cfRule>
  </conditionalFormatting>
  <conditionalFormatting sqref="H36:H39">
    <cfRule type="expression" dxfId="153" priority="7">
      <formula>H36&gt;0</formula>
    </cfRule>
    <cfRule type="expression" dxfId="152" priority="8">
      <formula>H36&lt;0</formula>
    </cfRule>
  </conditionalFormatting>
  <conditionalFormatting sqref="K65:K99">
    <cfRule type="expression" dxfId="151" priority="5">
      <formula>K65&gt;0</formula>
    </cfRule>
    <cfRule type="expression" dxfId="150" priority="6">
      <formula>K65&lt;0</formula>
    </cfRule>
  </conditionalFormatting>
  <conditionalFormatting sqref="K72">
    <cfRule type="expression" dxfId="149" priority="3">
      <formula>K72&gt;0</formula>
    </cfRule>
    <cfRule type="expression" dxfId="148" priority="4">
      <formula>K72&lt;0</formula>
    </cfRule>
  </conditionalFormatting>
  <conditionalFormatting sqref="M69">
    <cfRule type="expression" dxfId="147" priority="1">
      <formula>M69&gt;0</formula>
    </cfRule>
    <cfRule type="expression" dxfId="146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4">
        <v>43077</v>
      </c>
      <c r="Z1" s="154">
        <v>43084</v>
      </c>
      <c r="AA1" s="154">
        <v>43091</v>
      </c>
      <c r="AB1" s="154">
        <v>43463</v>
      </c>
      <c r="AC1" s="154">
        <v>43105</v>
      </c>
      <c r="AD1" s="154">
        <v>43112</v>
      </c>
      <c r="AE1" s="154">
        <v>43119</v>
      </c>
      <c r="AF1" s="154">
        <v>43126</v>
      </c>
      <c r="AG1" s="812">
        <v>43133</v>
      </c>
    </row>
    <row r="2" spans="1:40" x14ac:dyDescent="0.25">
      <c r="A2" s="6" t="s">
        <v>55</v>
      </c>
      <c r="B2" s="78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/>
      <c r="M2" s="795"/>
      <c r="O2" s="11" t="s">
        <v>57</v>
      </c>
      <c r="Q2">
        <f>C24-H24</f>
        <v>50</v>
      </c>
      <c r="T2" s="1">
        <v>43096</v>
      </c>
      <c r="U2" t="s">
        <v>866</v>
      </c>
      <c r="W2" t="s">
        <v>864</v>
      </c>
      <c r="X2" s="756" t="s">
        <v>848</v>
      </c>
      <c r="Y2" s="782">
        <v>11.5</v>
      </c>
      <c r="Z2" s="782">
        <v>11.5</v>
      </c>
      <c r="AA2" s="2">
        <v>10.6</v>
      </c>
      <c r="AB2" s="2">
        <v>9.5</v>
      </c>
      <c r="AC2" s="782">
        <v>9.83</v>
      </c>
      <c r="AD2">
        <v>11</v>
      </c>
      <c r="AE2" s="755">
        <v>9.98</v>
      </c>
      <c r="AF2" s="755">
        <v>10.199999999999999</v>
      </c>
      <c r="AG2" s="755">
        <v>10.4</v>
      </c>
      <c r="AH2" s="11"/>
      <c r="AI2" s="11"/>
      <c r="AJ2" s="11"/>
      <c r="AK2" s="757"/>
      <c r="AL2" s="757"/>
      <c r="AM2" s="757"/>
      <c r="AN2" s="757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796"/>
      <c r="O3" s="11" t="s">
        <v>58</v>
      </c>
      <c r="Q3" s="225">
        <f>(F24-K24-M24)/Q2</f>
        <v>71.650000000000006</v>
      </c>
      <c r="U3" t="s">
        <v>867</v>
      </c>
      <c r="X3" s="756" t="s">
        <v>849</v>
      </c>
      <c r="Y3" s="782">
        <v>25</v>
      </c>
      <c r="Z3" s="782">
        <v>24.6</v>
      </c>
      <c r="AA3" s="2">
        <v>23.3</v>
      </c>
      <c r="AB3" s="2">
        <v>20.6</v>
      </c>
      <c r="AC3" s="782">
        <v>23.3</v>
      </c>
      <c r="AD3">
        <v>26.3</v>
      </c>
      <c r="AE3" s="755">
        <v>24.8</v>
      </c>
      <c r="AF3" s="755">
        <v>25.5</v>
      </c>
      <c r="AG3" s="755">
        <v>26.5</v>
      </c>
      <c r="AH3" s="757"/>
      <c r="AI3" s="757"/>
      <c r="AJ3" s="757"/>
      <c r="AK3" s="757"/>
      <c r="AL3" s="757"/>
      <c r="AM3" s="755"/>
      <c r="AN3" s="755"/>
    </row>
    <row r="4" spans="1:40" x14ac:dyDescent="0.25">
      <c r="B4" s="72"/>
      <c r="C4" s="4"/>
      <c r="D4" s="3"/>
      <c r="E4" s="3"/>
      <c r="F4" s="3"/>
      <c r="G4" s="72"/>
      <c r="H4" s="180"/>
      <c r="I4" s="3"/>
      <c r="J4" s="3"/>
      <c r="K4" s="3"/>
      <c r="L4" s="72"/>
      <c r="M4" s="3"/>
      <c r="O4" s="11" t="s">
        <v>66</v>
      </c>
      <c r="Q4" s="424">
        <v>79.319999999999993</v>
      </c>
      <c r="R4" s="487">
        <v>1.41E-2</v>
      </c>
      <c r="U4" t="s">
        <v>868</v>
      </c>
      <c r="X4" s="756" t="s">
        <v>850</v>
      </c>
      <c r="Y4" s="782">
        <v>28.5</v>
      </c>
      <c r="Z4" s="782">
        <v>28.8</v>
      </c>
      <c r="AA4" s="2">
        <v>26.9</v>
      </c>
      <c r="AB4" s="2">
        <v>23.9</v>
      </c>
      <c r="AC4" s="782">
        <v>26.6</v>
      </c>
      <c r="AD4">
        <v>30</v>
      </c>
      <c r="AE4" s="755">
        <v>28.5</v>
      </c>
      <c r="AF4" s="755">
        <v>29.3</v>
      </c>
      <c r="AG4" s="755">
        <v>29.9</v>
      </c>
      <c r="AH4" s="787"/>
      <c r="AI4" s="755"/>
      <c r="AK4" s="755"/>
      <c r="AL4" s="755"/>
      <c r="AM4" s="755"/>
      <c r="AN4" s="755"/>
    </row>
    <row r="5" spans="1:40" x14ac:dyDescent="0.25">
      <c r="B5" s="72"/>
      <c r="C5" s="4"/>
      <c r="D5" s="3"/>
      <c r="E5" s="3"/>
      <c r="F5" s="3"/>
      <c r="G5" s="72"/>
      <c r="H5" s="180"/>
      <c r="I5" s="3"/>
      <c r="J5" s="3"/>
      <c r="K5" s="3"/>
      <c r="L5" s="72"/>
      <c r="M5" s="3"/>
      <c r="O5" s="11" t="s">
        <v>67</v>
      </c>
      <c r="Q5" s="3">
        <f>Q4*Q2</f>
        <v>3965.9999999999995</v>
      </c>
      <c r="T5" s="1"/>
      <c r="X5" s="756" t="s">
        <v>851</v>
      </c>
      <c r="Y5" s="782">
        <v>35.200000000000003</v>
      </c>
      <c r="Z5" s="782">
        <v>34.5</v>
      </c>
      <c r="AA5" s="2">
        <v>33.1</v>
      </c>
      <c r="AB5" s="2">
        <v>28.5</v>
      </c>
      <c r="AC5" s="782">
        <v>31.6</v>
      </c>
      <c r="AD5">
        <v>33.799999999999997</v>
      </c>
      <c r="AE5" s="793" t="s">
        <v>875</v>
      </c>
      <c r="AF5" s="755" t="s">
        <v>875</v>
      </c>
      <c r="AG5" s="755" t="s">
        <v>875</v>
      </c>
      <c r="AH5" s="787"/>
      <c r="AI5" s="755"/>
      <c r="AK5" s="755"/>
      <c r="AL5" s="755"/>
      <c r="AM5" s="755"/>
      <c r="AN5" s="755"/>
    </row>
    <row r="6" spans="1:40" x14ac:dyDescent="0.25">
      <c r="B6" s="72"/>
      <c r="C6" s="4"/>
      <c r="D6" s="3"/>
      <c r="E6" s="3"/>
      <c r="F6" s="3"/>
      <c r="G6" s="72"/>
      <c r="H6" s="180"/>
      <c r="I6" s="3"/>
      <c r="J6" s="3"/>
      <c r="K6" s="3"/>
      <c r="L6" s="72"/>
      <c r="M6" s="3"/>
      <c r="O6" s="11" t="s">
        <v>64</v>
      </c>
      <c r="Q6" s="2">
        <f>Q3*Q2</f>
        <v>3582.5000000000005</v>
      </c>
      <c r="T6" s="1">
        <v>43098</v>
      </c>
      <c r="U6" t="s">
        <v>878</v>
      </c>
      <c r="X6" s="756" t="s">
        <v>852</v>
      </c>
      <c r="Y6" s="782">
        <v>56</v>
      </c>
      <c r="Z6" s="782">
        <v>56.1</v>
      </c>
      <c r="AA6" s="2">
        <v>53.9</v>
      </c>
      <c r="AB6" s="2">
        <v>47.4</v>
      </c>
      <c r="AC6" s="782">
        <v>52.9</v>
      </c>
      <c r="AD6">
        <v>59.7</v>
      </c>
      <c r="AE6" s="755">
        <v>55.4</v>
      </c>
      <c r="AF6" s="755">
        <v>57.8</v>
      </c>
      <c r="AG6" s="755">
        <v>59.8</v>
      </c>
      <c r="AH6" s="787"/>
      <c r="AI6" s="755"/>
      <c r="AK6" s="755"/>
      <c r="AL6" s="755"/>
      <c r="AM6" s="755"/>
      <c r="AN6" s="755"/>
    </row>
    <row r="7" spans="1:40" x14ac:dyDescent="0.25">
      <c r="A7" s="622"/>
      <c r="B7" s="788"/>
      <c r="C7" s="4"/>
      <c r="D7" s="3"/>
      <c r="E7" s="3"/>
      <c r="F7" s="3"/>
      <c r="G7" s="72"/>
      <c r="H7" s="180"/>
      <c r="I7" s="3"/>
      <c r="J7" s="3"/>
      <c r="K7" s="3"/>
      <c r="L7" s="72"/>
      <c r="M7" s="3"/>
      <c r="O7" s="11" t="s">
        <v>178</v>
      </c>
      <c r="Q7" s="2">
        <f>Q10+Q8</f>
        <v>1193.6299999999892</v>
      </c>
      <c r="R7">
        <v>50</v>
      </c>
      <c r="X7" s="756" t="s">
        <v>853</v>
      </c>
      <c r="Y7" s="782">
        <v>156.13</v>
      </c>
      <c r="Z7" s="782">
        <v>155.49</v>
      </c>
      <c r="AA7" s="2">
        <v>147.97</v>
      </c>
      <c r="AB7" s="2">
        <v>129.78</v>
      </c>
      <c r="AC7" s="782">
        <v>144.18</v>
      </c>
      <c r="AD7">
        <v>160.76</v>
      </c>
      <c r="AE7" s="755">
        <v>118.63</v>
      </c>
      <c r="AF7" s="755">
        <v>122.86</v>
      </c>
      <c r="AG7" s="755">
        <v>126.61</v>
      </c>
      <c r="AH7" s="787"/>
      <c r="AI7" s="755"/>
      <c r="AN7" s="755"/>
    </row>
    <row r="8" spans="1:40" x14ac:dyDescent="0.25">
      <c r="A8" s="622"/>
      <c r="G8" s="4"/>
      <c r="H8" s="180"/>
      <c r="I8" s="4"/>
      <c r="J8" s="4"/>
      <c r="K8" s="4"/>
      <c r="L8" s="72"/>
      <c r="M8" s="3"/>
      <c r="O8" s="11" t="s">
        <v>180</v>
      </c>
      <c r="P8" s="33"/>
      <c r="Q8" s="2">
        <f>K24+M24-F24+Q2*Q4</f>
        <v>383.49999999999909</v>
      </c>
      <c r="T8" s="1">
        <v>43109</v>
      </c>
      <c r="U8" t="s">
        <v>915</v>
      </c>
      <c r="X8" s="756" t="s">
        <v>865</v>
      </c>
      <c r="Z8" s="753">
        <f>(Z7-Y7)/Y7</f>
        <v>-4.0991481457758683E-3</v>
      </c>
      <c r="AA8" s="753">
        <f>(AA7-Z7)/Z7</f>
        <v>-4.8363238793491609E-2</v>
      </c>
      <c r="AB8" s="753">
        <f>(AB7-AA7)/AA7</f>
        <v>-0.12293032371426639</v>
      </c>
      <c r="AC8" s="753">
        <f>(AC7-AB7)/AB7</f>
        <v>0.1109570041608877</v>
      </c>
      <c r="AD8" s="753">
        <f>(AD7-AC7)/AC7</f>
        <v>0.11499514495769166</v>
      </c>
      <c r="AE8" s="753">
        <f>(AE7-AD7+AD5)/(AD7-AD5)</f>
        <v>-6.5611216131064895E-2</v>
      </c>
      <c r="AF8" s="753">
        <f>(AF7-AE7)/AE7</f>
        <v>3.565708505437077E-2</v>
      </c>
      <c r="AG8" s="753">
        <f>(AG7-AF7)/AF7</f>
        <v>3.052254598730262E-2</v>
      </c>
      <c r="AH8" s="787"/>
      <c r="AI8" s="755"/>
      <c r="AN8" s="755"/>
    </row>
    <row r="9" spans="1:40" x14ac:dyDescent="0.25">
      <c r="A9" s="622"/>
      <c r="B9" s="622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210</v>
      </c>
      <c r="Q9" s="134">
        <f>IF(Q2=0, 0, Q8/Q6)</f>
        <v>0.10704815073272828</v>
      </c>
      <c r="U9" t="s">
        <v>935</v>
      </c>
      <c r="X9" s="756" t="s">
        <v>876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:AF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87"/>
      <c r="AI9" s="755"/>
      <c r="AJ9" s="757"/>
      <c r="AK9" s="757"/>
      <c r="AL9" s="757"/>
      <c r="AM9" s="757"/>
    </row>
    <row r="10" spans="1:40" x14ac:dyDescent="0.25">
      <c r="A10" s="622"/>
      <c r="B10" s="622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M54</f>
        <v>810.1299999999901</v>
      </c>
      <c r="X10" s="756" t="s">
        <v>877</v>
      </c>
      <c r="Z10" s="227">
        <f>(Z9-Y9)/Y9</f>
        <v>-7.9840319361277161E-3</v>
      </c>
      <c r="AA10" s="227">
        <f>(AA9-Z9)/Z9</f>
        <v>-5.5331991951710256E-2</v>
      </c>
      <c r="AB10" s="227">
        <f>(AB9-AA9)/AA9</f>
        <v>-0.1214057507987221</v>
      </c>
      <c r="AC10" s="227">
        <f>(AC9-AB9)/AB9</f>
        <v>0.10703030303030318</v>
      </c>
      <c r="AD10" s="227">
        <f>(AD9-AC9)/AC9</f>
        <v>0.10697470710609855</v>
      </c>
      <c r="AE10" s="227">
        <f>(AE9-(AD9-AD5))/(AD9-AD5)</f>
        <v>-5.9732540861812719E-2</v>
      </c>
      <c r="AF10" s="227">
        <f>(AF9-AE9)/AE9</f>
        <v>2.7180783817951942E-2</v>
      </c>
      <c r="AG10" s="227">
        <f>(AG9-AF9)/AF9</f>
        <v>2.7692307692307648E-2</v>
      </c>
      <c r="AH10" s="11"/>
      <c r="AJ10" s="755"/>
      <c r="AK10" s="755"/>
      <c r="AL10" s="755"/>
      <c r="AM10" s="755"/>
    </row>
    <row r="11" spans="1:40" ht="18" x14ac:dyDescent="0.25">
      <c r="A11" s="622"/>
      <c r="B11" s="622"/>
      <c r="C11" s="4"/>
      <c r="D11" s="3"/>
      <c r="E11" s="3"/>
      <c r="F11" s="3"/>
      <c r="G11" s="72"/>
      <c r="H11" s="180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2.6222894604135152E-2</v>
      </c>
      <c r="R11">
        <f>0.52</f>
        <v>0.52</v>
      </c>
      <c r="T11" s="1">
        <v>43112</v>
      </c>
      <c r="U11" t="s">
        <v>932</v>
      </c>
      <c r="X11" s="756" t="s">
        <v>862</v>
      </c>
      <c r="Y11" s="753">
        <f t="shared" ref="Y11:AD11" si="4">SUM(Y2:Y5)/Y7</f>
        <v>0.64177288157304813</v>
      </c>
      <c r="Z11" s="753">
        <f t="shared" si="4"/>
        <v>0.63926940639269403</v>
      </c>
      <c r="AA11" s="753">
        <f t="shared" si="4"/>
        <v>0.63458809218084755</v>
      </c>
      <c r="AB11" s="753">
        <f t="shared" si="4"/>
        <v>0.63569116967175221</v>
      </c>
      <c r="AC11" s="753">
        <f t="shared" si="4"/>
        <v>0.63344430572894994</v>
      </c>
      <c r="AD11" s="753">
        <f t="shared" si="4"/>
        <v>0.62888778303060466</v>
      </c>
      <c r="AE11" s="753">
        <f>SUM(AE2:AE5)/(AE7-AD5)</f>
        <v>0.74596251326181773</v>
      </c>
      <c r="AF11" s="753">
        <f t="shared" ref="AF11:AG11" si="5">SUM(AF2:AF5)/AF7</f>
        <v>0.52905746377991214</v>
      </c>
      <c r="AG11" s="753">
        <f>SUM(AG2:AG5)/AG7</f>
        <v>0.52760445462443728</v>
      </c>
      <c r="AH11" s="11"/>
      <c r="AI11" s="781"/>
      <c r="AJ11" s="755"/>
      <c r="AK11" s="755"/>
      <c r="AL11" s="755"/>
      <c r="AM11" s="755"/>
    </row>
    <row r="12" spans="1:40" x14ac:dyDescent="0.25">
      <c r="A12" s="622"/>
      <c r="B12" s="622"/>
      <c r="C12" s="4"/>
      <c r="D12" s="3"/>
      <c r="E12" s="3"/>
      <c r="F12" s="3"/>
      <c r="G12" s="72"/>
      <c r="H12" s="180"/>
      <c r="I12" s="3"/>
      <c r="J12" s="3"/>
      <c r="K12" s="3"/>
      <c r="L12" s="4"/>
      <c r="M12" s="4"/>
      <c r="N12" s="5"/>
      <c r="X12" s="46"/>
      <c r="Y12" s="757"/>
      <c r="Z12" s="757"/>
      <c r="AB12" s="756"/>
      <c r="AC12" s="622"/>
      <c r="AD12" s="622"/>
      <c r="AE12" s="755"/>
      <c r="AJ12" s="755"/>
      <c r="AK12" s="755"/>
      <c r="AL12" s="755"/>
      <c r="AM12" s="755"/>
    </row>
    <row r="13" spans="1:40" x14ac:dyDescent="0.25">
      <c r="B13" s="72"/>
      <c r="C13" s="4"/>
      <c r="D13" s="3"/>
      <c r="E13" s="3"/>
      <c r="F13" s="3"/>
      <c r="G13" s="72"/>
      <c r="H13" s="180"/>
      <c r="I13" s="3"/>
      <c r="J13" s="3"/>
      <c r="K13" s="3"/>
      <c r="L13" s="4"/>
      <c r="M13" s="4"/>
      <c r="T13" s="1">
        <v>43114</v>
      </c>
      <c r="U13" t="s">
        <v>936</v>
      </c>
      <c r="W13" t="s">
        <v>863</v>
      </c>
      <c r="X13" s="756" t="s">
        <v>854</v>
      </c>
      <c r="Y13" s="758">
        <v>105.2</v>
      </c>
      <c r="Z13" s="758">
        <v>99.7</v>
      </c>
      <c r="AA13" s="81">
        <v>95.1</v>
      </c>
      <c r="AB13" s="2">
        <v>78.8</v>
      </c>
      <c r="AC13" s="782">
        <v>82.2</v>
      </c>
      <c r="AD13" s="755">
        <v>89.5</v>
      </c>
      <c r="AE13" s="755">
        <v>80.099999999999994</v>
      </c>
      <c r="AF13" s="755">
        <v>83.9</v>
      </c>
      <c r="AG13" s="755">
        <v>84.4</v>
      </c>
      <c r="AJ13" s="755"/>
      <c r="AK13" s="755"/>
      <c r="AL13" s="755"/>
      <c r="AM13" s="755"/>
    </row>
    <row r="14" spans="1:40" x14ac:dyDescent="0.25">
      <c r="B14" s="72"/>
      <c r="C14" s="4"/>
      <c r="D14" s="3"/>
      <c r="E14" s="3"/>
      <c r="F14" s="3"/>
      <c r="G14" s="72"/>
      <c r="H14" s="180"/>
      <c r="I14" s="4"/>
      <c r="J14" s="4"/>
      <c r="K14" s="3"/>
      <c r="L14" s="4"/>
      <c r="M14" s="4"/>
      <c r="U14" t="s">
        <v>934</v>
      </c>
      <c r="X14" s="756" t="s">
        <v>855</v>
      </c>
      <c r="Y14" s="758">
        <v>1.77</v>
      </c>
      <c r="Z14" s="758">
        <v>2.23</v>
      </c>
      <c r="AA14" s="81">
        <v>1.39</v>
      </c>
      <c r="AB14" s="2">
        <v>1.42</v>
      </c>
      <c r="AC14" s="782">
        <v>1.56</v>
      </c>
      <c r="AD14" s="755">
        <v>1.73</v>
      </c>
      <c r="AE14" s="755">
        <v>1.36</v>
      </c>
      <c r="AF14" s="755">
        <v>0.93</v>
      </c>
      <c r="AG14" s="755">
        <v>1.08</v>
      </c>
      <c r="AH14" s="757"/>
      <c r="AJ14" s="755"/>
      <c r="AK14" s="755"/>
      <c r="AL14" s="755"/>
      <c r="AM14" s="755"/>
    </row>
    <row r="15" spans="1:40" x14ac:dyDescent="0.25">
      <c r="B15" s="72"/>
      <c r="C15" s="4"/>
      <c r="D15" s="3"/>
      <c r="E15" s="3"/>
      <c r="F15" s="3"/>
      <c r="G15" s="72"/>
      <c r="H15" s="180"/>
      <c r="I15" s="3"/>
      <c r="J15" s="3"/>
      <c r="K15" s="3"/>
      <c r="L15" s="4"/>
      <c r="M15" s="4"/>
      <c r="U15" t="s">
        <v>933</v>
      </c>
      <c r="X15" s="756" t="s">
        <v>856</v>
      </c>
      <c r="Y15" s="758">
        <v>50.7</v>
      </c>
      <c r="Z15" s="758">
        <v>50.6</v>
      </c>
      <c r="AA15" s="81">
        <v>47</v>
      </c>
      <c r="AB15" s="2">
        <v>39.799999999999997</v>
      </c>
      <c r="AC15" s="782">
        <v>42.3</v>
      </c>
      <c r="AD15" s="755">
        <v>47.2</v>
      </c>
      <c r="AE15" s="755">
        <v>41.6</v>
      </c>
      <c r="AF15" s="755">
        <v>45.9</v>
      </c>
      <c r="AG15" s="755">
        <v>46.6</v>
      </c>
      <c r="AH15" s="755"/>
      <c r="AI15" s="757"/>
      <c r="AJ15" s="755"/>
      <c r="AK15" s="755"/>
      <c r="AL15" s="755"/>
      <c r="AM15" s="755"/>
    </row>
    <row r="16" spans="1:40" x14ac:dyDescent="0.25">
      <c r="B16" s="72"/>
      <c r="C16" s="4"/>
      <c r="D16" s="3"/>
      <c r="E16" s="3"/>
      <c r="F16" s="3"/>
      <c r="G16" s="72"/>
      <c r="H16" s="180"/>
      <c r="I16" s="3"/>
      <c r="J16" s="3"/>
      <c r="K16" s="3"/>
      <c r="L16" s="4"/>
      <c r="M16" s="4"/>
      <c r="X16" s="756" t="s">
        <v>857</v>
      </c>
      <c r="Y16" s="758">
        <v>1.1599999999999999</v>
      </c>
      <c r="Z16" s="758">
        <v>1.06</v>
      </c>
      <c r="AA16" s="81">
        <v>0.98</v>
      </c>
      <c r="AB16" s="2">
        <v>0.88</v>
      </c>
      <c r="AC16" s="782">
        <v>0.75</v>
      </c>
      <c r="AD16" s="755">
        <v>0.83</v>
      </c>
      <c r="AE16" s="755">
        <v>0.54</v>
      </c>
      <c r="AF16" s="755">
        <v>0.61</v>
      </c>
      <c r="AG16" s="755">
        <v>0.68</v>
      </c>
      <c r="AH16" s="755"/>
      <c r="AI16" s="755"/>
    </row>
    <row r="17" spans="1:39" ht="18" x14ac:dyDescent="0.25">
      <c r="B17" s="72"/>
      <c r="C17" s="4"/>
      <c r="D17" s="3"/>
      <c r="E17" s="3"/>
      <c r="F17" s="3"/>
      <c r="G17" s="72"/>
      <c r="H17" s="180"/>
      <c r="I17" s="3"/>
      <c r="J17" s="3"/>
      <c r="K17" s="3"/>
      <c r="L17" s="4"/>
      <c r="M17" s="4"/>
      <c r="T17" s="1">
        <v>43117</v>
      </c>
      <c r="U17" t="s">
        <v>953</v>
      </c>
      <c r="X17" s="756" t="s">
        <v>858</v>
      </c>
      <c r="Y17" s="758">
        <v>1.28</v>
      </c>
      <c r="Z17" s="758">
        <v>1.1499999999999999</v>
      </c>
      <c r="AA17" s="81">
        <v>0.61</v>
      </c>
      <c r="AB17" s="2">
        <v>0.56000000000000005</v>
      </c>
      <c r="AC17" s="782">
        <v>0.76</v>
      </c>
      <c r="AD17" s="755">
        <v>0.75</v>
      </c>
      <c r="AE17" s="755">
        <v>0.45</v>
      </c>
      <c r="AF17" s="755">
        <v>0.27</v>
      </c>
      <c r="AG17" s="755">
        <v>0.56000000000000005</v>
      </c>
      <c r="AH17" s="755"/>
      <c r="AI17" s="755"/>
      <c r="AJ17" s="781"/>
    </row>
    <row r="18" spans="1:39" x14ac:dyDescent="0.25">
      <c r="B18" s="72"/>
      <c r="C18" s="4"/>
      <c r="D18" s="3"/>
      <c r="E18" s="3"/>
      <c r="F18" s="3"/>
      <c r="G18" s="72"/>
      <c r="H18" s="180"/>
      <c r="I18" s="3"/>
      <c r="J18" s="3"/>
      <c r="K18" s="3"/>
      <c r="L18" s="4"/>
      <c r="M18" s="4"/>
      <c r="T18" s="1">
        <v>43123</v>
      </c>
      <c r="U18" t="s">
        <v>970</v>
      </c>
      <c r="X18" s="756" t="s">
        <v>859</v>
      </c>
      <c r="Y18" s="758">
        <v>13.1</v>
      </c>
      <c r="Z18" s="758">
        <v>13.1</v>
      </c>
      <c r="AA18" s="81">
        <v>11.3</v>
      </c>
      <c r="AB18" s="2">
        <v>9.99</v>
      </c>
      <c r="AC18" s="782">
        <v>8.75</v>
      </c>
      <c r="AD18" s="755">
        <v>8.01</v>
      </c>
      <c r="AE18" s="755">
        <v>7.65</v>
      </c>
      <c r="AF18" s="755">
        <v>6.94</v>
      </c>
      <c r="AG18" s="755">
        <v>6.8</v>
      </c>
      <c r="AH18" s="755"/>
      <c r="AI18" s="755"/>
      <c r="AJ18" s="755"/>
      <c r="AK18" s="755"/>
      <c r="AL18" s="755"/>
      <c r="AM18" s="755"/>
    </row>
    <row r="19" spans="1:39" x14ac:dyDescent="0.25">
      <c r="B19" s="72"/>
      <c r="C19" s="4"/>
      <c r="D19" s="3"/>
      <c r="E19" s="3"/>
      <c r="F19" s="3"/>
      <c r="G19" s="72"/>
      <c r="H19" s="180"/>
      <c r="I19" s="3"/>
      <c r="J19" s="3"/>
      <c r="K19" s="3"/>
      <c r="L19" s="4"/>
      <c r="M19" s="4"/>
      <c r="T19" s="159">
        <v>43137</v>
      </c>
      <c r="U19" t="s">
        <v>937</v>
      </c>
      <c r="X19" s="756" t="s">
        <v>860</v>
      </c>
      <c r="Y19" s="758">
        <v>0.03</v>
      </c>
      <c r="Z19" s="758">
        <v>0.05</v>
      </c>
      <c r="AA19" s="81" t="s">
        <v>875</v>
      </c>
      <c r="AB19" s="2" t="s">
        <v>875</v>
      </c>
      <c r="AC19" s="782" t="s">
        <v>875</v>
      </c>
      <c r="AD19" s="755" t="s">
        <v>875</v>
      </c>
      <c r="AE19" s="755" t="s">
        <v>875</v>
      </c>
      <c r="AF19" s="755">
        <v>0.02</v>
      </c>
      <c r="AG19" s="755" t="s">
        <v>875</v>
      </c>
      <c r="AH19" s="755"/>
      <c r="AI19" s="755"/>
      <c r="AJ19" s="755"/>
      <c r="AK19" s="755"/>
      <c r="AL19" s="755"/>
      <c r="AM19" s="755"/>
    </row>
    <row r="20" spans="1:39" x14ac:dyDescent="0.25">
      <c r="B20" s="72"/>
      <c r="C20" s="4"/>
      <c r="D20" s="3"/>
      <c r="E20" s="3"/>
      <c r="F20" s="3"/>
      <c r="G20" s="72"/>
      <c r="H20" s="180"/>
      <c r="I20" s="3"/>
      <c r="J20" s="3"/>
      <c r="K20" s="3"/>
      <c r="L20" s="4"/>
      <c r="M20" s="4"/>
      <c r="X20" s="756" t="s">
        <v>861</v>
      </c>
      <c r="Y20" s="758">
        <v>19.600000000000001</v>
      </c>
      <c r="Z20" s="758">
        <v>19.100000000000001</v>
      </c>
      <c r="AA20" s="81">
        <v>18.100000000000001</v>
      </c>
      <c r="AB20" s="2">
        <v>15.8</v>
      </c>
      <c r="AC20" s="782">
        <v>18.2</v>
      </c>
      <c r="AD20" s="755">
        <v>21</v>
      </c>
      <c r="AE20" s="755">
        <v>19.2</v>
      </c>
      <c r="AF20" s="755">
        <v>23.3</v>
      </c>
      <c r="AG20" s="755">
        <v>24.2</v>
      </c>
      <c r="AH20" s="755"/>
      <c r="AI20" s="755"/>
      <c r="AJ20" s="755"/>
      <c r="AK20" s="755"/>
      <c r="AL20" s="755"/>
      <c r="AM20" s="755"/>
    </row>
    <row r="21" spans="1:39" x14ac:dyDescent="0.25">
      <c r="X21" s="756" t="s">
        <v>853</v>
      </c>
      <c r="Y21" s="758">
        <v>192.89</v>
      </c>
      <c r="Z21" s="758">
        <v>187</v>
      </c>
      <c r="AA21" s="81">
        <v>174.4</v>
      </c>
      <c r="AB21" s="81">
        <v>147.34</v>
      </c>
      <c r="AC21" s="782">
        <v>154.44</v>
      </c>
      <c r="AD21" s="755">
        <v>169.08</v>
      </c>
      <c r="AE21" s="755">
        <v>150.96</v>
      </c>
      <c r="AF21" s="755">
        <v>161.86000000000001</v>
      </c>
      <c r="AG21" s="755">
        <v>164.44</v>
      </c>
      <c r="AH21" s="755"/>
      <c r="AI21" s="755"/>
      <c r="AJ21" s="755"/>
      <c r="AK21" s="755"/>
      <c r="AL21" s="755"/>
      <c r="AM21" s="755"/>
    </row>
    <row r="22" spans="1:39" x14ac:dyDescent="0.25">
      <c r="X22" s="756" t="s">
        <v>865</v>
      </c>
      <c r="Y22" s="81"/>
      <c r="Z22" s="759">
        <f t="shared" ref="Z22:AF22" si="6">(Z21-Y21)/Y21</f>
        <v>-3.0535538389755749E-2</v>
      </c>
      <c r="AA22" s="759">
        <f t="shared" si="6"/>
        <v>-6.7379679144385002E-2</v>
      </c>
      <c r="AB22" s="759">
        <f t="shared" si="6"/>
        <v>-0.1551605504587156</v>
      </c>
      <c r="AC22" s="759">
        <f t="shared" si="6"/>
        <v>4.8187864802497586E-2</v>
      </c>
      <c r="AD22" s="759">
        <f t="shared" si="6"/>
        <v>9.4794094794094896E-2</v>
      </c>
      <c r="AE22" s="759">
        <f t="shared" si="6"/>
        <v>-0.10716820440028391</v>
      </c>
      <c r="AF22" s="759">
        <f t="shared" si="6"/>
        <v>7.2204557498675173E-2</v>
      </c>
      <c r="AG22" s="759">
        <f>(AG21-AE21)/AE21</f>
        <v>8.9295177530471573E-2</v>
      </c>
      <c r="AH22" s="755"/>
      <c r="AI22" s="755"/>
      <c r="AJ22" s="755"/>
      <c r="AK22" s="755"/>
      <c r="AL22" s="755"/>
      <c r="AM22" s="755"/>
    </row>
    <row r="23" spans="1:39" x14ac:dyDescent="0.25">
      <c r="C23" s="4"/>
      <c r="D23" s="3"/>
      <c r="E23" s="3"/>
      <c r="F23" s="3"/>
      <c r="H23" s="70"/>
      <c r="X23" s="756" t="s">
        <v>876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:AF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55"/>
      <c r="AI23" s="755"/>
      <c r="AJ23" s="755"/>
      <c r="AK23" s="755"/>
      <c r="AL23" s="755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0</v>
      </c>
      <c r="X24" s="756" t="s">
        <v>877</v>
      </c>
      <c r="Z24" s="227">
        <f t="shared" ref="Z24:AF24" si="10">(Z23-Y23)/Y23</f>
        <v>-3.259973362085377E-2</v>
      </c>
      <c r="AA24" s="227">
        <f t="shared" si="10"/>
        <v>-5.9267029436832049E-2</v>
      </c>
      <c r="AB24" s="227">
        <f t="shared" si="10"/>
        <v>-0.16356540525472166</v>
      </c>
      <c r="AC24" s="227">
        <f t="shared" si="10"/>
        <v>5.0324945842359657E-2</v>
      </c>
      <c r="AD24" s="227">
        <f t="shared" si="10"/>
        <v>9.8127875614786642E-2</v>
      </c>
      <c r="AE24" s="227">
        <f t="shared" si="10"/>
        <v>-0.11103084591490286</v>
      </c>
      <c r="AF24" s="227">
        <f t="shared" si="10"/>
        <v>6.232732000650102E-2</v>
      </c>
      <c r="AG24" s="227">
        <f>(AG23-AE23)/AE23</f>
        <v>7.3297578417032425E-2</v>
      </c>
      <c r="AI24" s="755"/>
      <c r="AJ24" s="755"/>
      <c r="AK24" s="755"/>
      <c r="AL24" s="755"/>
    </row>
    <row r="25" spans="1:39" ht="15.75" thickBot="1" x14ac:dyDescent="0.3">
      <c r="A25" s="347" t="s">
        <v>194</v>
      </c>
      <c r="B25" s="348"/>
      <c r="C25" s="349">
        <f>SumByColor($A$25,C2:C23)</f>
        <v>0</v>
      </c>
      <c r="D25" s="349"/>
      <c r="E25" s="349"/>
      <c r="F25" s="350">
        <f>SumByColor($A$25,F2:F23)</f>
        <v>0</v>
      </c>
      <c r="G25" s="349"/>
      <c r="H25" s="349">
        <f>SumByColor($A$25,H2:H23)</f>
        <v>0</v>
      </c>
      <c r="I25" s="349"/>
      <c r="J25" s="349"/>
      <c r="K25" s="350">
        <f>SumByColor($A$25,K2:K23)</f>
        <v>0</v>
      </c>
      <c r="L25" s="349"/>
      <c r="M25" s="350">
        <f>SumByColor($A$25,M2:M23)</f>
        <v>0</v>
      </c>
      <c r="X25" s="756" t="s">
        <v>862</v>
      </c>
      <c r="Y25" s="759">
        <f t="shared" ref="Y25:AD25" si="11">Y23/Y21</f>
        <v>0.81740888589351457</v>
      </c>
      <c r="Z25" s="759">
        <f t="shared" si="11"/>
        <v>0.81566844919786097</v>
      </c>
      <c r="AA25" s="759">
        <f t="shared" si="11"/>
        <v>0.82276376146788999</v>
      </c>
      <c r="AB25" s="759">
        <f t="shared" si="11"/>
        <v>0.81457852585855839</v>
      </c>
      <c r="AC25" s="759">
        <f t="shared" si="11"/>
        <v>0.81623931623931623</v>
      </c>
      <c r="AD25" s="759">
        <f t="shared" si="11"/>
        <v>0.81872486396971844</v>
      </c>
      <c r="AE25" s="759">
        <f t="shared" ref="AE25:AF25" si="12">AE23/AE21</f>
        <v>0.81518282988871227</v>
      </c>
      <c r="AF25" s="759">
        <f t="shared" ref="AF25" si="13">AF23/AF21</f>
        <v>0.80767329791177567</v>
      </c>
      <c r="AG25" s="759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6" t="s">
        <v>113</v>
      </c>
      <c r="C29" s="186" t="s">
        <v>146</v>
      </c>
      <c r="D29" s="187" t="s">
        <v>145</v>
      </c>
      <c r="E29" s="189" t="s">
        <v>147</v>
      </c>
      <c r="F29" s="190" t="s">
        <v>65</v>
      </c>
      <c r="G29" s="224" t="s">
        <v>151</v>
      </c>
      <c r="H29" s="190" t="s">
        <v>88</v>
      </c>
      <c r="I29" s="190" t="s">
        <v>154</v>
      </c>
      <c r="J29" s="661" t="s">
        <v>514</v>
      </c>
      <c r="K29" s="661" t="s">
        <v>150</v>
      </c>
    </row>
    <row r="30" spans="1:39" x14ac:dyDescent="0.25">
      <c r="B30" s="188">
        <v>42984</v>
      </c>
      <c r="C30" s="10">
        <v>50</v>
      </c>
      <c r="D30" s="39">
        <v>81.88</v>
      </c>
      <c r="E30" s="39">
        <v>82.66</v>
      </c>
      <c r="F30" s="39">
        <f t="shared" ref="F30:F40" si="14">C30*(E30-D30)</f>
        <v>39.000000000000057</v>
      </c>
      <c r="G30" s="39">
        <f t="shared" ref="G30:G40" si="15">D30*C30</f>
        <v>4094</v>
      </c>
      <c r="H30" s="226">
        <f t="shared" ref="H30:H40" si="16">(E30-D30)/D30</f>
        <v>9.5261358085002579E-3</v>
      </c>
      <c r="I30" s="344"/>
      <c r="J30" s="10"/>
      <c r="K30" s="10"/>
    </row>
    <row r="31" spans="1:39" x14ac:dyDescent="0.25">
      <c r="B31" s="188">
        <v>42988</v>
      </c>
      <c r="C31" s="10">
        <v>50</v>
      </c>
      <c r="D31" s="39">
        <v>81.88</v>
      </c>
      <c r="E31" s="39">
        <v>85.1</v>
      </c>
      <c r="F31" s="39">
        <f t="shared" si="14"/>
        <v>160.99999999999994</v>
      </c>
      <c r="G31" s="39">
        <f t="shared" si="15"/>
        <v>4094</v>
      </c>
      <c r="H31" s="226">
        <f t="shared" si="16"/>
        <v>3.9325842696629199E-2</v>
      </c>
      <c r="I31" s="345"/>
      <c r="J31" s="10"/>
      <c r="K31" s="10"/>
    </row>
    <row r="32" spans="1:39" x14ac:dyDescent="0.25">
      <c r="B32" s="188">
        <v>42992</v>
      </c>
      <c r="C32" s="7">
        <v>100</v>
      </c>
      <c r="D32" s="43">
        <v>81.844999999999999</v>
      </c>
      <c r="E32" s="39">
        <v>82.28</v>
      </c>
      <c r="F32" s="39">
        <f t="shared" si="14"/>
        <v>43.500000000000227</v>
      </c>
      <c r="G32" s="39">
        <f t="shared" si="15"/>
        <v>8184.5</v>
      </c>
      <c r="H32" s="226">
        <f t="shared" si="16"/>
        <v>5.3149245525078168E-3</v>
      </c>
      <c r="I32" s="345"/>
      <c r="J32" s="10"/>
      <c r="K32" s="10"/>
    </row>
    <row r="33" spans="1:22" x14ac:dyDescent="0.25">
      <c r="A33">
        <v>0</v>
      </c>
      <c r="B33" s="188">
        <v>43018</v>
      </c>
      <c r="C33" s="10">
        <v>50</v>
      </c>
      <c r="D33" s="39">
        <v>80.102000000000004</v>
      </c>
      <c r="E33" s="39">
        <v>81.98</v>
      </c>
      <c r="F33" s="39">
        <f t="shared" si="14"/>
        <v>93.9</v>
      </c>
      <c r="G33" s="39">
        <f t="shared" si="15"/>
        <v>4005.1000000000004</v>
      </c>
      <c r="H33" s="226">
        <f t="shared" si="16"/>
        <v>2.3445107487952862E-2</v>
      </c>
      <c r="I33" s="39">
        <v>75.5</v>
      </c>
      <c r="J33" s="10"/>
      <c r="K33" s="39">
        <v>805.57</v>
      </c>
    </row>
    <row r="34" spans="1:22" x14ac:dyDescent="0.25">
      <c r="A34">
        <v>0</v>
      </c>
      <c r="B34" s="188">
        <v>43020</v>
      </c>
      <c r="C34" s="7">
        <v>100</v>
      </c>
      <c r="D34" s="43">
        <v>80.891000000000005</v>
      </c>
      <c r="E34" s="39">
        <v>81.680000000000007</v>
      </c>
      <c r="F34" s="39">
        <f t="shared" si="14"/>
        <v>78.900000000000148</v>
      </c>
      <c r="G34" s="39">
        <f t="shared" si="15"/>
        <v>8089.1</v>
      </c>
      <c r="H34" s="227">
        <f t="shared" si="16"/>
        <v>9.7538663139286382E-3</v>
      </c>
      <c r="I34" s="39">
        <v>80</v>
      </c>
      <c r="J34" s="10"/>
      <c r="K34" s="39">
        <v>757</v>
      </c>
    </row>
    <row r="35" spans="1:22" x14ac:dyDescent="0.25">
      <c r="A35">
        <v>50</v>
      </c>
      <c r="B35" s="188">
        <v>43035</v>
      </c>
      <c r="C35" s="10">
        <v>150</v>
      </c>
      <c r="D35" s="39">
        <v>78.554000000000002</v>
      </c>
      <c r="E35" s="39">
        <v>73.28</v>
      </c>
      <c r="F35" s="39">
        <f t="shared" si="14"/>
        <v>-791.10000000000014</v>
      </c>
      <c r="G35" s="39">
        <f t="shared" si="15"/>
        <v>11783.1</v>
      </c>
      <c r="H35" s="227">
        <f t="shared" si="16"/>
        <v>-6.713852891004915E-2</v>
      </c>
      <c r="I35" s="345"/>
      <c r="J35" s="10"/>
      <c r="K35" s="39">
        <v>-132</v>
      </c>
    </row>
    <row r="36" spans="1:22" x14ac:dyDescent="0.25">
      <c r="B36" s="188">
        <v>43035</v>
      </c>
      <c r="C36" s="7">
        <v>100</v>
      </c>
      <c r="D36" s="43">
        <v>79.691900000000004</v>
      </c>
      <c r="E36" s="39">
        <v>76.28</v>
      </c>
      <c r="F36" s="39">
        <f t="shared" si="14"/>
        <v>-341.19000000000028</v>
      </c>
      <c r="G36" s="39">
        <f t="shared" si="15"/>
        <v>7969.1900000000005</v>
      </c>
      <c r="H36" s="227">
        <f t="shared" si="16"/>
        <v>-4.2813636015705522E-2</v>
      </c>
      <c r="I36" s="197" t="s">
        <v>810</v>
      </c>
      <c r="J36" s="10"/>
      <c r="K36" s="39">
        <v>317</v>
      </c>
    </row>
    <row r="37" spans="1:22" x14ac:dyDescent="0.25">
      <c r="B37" s="188">
        <v>43044</v>
      </c>
      <c r="C37" s="10">
        <v>100</v>
      </c>
      <c r="D37" s="39">
        <v>79.69</v>
      </c>
      <c r="E37" s="39">
        <v>73.459999999999994</v>
      </c>
      <c r="F37" s="39">
        <f t="shared" si="14"/>
        <v>-623.00000000000045</v>
      </c>
      <c r="G37" s="39">
        <f t="shared" si="15"/>
        <v>7969</v>
      </c>
      <c r="H37" s="227">
        <f t="shared" si="16"/>
        <v>-7.8177939515623088E-2</v>
      </c>
      <c r="I37" s="345"/>
      <c r="J37" s="10">
        <v>23.71</v>
      </c>
      <c r="K37" s="39">
        <v>35</v>
      </c>
    </row>
    <row r="38" spans="1:22" x14ac:dyDescent="0.25">
      <c r="A38" s="8">
        <v>50</v>
      </c>
      <c r="B38" s="188">
        <v>43053</v>
      </c>
      <c r="C38" s="10">
        <v>150</v>
      </c>
      <c r="D38" s="39">
        <v>76.989999999999995</v>
      </c>
      <c r="E38" s="39">
        <v>71.150000000000006</v>
      </c>
      <c r="F38" s="39">
        <f t="shared" si="14"/>
        <v>-875.99999999999841</v>
      </c>
      <c r="G38" s="39">
        <f t="shared" si="15"/>
        <v>11548.5</v>
      </c>
      <c r="H38" s="227">
        <f t="shared" si="16"/>
        <v>-7.5854007013897773E-2</v>
      </c>
      <c r="I38" s="39">
        <v>76.5</v>
      </c>
      <c r="J38" s="10"/>
      <c r="K38" s="39">
        <v>-217</v>
      </c>
      <c r="L38" s="8"/>
      <c r="M38" s="8"/>
    </row>
    <row r="39" spans="1:22" x14ac:dyDescent="0.25">
      <c r="A39" s="8">
        <v>50</v>
      </c>
      <c r="B39" s="188">
        <v>43068</v>
      </c>
      <c r="C39" s="7">
        <v>100</v>
      </c>
      <c r="D39" s="43">
        <v>78.392799999999994</v>
      </c>
      <c r="E39" s="39">
        <v>73.67</v>
      </c>
      <c r="F39" s="39">
        <f t="shared" si="14"/>
        <v>-472.27999999999923</v>
      </c>
      <c r="G39" s="39">
        <f t="shared" si="15"/>
        <v>7839.28</v>
      </c>
      <c r="H39" s="227">
        <f t="shared" si="16"/>
        <v>-6.0245328652631269E-2</v>
      </c>
      <c r="I39" s="197" t="s">
        <v>821</v>
      </c>
      <c r="J39" s="10"/>
      <c r="K39" s="39">
        <v>186</v>
      </c>
      <c r="L39" s="8"/>
      <c r="M39" s="8"/>
    </row>
    <row r="40" spans="1:22" x14ac:dyDescent="0.25">
      <c r="A40" s="8">
        <v>100</v>
      </c>
      <c r="B40" s="188">
        <v>43090</v>
      </c>
      <c r="C40" s="10">
        <v>150</v>
      </c>
      <c r="D40" s="39">
        <v>76.688500000000005</v>
      </c>
      <c r="E40" s="39">
        <v>73.02</v>
      </c>
      <c r="F40" s="39">
        <f t="shared" si="14"/>
        <v>-550.27500000000134</v>
      </c>
      <c r="G40" s="39">
        <f t="shared" si="15"/>
        <v>11503.275000000001</v>
      </c>
      <c r="H40" s="227">
        <f t="shared" si="16"/>
        <v>-4.7836377031758456E-2</v>
      </c>
      <c r="I40" s="345"/>
      <c r="J40" s="10">
        <v>43.77</v>
      </c>
      <c r="K40" s="39">
        <v>108</v>
      </c>
    </row>
    <row r="41" spans="1:22" x14ac:dyDescent="0.25">
      <c r="A41" s="8">
        <v>100</v>
      </c>
      <c r="B41" s="188">
        <v>43098</v>
      </c>
      <c r="C41" s="10">
        <v>150</v>
      </c>
      <c r="D41" s="39">
        <v>76.341999999999999</v>
      </c>
      <c r="E41" s="39">
        <v>72</v>
      </c>
      <c r="F41" s="39">
        <f t="shared" ref="F41" si="17">C41*(E41-D41)</f>
        <v>-651.29999999999984</v>
      </c>
      <c r="G41" s="39">
        <f t="shared" ref="G41" si="18">D41*C41</f>
        <v>11451.3</v>
      </c>
      <c r="H41" s="227">
        <f t="shared" ref="H41" si="19">(E41-D41)/D41</f>
        <v>-5.6875638573786365E-2</v>
      </c>
      <c r="I41" s="345" t="s">
        <v>879</v>
      </c>
      <c r="J41" s="10"/>
      <c r="K41" s="39">
        <v>7</v>
      </c>
    </row>
    <row r="42" spans="1:22" ht="20.25" thickBot="1" x14ac:dyDescent="0.35">
      <c r="A42" s="8">
        <v>100</v>
      </c>
      <c r="B42" s="188">
        <v>43098</v>
      </c>
      <c r="C42" s="10">
        <v>200</v>
      </c>
      <c r="D42" s="39">
        <v>75.17</v>
      </c>
      <c r="E42" s="39">
        <v>71.64</v>
      </c>
      <c r="F42" s="39">
        <f t="shared" ref="F42:F45" si="20">C42*(E42-D42)</f>
        <v>-706.00000000000023</v>
      </c>
      <c r="G42" s="39">
        <f t="shared" ref="G42:G45" si="21">D42*C42</f>
        <v>15034</v>
      </c>
      <c r="H42" s="227">
        <f t="shared" ref="H42:H45" si="22">(E42-D42)/D42</f>
        <v>-4.6960223493414943E-2</v>
      </c>
      <c r="I42" s="197">
        <v>75</v>
      </c>
      <c r="J42" s="10"/>
      <c r="K42" s="39">
        <v>-47</v>
      </c>
      <c r="O42" s="804" t="s">
        <v>78</v>
      </c>
      <c r="P42" s="804"/>
      <c r="T42" s="89" t="s">
        <v>112</v>
      </c>
    </row>
    <row r="43" spans="1:22" ht="15.75" thickTop="1" x14ac:dyDescent="0.25">
      <c r="A43" s="8">
        <v>50</v>
      </c>
      <c r="B43" s="188">
        <v>43102</v>
      </c>
      <c r="C43" s="10">
        <v>150</v>
      </c>
      <c r="D43" s="39">
        <v>75.698999999999998</v>
      </c>
      <c r="E43" s="39">
        <v>74.099999999999994</v>
      </c>
      <c r="F43" s="39">
        <f t="shared" si="20"/>
        <v>-239.85000000000056</v>
      </c>
      <c r="G43" s="39">
        <f t="shared" si="21"/>
        <v>11354.85</v>
      </c>
      <c r="H43" s="226">
        <f t="shared" si="22"/>
        <v>-2.1123132405976353E-2</v>
      </c>
      <c r="I43" s="763" t="s">
        <v>884</v>
      </c>
      <c r="J43" s="10"/>
      <c r="K43" s="39">
        <v>419</v>
      </c>
      <c r="O43" s="81">
        <v>1.1000000000000001</v>
      </c>
      <c r="P43" s="81">
        <f>O43*$Q$4</f>
        <v>87.251999999999995</v>
      </c>
      <c r="Q43" s="2"/>
      <c r="T43" s="125" t="s">
        <v>97</v>
      </c>
      <c r="U43" s="96">
        <v>66.98</v>
      </c>
      <c r="V43" s="760"/>
    </row>
    <row r="44" spans="1:22" x14ac:dyDescent="0.25">
      <c r="A44" s="8">
        <v>0</v>
      </c>
      <c r="B44" s="188">
        <v>43105</v>
      </c>
      <c r="C44" s="7">
        <v>100</v>
      </c>
      <c r="D44" s="43">
        <v>76.293999999999997</v>
      </c>
      <c r="E44" s="39">
        <v>74.52</v>
      </c>
      <c r="F44" s="39">
        <f t="shared" si="20"/>
        <v>-177.40000000000009</v>
      </c>
      <c r="G44" s="39">
        <f t="shared" si="21"/>
        <v>7629.4</v>
      </c>
      <c r="H44" s="227">
        <f t="shared" si="22"/>
        <v>-2.3252156132854498E-2</v>
      </c>
      <c r="I44" s="763" t="s">
        <v>912</v>
      </c>
      <c r="J44" s="10"/>
      <c r="K44" s="39">
        <v>481</v>
      </c>
      <c r="O44" s="81">
        <v>1.0900000000000001</v>
      </c>
      <c r="P44" s="81">
        <f t="shared" ref="P44:P63" si="23">O44*$Q$4</f>
        <v>86.458799999999997</v>
      </c>
      <c r="Q44" s="2"/>
      <c r="T44" s="91" t="s">
        <v>98</v>
      </c>
      <c r="U44" s="86">
        <v>67.05</v>
      </c>
      <c r="V44" s="86"/>
    </row>
    <row r="45" spans="1:22" x14ac:dyDescent="0.25">
      <c r="A45" s="8">
        <v>0</v>
      </c>
      <c r="B45" s="188">
        <v>43109</v>
      </c>
      <c r="C45" s="10">
        <v>100</v>
      </c>
      <c r="D45" s="39">
        <v>76.290000000000006</v>
      </c>
      <c r="E45" s="39">
        <v>78.099999999999994</v>
      </c>
      <c r="F45" s="39">
        <f t="shared" si="20"/>
        <v>180.99999999999881</v>
      </c>
      <c r="G45" s="39">
        <f t="shared" si="21"/>
        <v>7629.0000000000009</v>
      </c>
      <c r="H45" s="227">
        <f t="shared" si="22"/>
        <v>2.3725258880587075E-2</v>
      </c>
      <c r="I45" s="345"/>
      <c r="J45" s="10"/>
      <c r="K45" s="39">
        <v>839</v>
      </c>
      <c r="O45" s="81">
        <v>1.08</v>
      </c>
      <c r="P45" s="81">
        <f t="shared" si="23"/>
        <v>85.665599999999998</v>
      </c>
      <c r="Q45" s="2"/>
      <c r="T45" s="91" t="s">
        <v>99</v>
      </c>
      <c r="U45" s="86" t="s">
        <v>691</v>
      </c>
      <c r="V45" s="86"/>
    </row>
    <row r="46" spans="1:22" x14ac:dyDescent="0.25">
      <c r="A46" s="8">
        <v>0</v>
      </c>
      <c r="B46" s="188">
        <v>43110</v>
      </c>
      <c r="C46" s="10">
        <v>100</v>
      </c>
      <c r="D46" s="39">
        <v>76.290000000000006</v>
      </c>
      <c r="E46" s="39">
        <v>78.709999999999994</v>
      </c>
      <c r="F46" s="39">
        <f t="shared" ref="F46" si="24">C46*(E46-D46)</f>
        <v>241.99999999999875</v>
      </c>
      <c r="G46" s="39">
        <f t="shared" ref="G46" si="25">D46*C46</f>
        <v>7629.0000000000009</v>
      </c>
      <c r="H46" s="227">
        <f t="shared" ref="H46" si="26">(E46-D46)/D46</f>
        <v>3.1721064359680001E-2</v>
      </c>
      <c r="I46" s="197">
        <v>76</v>
      </c>
      <c r="J46" s="197">
        <v>67.739999999999995</v>
      </c>
      <c r="K46" s="39">
        <v>900.23</v>
      </c>
      <c r="O46" s="81">
        <v>1.07</v>
      </c>
      <c r="P46" s="81">
        <f t="shared" si="23"/>
        <v>84.872399999999999</v>
      </c>
      <c r="Q46" s="2"/>
      <c r="T46" s="91" t="s">
        <v>100</v>
      </c>
      <c r="U46" s="86" t="s">
        <v>692</v>
      </c>
      <c r="V46" s="86"/>
    </row>
    <row r="47" spans="1:22" x14ac:dyDescent="0.25">
      <c r="A47" s="8">
        <v>0</v>
      </c>
      <c r="B47" s="188">
        <v>43117</v>
      </c>
      <c r="C47" s="10">
        <v>100</v>
      </c>
      <c r="D47" s="39">
        <v>76.290000000000006</v>
      </c>
      <c r="E47" s="39">
        <v>81.739999999999995</v>
      </c>
      <c r="F47" s="39">
        <f t="shared" ref="F47:F48" si="27">C47*(E47-D47)</f>
        <v>544.99999999999886</v>
      </c>
      <c r="G47" s="39">
        <f t="shared" ref="G47:G48" si="28">D47*C47</f>
        <v>7629.0000000000009</v>
      </c>
      <c r="H47" s="227">
        <f t="shared" ref="H47:H48" si="29">(E47-D47)/D47</f>
        <v>7.143793419845311E-2</v>
      </c>
      <c r="I47" s="197">
        <v>76</v>
      </c>
      <c r="J47" s="197"/>
      <c r="K47" s="39">
        <v>1203</v>
      </c>
      <c r="O47" s="81">
        <v>1.06</v>
      </c>
      <c r="P47" s="81">
        <f t="shared" si="23"/>
        <v>84.0792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>
        <v>0</v>
      </c>
      <c r="B48" s="188">
        <v>43126</v>
      </c>
      <c r="C48" s="10">
        <v>50</v>
      </c>
      <c r="D48" s="39">
        <v>68.62</v>
      </c>
      <c r="E48" s="39">
        <v>83.97</v>
      </c>
      <c r="F48" s="39">
        <f t="shared" si="27"/>
        <v>767.49999999999977</v>
      </c>
      <c r="G48" s="39">
        <f t="shared" si="28"/>
        <v>3431</v>
      </c>
      <c r="H48" s="227">
        <f t="shared" si="29"/>
        <v>0.22369571553482939</v>
      </c>
      <c r="I48" s="345"/>
      <c r="J48" s="10"/>
      <c r="K48" s="39">
        <v>1426</v>
      </c>
      <c r="O48" s="81">
        <v>1.05</v>
      </c>
      <c r="P48" s="81">
        <f t="shared" si="23"/>
        <v>83.286000000000001</v>
      </c>
      <c r="Q48" s="2"/>
      <c r="T48" s="91" t="s">
        <v>102</v>
      </c>
      <c r="U48" s="86">
        <v>0.98934999999999995</v>
      </c>
      <c r="V48" s="86"/>
    </row>
    <row r="49" spans="1:22" x14ac:dyDescent="0.25">
      <c r="B49" s="10"/>
      <c r="C49" s="10"/>
      <c r="D49" s="39"/>
      <c r="E49" s="39"/>
      <c r="F49" s="39"/>
      <c r="G49" s="39"/>
      <c r="H49" s="227"/>
      <c r="I49" s="345"/>
      <c r="J49" s="10"/>
      <c r="K49" s="39"/>
      <c r="O49" s="81">
        <v>1.04</v>
      </c>
      <c r="P49" s="81">
        <f t="shared" si="23"/>
        <v>82.492800000000003</v>
      </c>
      <c r="Q49" s="2"/>
      <c r="T49" s="91" t="s">
        <v>103</v>
      </c>
      <c r="U49" s="86" t="s">
        <v>578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7"/>
      <c r="I50" s="345"/>
      <c r="J50" s="10"/>
      <c r="K50" s="10"/>
      <c r="O50" s="81">
        <v>1.03</v>
      </c>
      <c r="P50" s="81">
        <f t="shared" si="23"/>
        <v>81.69959999999999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7"/>
      <c r="I51" s="345"/>
      <c r="J51" s="10"/>
      <c r="K51" s="10"/>
      <c r="O51" s="81">
        <v>1.02</v>
      </c>
      <c r="P51" s="81">
        <f t="shared" si="23"/>
        <v>80.906399999999991</v>
      </c>
      <c r="Q51" s="2"/>
      <c r="T51" s="91" t="s">
        <v>104</v>
      </c>
      <c r="U51" s="86" t="s">
        <v>693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7"/>
      <c r="I52" s="345"/>
      <c r="J52" s="10"/>
      <c r="K52" s="10"/>
      <c r="O52" s="81">
        <v>1.01</v>
      </c>
      <c r="P52" s="81">
        <f t="shared" si="23"/>
        <v>80.113199999999992</v>
      </c>
      <c r="Q52" s="2"/>
      <c r="T52" s="91" t="s">
        <v>105</v>
      </c>
      <c r="U52" s="86" t="s">
        <v>426</v>
      </c>
      <c r="V52" s="86"/>
    </row>
    <row r="53" spans="1:22" x14ac:dyDescent="0.25">
      <c r="O53" s="81">
        <v>1</v>
      </c>
      <c r="P53" s="81">
        <f t="shared" si="23"/>
        <v>79.319999999999993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3"/>
        <v>78.526799999999994</v>
      </c>
      <c r="Q54" s="2"/>
      <c r="T54" s="91" t="s">
        <v>109</v>
      </c>
      <c r="U54" s="88">
        <v>10291100</v>
      </c>
      <c r="V54" s="88"/>
    </row>
    <row r="55" spans="1:22" x14ac:dyDescent="0.25">
      <c r="A55" s="377" t="s">
        <v>1</v>
      </c>
      <c r="B55" s="377" t="s">
        <v>2</v>
      </c>
      <c r="C55" s="377" t="s">
        <v>4</v>
      </c>
      <c r="D55" s="379" t="s">
        <v>5</v>
      </c>
      <c r="E55" s="379" t="s">
        <v>94</v>
      </c>
      <c r="F55" s="379" t="s">
        <v>60</v>
      </c>
      <c r="G55" s="377" t="s">
        <v>3</v>
      </c>
      <c r="H55" s="377" t="s">
        <v>6</v>
      </c>
      <c r="I55" s="377" t="s">
        <v>7</v>
      </c>
      <c r="J55" s="377" t="s">
        <v>95</v>
      </c>
      <c r="K55" s="377" t="s">
        <v>61</v>
      </c>
      <c r="L55" s="377" t="s">
        <v>37</v>
      </c>
      <c r="M55" s="377" t="s">
        <v>38</v>
      </c>
      <c r="O55" s="81">
        <v>0.98</v>
      </c>
      <c r="P55" s="81">
        <f t="shared" si="23"/>
        <v>77.733599999999996</v>
      </c>
      <c r="Q55" s="2"/>
      <c r="T55" s="91" t="s">
        <v>107</v>
      </c>
      <c r="U55" s="86" t="s">
        <v>694</v>
      </c>
      <c r="V55" s="86"/>
    </row>
    <row r="56" spans="1:22" x14ac:dyDescent="0.25">
      <c r="A56" s="380" t="s">
        <v>55</v>
      </c>
      <c r="B56" s="370">
        <v>42214</v>
      </c>
      <c r="C56" s="371">
        <v>10</v>
      </c>
      <c r="D56" s="372">
        <v>113.01</v>
      </c>
      <c r="E56" s="372">
        <v>0</v>
      </c>
      <c r="F56" s="372">
        <f t="shared" ref="F56:F81" si="30">C56*D56 + E56</f>
        <v>1130.1000000000001</v>
      </c>
      <c r="G56" s="370">
        <v>42263</v>
      </c>
      <c r="H56" s="375">
        <v>10</v>
      </c>
      <c r="I56" s="372">
        <v>109.35</v>
      </c>
      <c r="J56" s="372">
        <v>0.02</v>
      </c>
      <c r="K56" s="372">
        <f>I56*H56-J56</f>
        <v>1093.48</v>
      </c>
      <c r="L56" s="370">
        <v>42276</v>
      </c>
      <c r="M56" s="372">
        <v>6.45</v>
      </c>
      <c r="O56" s="81">
        <v>0.97</v>
      </c>
      <c r="P56" s="81">
        <f t="shared" si="23"/>
        <v>76.940399999999997</v>
      </c>
      <c r="T56" s="91" t="s">
        <v>110</v>
      </c>
      <c r="U56" s="86">
        <v>6.69</v>
      </c>
      <c r="V56" s="86"/>
    </row>
    <row r="57" spans="1:22" x14ac:dyDescent="0.25">
      <c r="A57" s="381" t="s">
        <v>71</v>
      </c>
      <c r="B57" s="370">
        <v>42247</v>
      </c>
      <c r="C57" s="371">
        <v>15</v>
      </c>
      <c r="D57" s="372">
        <v>105.85</v>
      </c>
      <c r="E57" s="372">
        <v>0</v>
      </c>
      <c r="F57" s="372">
        <f t="shared" si="30"/>
        <v>1587.75</v>
      </c>
      <c r="G57" s="370">
        <v>42284</v>
      </c>
      <c r="H57" s="375">
        <v>10</v>
      </c>
      <c r="I57" s="372">
        <v>97.5</v>
      </c>
      <c r="J57" s="372">
        <v>0.02</v>
      </c>
      <c r="K57" s="372">
        <f>I57*H57-J57</f>
        <v>974.98</v>
      </c>
      <c r="L57" s="370">
        <v>42369</v>
      </c>
      <c r="M57" s="372">
        <v>10.75</v>
      </c>
      <c r="O57" s="81">
        <v>0.96</v>
      </c>
      <c r="P57" s="81">
        <f t="shared" si="23"/>
        <v>76.147199999999984</v>
      </c>
      <c r="T57" s="91" t="s">
        <v>111</v>
      </c>
      <c r="U57" s="86">
        <v>9.94</v>
      </c>
      <c r="V57" s="86"/>
    </row>
    <row r="58" spans="1:22" x14ac:dyDescent="0.25">
      <c r="A58" s="371"/>
      <c r="B58" s="370">
        <v>42278</v>
      </c>
      <c r="C58" s="371">
        <v>10</v>
      </c>
      <c r="D58" s="372">
        <v>96.7</v>
      </c>
      <c r="E58" s="372">
        <v>0</v>
      </c>
      <c r="F58" s="372">
        <f t="shared" si="30"/>
        <v>967</v>
      </c>
      <c r="G58" s="370">
        <v>42409</v>
      </c>
      <c r="H58" s="375">
        <v>10</v>
      </c>
      <c r="I58" s="372">
        <v>88.05</v>
      </c>
      <c r="J58" s="372">
        <v>0.02</v>
      </c>
      <c r="K58" s="372">
        <f>I58*H58-J58</f>
        <v>880.48</v>
      </c>
      <c r="L58" s="370">
        <v>42460</v>
      </c>
      <c r="M58" s="372">
        <v>30.1</v>
      </c>
      <c r="O58" s="81">
        <v>0.95</v>
      </c>
      <c r="P58" s="81">
        <f t="shared" si="23"/>
        <v>75.353999999999985</v>
      </c>
      <c r="T58" s="91" t="s">
        <v>108</v>
      </c>
      <c r="U58" s="86" t="s">
        <v>579</v>
      </c>
      <c r="V58" s="86"/>
    </row>
    <row r="59" spans="1:22" x14ac:dyDescent="0.25">
      <c r="A59" s="371"/>
      <c r="B59" s="370">
        <v>42284</v>
      </c>
      <c r="C59" s="371">
        <v>10</v>
      </c>
      <c r="D59" s="372">
        <v>94.5</v>
      </c>
      <c r="E59" s="372">
        <v>0</v>
      </c>
      <c r="F59" s="372">
        <f t="shared" si="30"/>
        <v>945</v>
      </c>
      <c r="G59" s="370">
        <v>42447</v>
      </c>
      <c r="H59" s="375">
        <v>20</v>
      </c>
      <c r="I59" s="372">
        <v>90.59</v>
      </c>
      <c r="J59" s="372">
        <v>0.04</v>
      </c>
      <c r="K59" s="372">
        <f>I59*H59-J59</f>
        <v>1811.7600000000002</v>
      </c>
      <c r="L59" s="370">
        <v>42550</v>
      </c>
      <c r="M59" s="372">
        <v>47</v>
      </c>
      <c r="O59" s="81">
        <v>0.94</v>
      </c>
      <c r="P59" s="81">
        <f t="shared" si="23"/>
        <v>74.560799999999986</v>
      </c>
    </row>
    <row r="60" spans="1:22" x14ac:dyDescent="0.25">
      <c r="A60" s="371"/>
      <c r="B60" s="712">
        <v>42376</v>
      </c>
      <c r="C60" s="371">
        <v>25</v>
      </c>
      <c r="D60" s="372">
        <v>96.5</v>
      </c>
      <c r="E60" s="372">
        <v>0</v>
      </c>
      <c r="F60" s="372">
        <f t="shared" si="30"/>
        <v>2412.5</v>
      </c>
      <c r="G60" s="370">
        <v>42478</v>
      </c>
      <c r="H60" s="375">
        <v>25</v>
      </c>
      <c r="I60" s="372">
        <v>99.45</v>
      </c>
      <c r="J60" s="372">
        <v>0.05</v>
      </c>
      <c r="K60" s="372">
        <f>I60*H60-J60</f>
        <v>2486.1999999999998</v>
      </c>
      <c r="L60" s="370">
        <v>42642</v>
      </c>
      <c r="M60" s="372">
        <v>94</v>
      </c>
      <c r="O60" s="81">
        <v>0.93</v>
      </c>
      <c r="P60" s="81">
        <f t="shared" si="23"/>
        <v>73.767600000000002</v>
      </c>
    </row>
    <row r="61" spans="1:22" x14ac:dyDescent="0.25">
      <c r="A61" s="371"/>
      <c r="B61" s="370">
        <v>42402</v>
      </c>
      <c r="C61" s="371">
        <v>10</v>
      </c>
      <c r="D61" s="372">
        <v>82.55</v>
      </c>
      <c r="E61" s="372">
        <v>0</v>
      </c>
      <c r="F61" s="372">
        <f t="shared" si="30"/>
        <v>825.5</v>
      </c>
      <c r="G61" s="371"/>
      <c r="H61" s="371"/>
      <c r="I61" s="371"/>
      <c r="J61" s="371"/>
      <c r="K61" s="371"/>
      <c r="L61" s="370">
        <v>42734</v>
      </c>
      <c r="M61" s="372">
        <v>117.5</v>
      </c>
      <c r="O61" s="81">
        <v>0.92</v>
      </c>
      <c r="P61" s="81">
        <f t="shared" si="23"/>
        <v>72.974400000000003</v>
      </c>
    </row>
    <row r="62" spans="1:22" x14ac:dyDescent="0.25">
      <c r="A62" s="371"/>
      <c r="B62" s="370">
        <v>42426</v>
      </c>
      <c r="C62" s="371">
        <v>20</v>
      </c>
      <c r="D62" s="372">
        <v>88.03</v>
      </c>
      <c r="E62" s="372">
        <v>0</v>
      </c>
      <c r="F62" s="372">
        <f t="shared" si="30"/>
        <v>1760.6</v>
      </c>
      <c r="G62" s="371"/>
      <c r="H62" s="375"/>
      <c r="I62" s="371"/>
      <c r="J62" s="371"/>
      <c r="K62" s="371"/>
      <c r="L62" s="370">
        <v>42824</v>
      </c>
      <c r="M62" s="372">
        <v>130</v>
      </c>
      <c r="O62" s="81">
        <v>0.91</v>
      </c>
      <c r="P62" s="81">
        <f t="shared" si="23"/>
        <v>72.18119999999999</v>
      </c>
    </row>
    <row r="63" spans="1:22" x14ac:dyDescent="0.25">
      <c r="A63" s="393"/>
      <c r="B63" s="370">
        <v>42488</v>
      </c>
      <c r="C63" s="371">
        <v>25</v>
      </c>
      <c r="D63" s="372">
        <v>98.25</v>
      </c>
      <c r="E63" s="372">
        <v>0</v>
      </c>
      <c r="F63" s="372">
        <f t="shared" si="30"/>
        <v>2456.25</v>
      </c>
      <c r="G63" s="371"/>
      <c r="H63" s="371"/>
      <c r="I63" s="371"/>
      <c r="J63" s="371"/>
      <c r="K63" s="371"/>
      <c r="L63" s="370">
        <v>42916</v>
      </c>
      <c r="M63" s="372">
        <v>130</v>
      </c>
      <c r="O63" s="81">
        <v>0.9</v>
      </c>
      <c r="P63" s="81">
        <f t="shared" si="23"/>
        <v>71.387999999999991</v>
      </c>
    </row>
    <row r="64" spans="1:22" x14ac:dyDescent="0.25">
      <c r="A64" s="393" t="s">
        <v>212</v>
      </c>
      <c r="B64" s="370">
        <v>42489</v>
      </c>
      <c r="C64" s="371">
        <v>20</v>
      </c>
      <c r="D64" s="372">
        <v>90.34</v>
      </c>
      <c r="E64" s="372">
        <v>0</v>
      </c>
      <c r="F64" s="372">
        <f t="shared" si="30"/>
        <v>1806.8000000000002</v>
      </c>
      <c r="G64" s="371"/>
      <c r="H64" s="371"/>
      <c r="I64" s="371"/>
      <c r="J64" s="371"/>
      <c r="K64" s="371"/>
      <c r="L64" s="371"/>
      <c r="M64" s="371"/>
    </row>
    <row r="65" spans="1:13" x14ac:dyDescent="0.25">
      <c r="A65" s="393">
        <v>92.64</v>
      </c>
      <c r="B65" s="370">
        <v>42489</v>
      </c>
      <c r="C65" s="371">
        <v>30</v>
      </c>
      <c r="D65" s="372">
        <v>89.5</v>
      </c>
      <c r="E65" s="372">
        <v>0</v>
      </c>
      <c r="F65" s="372">
        <f t="shared" si="30"/>
        <v>2685</v>
      </c>
      <c r="G65" s="370">
        <v>42552</v>
      </c>
      <c r="H65" s="375">
        <v>100</v>
      </c>
      <c r="I65" s="372">
        <v>83.74</v>
      </c>
      <c r="J65" s="372">
        <v>0.18</v>
      </c>
      <c r="K65" s="372">
        <f t="shared" ref="K65:K80" si="31">I65*H65-J65</f>
        <v>8373.82</v>
      </c>
      <c r="L65" s="371"/>
      <c r="M65" s="371"/>
    </row>
    <row r="66" spans="1:13" x14ac:dyDescent="0.25">
      <c r="A66" s="371"/>
      <c r="B66" s="370">
        <v>42545</v>
      </c>
      <c r="C66" s="371">
        <v>100</v>
      </c>
      <c r="D66" s="372">
        <v>80.47</v>
      </c>
      <c r="E66" s="372">
        <v>0</v>
      </c>
      <c r="F66" s="372">
        <f t="shared" si="30"/>
        <v>8047</v>
      </c>
      <c r="G66" s="370">
        <v>42646</v>
      </c>
      <c r="H66" s="375">
        <v>50</v>
      </c>
      <c r="I66" s="372">
        <v>77.7</v>
      </c>
      <c r="J66" s="372">
        <v>0.08</v>
      </c>
      <c r="K66" s="372">
        <f t="shared" si="31"/>
        <v>3884.92</v>
      </c>
      <c r="L66" s="371"/>
      <c r="M66" s="371"/>
    </row>
    <row r="67" spans="1:13" x14ac:dyDescent="0.25">
      <c r="A67" s="371"/>
      <c r="B67" s="370">
        <v>42577</v>
      </c>
      <c r="C67" s="371">
        <v>20</v>
      </c>
      <c r="D67" s="372">
        <v>80.64</v>
      </c>
      <c r="E67" s="372">
        <v>0</v>
      </c>
      <c r="F67" s="372">
        <f t="shared" si="30"/>
        <v>1612.8</v>
      </c>
      <c r="G67" s="370">
        <v>42683</v>
      </c>
      <c r="H67" s="375">
        <v>50</v>
      </c>
      <c r="I67" s="372">
        <v>78.98</v>
      </c>
      <c r="J67" s="372">
        <v>0.09</v>
      </c>
      <c r="K67" s="372">
        <f t="shared" si="31"/>
        <v>3948.91</v>
      </c>
      <c r="L67" s="371"/>
      <c r="M67" s="371"/>
    </row>
    <row r="68" spans="1:13" x14ac:dyDescent="0.25">
      <c r="A68" s="371"/>
      <c r="B68" s="370">
        <v>42580</v>
      </c>
      <c r="C68" s="371">
        <v>30</v>
      </c>
      <c r="D68" s="372">
        <v>79.38</v>
      </c>
      <c r="E68" s="372">
        <v>0</v>
      </c>
      <c r="F68" s="372">
        <f t="shared" si="30"/>
        <v>2381.3999999999996</v>
      </c>
      <c r="G68" s="370">
        <v>42685</v>
      </c>
      <c r="H68" s="375">
        <v>50</v>
      </c>
      <c r="I68" s="371">
        <v>76.45</v>
      </c>
      <c r="J68" s="371">
        <v>0.08</v>
      </c>
      <c r="K68" s="372">
        <f t="shared" si="31"/>
        <v>3822.42</v>
      </c>
      <c r="L68" s="371"/>
      <c r="M68" s="371"/>
    </row>
    <row r="69" spans="1:13" x14ac:dyDescent="0.25">
      <c r="A69" s="371"/>
      <c r="B69" s="370">
        <v>42608</v>
      </c>
      <c r="C69" s="371">
        <v>20</v>
      </c>
      <c r="D69" s="372">
        <v>79.28</v>
      </c>
      <c r="E69" s="372">
        <v>0</v>
      </c>
      <c r="F69" s="372">
        <f t="shared" si="30"/>
        <v>1585.6</v>
      </c>
      <c r="G69" s="370">
        <v>42697</v>
      </c>
      <c r="H69" s="375">
        <v>50</v>
      </c>
      <c r="I69" s="372">
        <v>75.3</v>
      </c>
      <c r="J69" s="372">
        <v>0.08</v>
      </c>
      <c r="K69" s="372">
        <f t="shared" si="31"/>
        <v>3764.92</v>
      </c>
      <c r="L69" s="371"/>
      <c r="M69" s="371"/>
    </row>
    <row r="70" spans="1:13" x14ac:dyDescent="0.25">
      <c r="A70" s="371"/>
      <c r="B70" s="370">
        <v>42611</v>
      </c>
      <c r="C70" s="371">
        <v>30</v>
      </c>
      <c r="D70" s="372">
        <v>77.680000000000007</v>
      </c>
      <c r="E70" s="372">
        <v>0</v>
      </c>
      <c r="F70" s="372">
        <f t="shared" si="30"/>
        <v>2330.4</v>
      </c>
      <c r="G70" s="370">
        <v>42717</v>
      </c>
      <c r="H70" s="375">
        <v>50</v>
      </c>
      <c r="I70" s="372">
        <v>74.78</v>
      </c>
      <c r="J70" s="372">
        <v>0.08</v>
      </c>
      <c r="K70" s="372">
        <f t="shared" si="31"/>
        <v>3738.92</v>
      </c>
      <c r="L70" s="371"/>
      <c r="M70" s="371"/>
    </row>
    <row r="71" spans="1:13" x14ac:dyDescent="0.25">
      <c r="A71" s="371"/>
      <c r="B71" s="370">
        <v>42646</v>
      </c>
      <c r="C71" s="371">
        <v>50</v>
      </c>
      <c r="D71" s="372">
        <v>77.28</v>
      </c>
      <c r="E71" s="372">
        <v>0</v>
      </c>
      <c r="F71" s="372">
        <f t="shared" si="30"/>
        <v>3864</v>
      </c>
      <c r="G71" s="370">
        <v>42717</v>
      </c>
      <c r="H71" s="375">
        <v>50</v>
      </c>
      <c r="I71" s="372">
        <v>75.73</v>
      </c>
      <c r="J71" s="372">
        <v>0.08</v>
      </c>
      <c r="K71" s="372">
        <f t="shared" si="31"/>
        <v>3786.42</v>
      </c>
      <c r="L71" s="371"/>
      <c r="M71" s="371"/>
    </row>
    <row r="72" spans="1:13" x14ac:dyDescent="0.25">
      <c r="A72" s="371"/>
      <c r="B72" s="370">
        <v>42649</v>
      </c>
      <c r="C72" s="371">
        <v>50</v>
      </c>
      <c r="D72" s="372">
        <v>76.38</v>
      </c>
      <c r="E72" s="372">
        <v>0</v>
      </c>
      <c r="F72" s="372">
        <f t="shared" si="30"/>
        <v>3819</v>
      </c>
      <c r="G72" s="370">
        <v>42738</v>
      </c>
      <c r="H72" s="375">
        <v>50</v>
      </c>
      <c r="I72" s="372">
        <v>73.58</v>
      </c>
      <c r="J72" s="372">
        <v>0.08</v>
      </c>
      <c r="K72" s="372">
        <f t="shared" si="31"/>
        <v>3678.92</v>
      </c>
      <c r="L72" s="371"/>
      <c r="M72" s="371"/>
    </row>
    <row r="73" spans="1:13" x14ac:dyDescent="0.25">
      <c r="A73" s="371"/>
      <c r="B73" s="370">
        <v>42685</v>
      </c>
      <c r="C73" s="371">
        <v>50</v>
      </c>
      <c r="D73" s="372">
        <v>75.78</v>
      </c>
      <c r="E73" s="372">
        <v>0</v>
      </c>
      <c r="F73" s="372">
        <f t="shared" si="30"/>
        <v>3789</v>
      </c>
      <c r="G73" s="370">
        <v>42760</v>
      </c>
      <c r="H73" s="375">
        <v>50</v>
      </c>
      <c r="I73" s="372">
        <v>71.78</v>
      </c>
      <c r="J73" s="372">
        <v>0.08</v>
      </c>
      <c r="K73" s="372">
        <f t="shared" si="31"/>
        <v>3588.92</v>
      </c>
      <c r="L73" s="371"/>
      <c r="M73" s="371"/>
    </row>
    <row r="74" spans="1:13" x14ac:dyDescent="0.25">
      <c r="A74" s="371"/>
      <c r="B74" s="370">
        <v>42692</v>
      </c>
      <c r="C74" s="371">
        <v>50</v>
      </c>
      <c r="D74" s="372">
        <v>74.45</v>
      </c>
      <c r="E74" s="372">
        <v>0</v>
      </c>
      <c r="F74" s="372">
        <f t="shared" si="30"/>
        <v>3722.5</v>
      </c>
      <c r="G74" s="370">
        <v>42781</v>
      </c>
      <c r="H74" s="375">
        <v>50</v>
      </c>
      <c r="I74" s="372">
        <v>68.98</v>
      </c>
      <c r="J74" s="372">
        <v>0.08</v>
      </c>
      <c r="K74" s="372">
        <f t="shared" si="31"/>
        <v>3448.92</v>
      </c>
      <c r="L74" s="371"/>
      <c r="M74" s="371"/>
    </row>
    <row r="75" spans="1:13" x14ac:dyDescent="0.25">
      <c r="A75" s="371"/>
      <c r="B75" s="370">
        <v>42705</v>
      </c>
      <c r="C75" s="371">
        <v>50</v>
      </c>
      <c r="D75" s="372">
        <v>73.319999999999993</v>
      </c>
      <c r="E75" s="372">
        <v>0</v>
      </c>
      <c r="F75" s="372">
        <f t="shared" si="30"/>
        <v>3665.9999999999995</v>
      </c>
      <c r="G75" s="370">
        <v>42781</v>
      </c>
      <c r="H75" s="375">
        <v>50</v>
      </c>
      <c r="I75" s="372">
        <v>69.75</v>
      </c>
      <c r="J75" s="372">
        <v>0.08</v>
      </c>
      <c r="K75" s="372">
        <f t="shared" si="31"/>
        <v>3487.42</v>
      </c>
      <c r="L75" s="371"/>
      <c r="M75" s="371"/>
    </row>
    <row r="76" spans="1:13" x14ac:dyDescent="0.25">
      <c r="A76" s="371"/>
      <c r="B76" s="370">
        <v>42717</v>
      </c>
      <c r="C76" s="371">
        <v>50</v>
      </c>
      <c r="D76" s="372">
        <v>75.180000000000007</v>
      </c>
      <c r="E76" s="372">
        <v>0</v>
      </c>
      <c r="F76" s="372">
        <f t="shared" si="30"/>
        <v>3759.0000000000005</v>
      </c>
      <c r="G76" s="370">
        <v>42940</v>
      </c>
      <c r="H76" s="375">
        <v>50</v>
      </c>
      <c r="I76" s="372">
        <v>74.08</v>
      </c>
      <c r="J76" s="372">
        <v>0.09</v>
      </c>
      <c r="K76" s="372">
        <f t="shared" si="31"/>
        <v>3703.91</v>
      </c>
      <c r="L76" s="371"/>
      <c r="M76" s="371"/>
    </row>
    <row r="77" spans="1:13" x14ac:dyDescent="0.25">
      <c r="A77" s="371"/>
      <c r="B77" s="370">
        <v>42733</v>
      </c>
      <c r="C77" s="371">
        <v>50</v>
      </c>
      <c r="D77" s="372">
        <v>72.08</v>
      </c>
      <c r="E77" s="372">
        <v>0</v>
      </c>
      <c r="F77" s="372">
        <f t="shared" si="30"/>
        <v>3604</v>
      </c>
      <c r="G77" s="370">
        <v>42977</v>
      </c>
      <c r="H77" s="375">
        <v>50</v>
      </c>
      <c r="I77" s="372">
        <v>80.08</v>
      </c>
      <c r="J77" s="372">
        <v>0.09</v>
      </c>
      <c r="K77" s="372">
        <f t="shared" si="31"/>
        <v>4003.91</v>
      </c>
      <c r="L77" s="371"/>
      <c r="M77" s="371"/>
    </row>
    <row r="78" spans="1:13" x14ac:dyDescent="0.25">
      <c r="A78" s="371"/>
      <c r="B78" s="370">
        <v>42752</v>
      </c>
      <c r="C78" s="371">
        <v>50</v>
      </c>
      <c r="D78" s="372">
        <v>71.88</v>
      </c>
      <c r="E78" s="372">
        <v>0</v>
      </c>
      <c r="F78" s="372">
        <f t="shared" si="30"/>
        <v>3594</v>
      </c>
      <c r="G78" s="370">
        <v>42977</v>
      </c>
      <c r="H78" s="375">
        <v>50</v>
      </c>
      <c r="I78" s="372">
        <v>81.08</v>
      </c>
      <c r="J78" s="372">
        <v>0.09</v>
      </c>
      <c r="K78" s="372">
        <f t="shared" si="31"/>
        <v>4053.91</v>
      </c>
      <c r="L78" s="371"/>
      <c r="M78" s="371"/>
    </row>
    <row r="79" spans="1:13" x14ac:dyDescent="0.25">
      <c r="A79" s="371"/>
      <c r="B79" s="370">
        <v>42755</v>
      </c>
      <c r="C79" s="371">
        <v>50</v>
      </c>
      <c r="D79" s="372">
        <v>70.78</v>
      </c>
      <c r="E79" s="372">
        <v>0</v>
      </c>
      <c r="F79" s="372">
        <f t="shared" si="30"/>
        <v>3539</v>
      </c>
      <c r="G79" s="370">
        <v>42978</v>
      </c>
      <c r="H79" s="375">
        <v>50</v>
      </c>
      <c r="I79" s="372">
        <v>83.18</v>
      </c>
      <c r="J79" s="372">
        <v>0.1</v>
      </c>
      <c r="K79" s="372">
        <f t="shared" si="31"/>
        <v>4158.8999999999996</v>
      </c>
      <c r="L79" s="371"/>
      <c r="M79" s="371"/>
    </row>
    <row r="80" spans="1:13" x14ac:dyDescent="0.25">
      <c r="A80" s="371"/>
      <c r="B80" s="370">
        <v>42773</v>
      </c>
      <c r="C80" s="371">
        <v>50</v>
      </c>
      <c r="D80" s="372">
        <v>69.48</v>
      </c>
      <c r="E80" s="372">
        <v>0</v>
      </c>
      <c r="F80" s="372">
        <f t="shared" si="30"/>
        <v>3474</v>
      </c>
      <c r="G80" s="370">
        <v>42984</v>
      </c>
      <c r="H80" s="375">
        <v>50</v>
      </c>
      <c r="I80" s="372">
        <v>82.98</v>
      </c>
      <c r="J80" s="372">
        <v>-0.03</v>
      </c>
      <c r="K80" s="372">
        <f t="shared" si="31"/>
        <v>4149.03</v>
      </c>
      <c r="L80" s="371"/>
      <c r="M80" s="371"/>
    </row>
    <row r="81" spans="1:13" x14ac:dyDescent="0.25">
      <c r="A81" s="371"/>
      <c r="B81" s="370">
        <v>42774</v>
      </c>
      <c r="C81" s="371">
        <v>50</v>
      </c>
      <c r="D81" s="372">
        <v>67.680000000000007</v>
      </c>
      <c r="E81" s="372">
        <v>0</v>
      </c>
      <c r="F81" s="372">
        <f t="shared" si="30"/>
        <v>3384.0000000000005</v>
      </c>
      <c r="G81" s="371"/>
      <c r="H81" s="371"/>
      <c r="I81" s="371"/>
      <c r="J81" s="371"/>
      <c r="K81" s="371"/>
      <c r="L81" s="371"/>
      <c r="M81" s="371"/>
    </row>
    <row r="82" spans="1:13" x14ac:dyDescent="0.25">
      <c r="A82" s="371"/>
      <c r="B82" s="370"/>
      <c r="C82" s="371"/>
      <c r="D82" s="372"/>
      <c r="E82" s="372"/>
      <c r="F82" s="372"/>
      <c r="G82" s="371"/>
      <c r="H82" s="371"/>
      <c r="I82" s="371"/>
      <c r="J82" s="371"/>
      <c r="K82" s="371"/>
      <c r="L82" s="371"/>
      <c r="M82" s="371"/>
    </row>
    <row r="83" spans="1:13" x14ac:dyDescent="0.25">
      <c r="A83" s="371"/>
      <c r="B83" s="445">
        <v>42983</v>
      </c>
      <c r="C83" s="7">
        <v>50</v>
      </c>
      <c r="D83" s="43">
        <v>81.88</v>
      </c>
      <c r="E83" s="43">
        <v>0</v>
      </c>
      <c r="F83" s="43">
        <f t="shared" ref="F83:F88" si="32">C83*D83 + E83</f>
        <v>4094</v>
      </c>
      <c r="G83" s="445">
        <v>43018</v>
      </c>
      <c r="H83" s="7">
        <v>50</v>
      </c>
      <c r="I83" s="43">
        <v>83.07</v>
      </c>
      <c r="J83" s="43">
        <v>0.1</v>
      </c>
      <c r="K83" s="43">
        <f t="shared" ref="K83:K88" si="33">H83*I83   - J83</f>
        <v>4153.3999999999996</v>
      </c>
      <c r="L83" s="72">
        <v>43006</v>
      </c>
      <c r="M83" s="762">
        <v>26</v>
      </c>
    </row>
    <row r="84" spans="1:13" x14ac:dyDescent="0.25">
      <c r="A84" s="371"/>
      <c r="B84" s="445">
        <v>42992</v>
      </c>
      <c r="C84" s="7">
        <v>50</v>
      </c>
      <c r="D84" s="43">
        <v>81.81</v>
      </c>
      <c r="E84" s="43">
        <v>0</v>
      </c>
      <c r="F84" s="43">
        <f t="shared" si="32"/>
        <v>4090.5</v>
      </c>
      <c r="G84" s="445">
        <v>43035</v>
      </c>
      <c r="H84" s="80">
        <v>50</v>
      </c>
      <c r="I84" s="43">
        <v>76.28</v>
      </c>
      <c r="J84" s="43">
        <v>0.09</v>
      </c>
      <c r="K84" s="43">
        <f t="shared" si="33"/>
        <v>3813.91</v>
      </c>
      <c r="L84" s="72">
        <v>43098</v>
      </c>
      <c r="M84" s="761">
        <v>52</v>
      </c>
    </row>
    <row r="85" spans="1:13" x14ac:dyDescent="0.25">
      <c r="A85" s="371"/>
      <c r="B85" s="445">
        <v>43020</v>
      </c>
      <c r="C85" s="7">
        <v>50</v>
      </c>
      <c r="D85" s="43">
        <v>81.680000000000007</v>
      </c>
      <c r="E85" s="43">
        <v>0</v>
      </c>
      <c r="F85" s="43">
        <f t="shared" si="32"/>
        <v>4084.0000000000005</v>
      </c>
      <c r="G85" s="445">
        <v>43068</v>
      </c>
      <c r="H85" s="80">
        <v>50</v>
      </c>
      <c r="I85" s="43">
        <v>74.180000000000007</v>
      </c>
      <c r="J85" s="43">
        <v>0.09</v>
      </c>
      <c r="K85" s="43">
        <f t="shared" si="33"/>
        <v>3708.9100000000003</v>
      </c>
      <c r="L85" s="72"/>
      <c r="M85" s="3"/>
    </row>
    <row r="86" spans="1:13" x14ac:dyDescent="0.25">
      <c r="A86" s="371"/>
      <c r="B86" s="445">
        <v>43035</v>
      </c>
      <c r="C86" s="7">
        <v>50</v>
      </c>
      <c r="D86" s="43">
        <v>73.88</v>
      </c>
      <c r="E86" s="43">
        <v>0</v>
      </c>
      <c r="F86" s="43">
        <f t="shared" si="32"/>
        <v>3694</v>
      </c>
      <c r="G86" s="445">
        <v>43102</v>
      </c>
      <c r="H86" s="80">
        <v>50</v>
      </c>
      <c r="I86" s="43">
        <v>73.58</v>
      </c>
      <c r="J86" s="43">
        <v>7.0000000000000007E-2</v>
      </c>
      <c r="K86" s="43">
        <f t="shared" si="33"/>
        <v>3678.93</v>
      </c>
      <c r="L86" s="72"/>
      <c r="M86" s="3"/>
    </row>
    <row r="87" spans="1:13" x14ac:dyDescent="0.25">
      <c r="A87" s="371"/>
      <c r="B87" s="445">
        <v>43053</v>
      </c>
      <c r="C87" s="7">
        <v>50</v>
      </c>
      <c r="D87" s="43">
        <v>71.58</v>
      </c>
      <c r="E87" s="43">
        <v>0</v>
      </c>
      <c r="F87" s="43">
        <f t="shared" si="32"/>
        <v>3579</v>
      </c>
      <c r="G87" s="445">
        <v>43105</v>
      </c>
      <c r="H87" s="80">
        <v>50</v>
      </c>
      <c r="I87" s="43">
        <v>74.510000000000005</v>
      </c>
      <c r="J87" s="43">
        <v>0.09</v>
      </c>
      <c r="K87" s="43">
        <f t="shared" si="33"/>
        <v>3725.4100000000003</v>
      </c>
      <c r="L87" s="72"/>
      <c r="M87" s="3"/>
    </row>
    <row r="88" spans="1:13" x14ac:dyDescent="0.25">
      <c r="A88" s="371"/>
      <c r="B88" s="794">
        <v>43090</v>
      </c>
      <c r="C88" s="7">
        <v>50</v>
      </c>
      <c r="D88" s="43">
        <v>73.28</v>
      </c>
      <c r="E88" s="43">
        <v>0</v>
      </c>
      <c r="F88" s="43">
        <f t="shared" si="32"/>
        <v>3664</v>
      </c>
      <c r="G88" s="445">
        <v>43126</v>
      </c>
      <c r="H88" s="80">
        <v>50</v>
      </c>
      <c r="I88" s="43">
        <v>83.97</v>
      </c>
      <c r="J88" s="43">
        <v>0.1</v>
      </c>
      <c r="K88" s="43">
        <f t="shared" si="33"/>
        <v>4198.3999999999996</v>
      </c>
      <c r="L88" s="72"/>
      <c r="M88" s="3"/>
    </row>
    <row r="89" spans="1:13" x14ac:dyDescent="0.25">
      <c r="A89" s="371"/>
      <c r="B89" s="370"/>
      <c r="C89" s="371"/>
      <c r="D89" s="372"/>
      <c r="E89" s="372"/>
      <c r="F89" s="372"/>
      <c r="G89" s="371"/>
      <c r="H89" s="371"/>
      <c r="I89" s="371"/>
      <c r="J89" s="371"/>
      <c r="K89" s="371"/>
      <c r="L89" s="371"/>
      <c r="M89" s="371"/>
    </row>
    <row r="90" spans="1:13" x14ac:dyDescent="0.25">
      <c r="A90" s="371"/>
      <c r="B90" s="370"/>
      <c r="C90" s="371"/>
      <c r="D90" s="372"/>
      <c r="E90" s="372"/>
      <c r="F90" s="372"/>
      <c r="G90" s="371"/>
      <c r="H90" s="371"/>
      <c r="I90" s="371"/>
      <c r="J90" s="371"/>
      <c r="K90" s="371"/>
      <c r="L90" s="371"/>
      <c r="M90" s="371"/>
    </row>
    <row r="91" spans="1:13" x14ac:dyDescent="0.25">
      <c r="A91" s="371"/>
      <c r="B91" s="370"/>
      <c r="C91" s="371"/>
      <c r="D91" s="372"/>
      <c r="E91" s="372"/>
      <c r="F91" s="372"/>
      <c r="G91" s="371"/>
      <c r="H91" s="371"/>
      <c r="I91" s="371"/>
      <c r="J91" s="371"/>
      <c r="K91" s="371"/>
      <c r="L91" s="371"/>
      <c r="M91" s="371"/>
    </row>
    <row r="92" spans="1:13" x14ac:dyDescent="0.25">
      <c r="A92" s="371"/>
      <c r="B92" s="370"/>
      <c r="C92" s="371"/>
      <c r="D92" s="372"/>
      <c r="E92" s="372"/>
      <c r="F92" s="372"/>
      <c r="G92" s="371"/>
      <c r="H92" s="371"/>
      <c r="I92" s="371"/>
      <c r="J92" s="371"/>
      <c r="K92" s="371"/>
      <c r="L92" s="371"/>
      <c r="M92" s="371"/>
    </row>
    <row r="93" spans="1:13" x14ac:dyDescent="0.25">
      <c r="A93" s="371"/>
      <c r="B93" s="371"/>
      <c r="C93" s="371"/>
      <c r="D93" s="372"/>
      <c r="E93" s="372"/>
      <c r="F93" s="372"/>
      <c r="G93" s="371"/>
      <c r="H93" s="371"/>
      <c r="I93" s="371"/>
      <c r="J93" s="371"/>
      <c r="K93" s="371"/>
      <c r="L93" s="371"/>
      <c r="M93" s="371"/>
    </row>
    <row r="94" spans="1:13" x14ac:dyDescent="0.25">
      <c r="A94" s="371"/>
      <c r="B94" s="371"/>
      <c r="C94" s="371"/>
      <c r="D94" s="372"/>
      <c r="E94" s="372"/>
      <c r="F94" s="372"/>
      <c r="G94" s="371"/>
      <c r="H94" s="375"/>
      <c r="I94" s="371"/>
      <c r="J94" s="371"/>
      <c r="K94" s="371"/>
      <c r="L94" s="371"/>
      <c r="M94" s="371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55" t="s">
        <v>194</v>
      </c>
      <c r="B96" s="456"/>
      <c r="C96" s="457">
        <f>SumByColor($A$25,C56:C94)</f>
        <v>300</v>
      </c>
      <c r="D96" s="457"/>
      <c r="E96" s="457"/>
      <c r="F96" s="458">
        <f>SumByColor($A$25,F56:F94)</f>
        <v>23205</v>
      </c>
      <c r="G96" s="457"/>
      <c r="H96" s="457">
        <f>SumByColor($A$25,H56:H94)</f>
        <v>300</v>
      </c>
      <c r="I96" s="457"/>
      <c r="J96" s="457"/>
      <c r="K96" s="458">
        <f>SumByColor($A$25,K56:K94)</f>
        <v>23278</v>
      </c>
      <c r="L96" s="457"/>
      <c r="M96" s="458">
        <f>SumByColor($A$25,M56:M94)</f>
        <v>78</v>
      </c>
    </row>
    <row r="103" spans="1:12" x14ac:dyDescent="0.25">
      <c r="A103" s="713"/>
      <c r="B103" s="713"/>
      <c r="C103" s="713"/>
      <c r="D103" s="714"/>
      <c r="E103" s="714"/>
      <c r="F103" s="714"/>
      <c r="G103" s="713"/>
      <c r="H103" s="713"/>
      <c r="I103" s="713"/>
      <c r="J103" s="713"/>
      <c r="K103" s="713"/>
      <c r="L103" s="713"/>
    </row>
    <row r="104" spans="1:12" x14ac:dyDescent="0.25">
      <c r="A104" s="713"/>
      <c r="B104" s="498" t="s">
        <v>113</v>
      </c>
      <c r="C104" s="498" t="s">
        <v>146</v>
      </c>
      <c r="D104" s="499" t="s">
        <v>145</v>
      </c>
      <c r="E104" s="500" t="s">
        <v>147</v>
      </c>
      <c r="F104" s="501" t="s">
        <v>65</v>
      </c>
      <c r="G104" s="502" t="s">
        <v>151</v>
      </c>
      <c r="H104" s="501" t="s">
        <v>88</v>
      </c>
      <c r="I104" s="501" t="s">
        <v>154</v>
      </c>
      <c r="J104" s="715" t="s">
        <v>514</v>
      </c>
      <c r="K104" s="715" t="s">
        <v>150</v>
      </c>
      <c r="L104" s="713"/>
    </row>
    <row r="105" spans="1:12" x14ac:dyDescent="0.25">
      <c r="A105" s="371"/>
      <c r="B105" s="370">
        <v>42304</v>
      </c>
      <c r="C105" s="371">
        <v>25</v>
      </c>
      <c r="D105" s="372">
        <v>102.2</v>
      </c>
      <c r="E105" s="372">
        <v>110.96</v>
      </c>
      <c r="F105" s="372">
        <f>C105*(E105-D105)</f>
        <v>218.99999999999977</v>
      </c>
      <c r="G105" s="372">
        <f>D105*C105</f>
        <v>2555</v>
      </c>
      <c r="H105" s="373">
        <f>(E105-D105)/D105</f>
        <v>8.5714285714285618E-2</v>
      </c>
      <c r="I105" s="716"/>
      <c r="J105" s="371"/>
      <c r="K105" s="371"/>
      <c r="L105" s="371"/>
    </row>
    <row r="106" spans="1:12" x14ac:dyDescent="0.25">
      <c r="A106" s="371"/>
      <c r="B106" s="370">
        <v>42332</v>
      </c>
      <c r="C106" s="371">
        <v>25</v>
      </c>
      <c r="D106" s="372">
        <v>102.2</v>
      </c>
      <c r="E106" s="372">
        <v>106.36</v>
      </c>
      <c r="F106" s="372">
        <f t="shared" ref="F106:F114" si="34">C106*(E106-D106)</f>
        <v>103.99999999999991</v>
      </c>
      <c r="G106" s="372">
        <f t="shared" ref="G106:G169" si="35">D106*C106</f>
        <v>2555</v>
      </c>
      <c r="H106" s="373">
        <f t="shared" ref="H106:H169" si="36">(E106-D106)/D106</f>
        <v>4.070450097847355E-2</v>
      </c>
      <c r="I106" s="716"/>
      <c r="J106" s="371"/>
      <c r="K106" s="371"/>
      <c r="L106" s="371"/>
    </row>
    <row r="107" spans="1:12" x14ac:dyDescent="0.25">
      <c r="A107" s="371"/>
      <c r="B107" s="370">
        <v>42349</v>
      </c>
      <c r="C107" s="371">
        <v>25</v>
      </c>
      <c r="D107" s="372">
        <v>102.2</v>
      </c>
      <c r="E107" s="372">
        <v>100.03</v>
      </c>
      <c r="F107" s="372">
        <f t="shared" si="34"/>
        <v>-54.250000000000043</v>
      </c>
      <c r="G107" s="372">
        <f t="shared" si="35"/>
        <v>2555</v>
      </c>
      <c r="H107" s="373">
        <f t="shared" si="36"/>
        <v>-2.1232876712328784E-2</v>
      </c>
      <c r="I107" s="716"/>
      <c r="J107" s="371"/>
      <c r="K107" s="371"/>
      <c r="L107" s="371"/>
    </row>
    <row r="108" spans="1:12" x14ac:dyDescent="0.25">
      <c r="A108" s="371"/>
      <c r="B108" s="370">
        <v>42361</v>
      </c>
      <c r="C108" s="371">
        <v>25</v>
      </c>
      <c r="D108" s="372">
        <v>102.2</v>
      </c>
      <c r="E108" s="372">
        <v>102.86</v>
      </c>
      <c r="F108" s="372">
        <f t="shared" si="34"/>
        <v>16.499999999999915</v>
      </c>
      <c r="G108" s="372">
        <f t="shared" si="35"/>
        <v>2555</v>
      </c>
      <c r="H108" s="373">
        <f t="shared" si="36"/>
        <v>6.4579256360077939E-3</v>
      </c>
      <c r="I108" s="716"/>
      <c r="J108" s="371"/>
      <c r="K108" s="371"/>
      <c r="L108" s="371"/>
    </row>
    <row r="109" spans="1:12" x14ac:dyDescent="0.25">
      <c r="A109" s="371"/>
      <c r="B109" s="370">
        <v>42376</v>
      </c>
      <c r="C109" s="392">
        <v>50</v>
      </c>
      <c r="D109" s="391">
        <v>99.13</v>
      </c>
      <c r="E109" s="391">
        <v>96.25</v>
      </c>
      <c r="F109" s="372">
        <f t="shared" si="34"/>
        <v>-143.99999999999977</v>
      </c>
      <c r="G109" s="372">
        <f t="shared" si="35"/>
        <v>4956.5</v>
      </c>
      <c r="H109" s="373">
        <f t="shared" si="36"/>
        <v>-2.9052759003328918E-2</v>
      </c>
      <c r="I109" s="716"/>
      <c r="J109" s="371"/>
      <c r="K109" s="371"/>
      <c r="L109" s="371"/>
    </row>
    <row r="110" spans="1:12" x14ac:dyDescent="0.25">
      <c r="A110" s="371"/>
      <c r="B110" s="370">
        <v>42402</v>
      </c>
      <c r="C110" s="392">
        <v>60</v>
      </c>
      <c r="D110" s="391">
        <v>96.37</v>
      </c>
      <c r="E110" s="391">
        <v>82.71</v>
      </c>
      <c r="F110" s="372">
        <f t="shared" si="34"/>
        <v>-819.60000000000059</v>
      </c>
      <c r="G110" s="372">
        <f t="shared" si="35"/>
        <v>5782.2000000000007</v>
      </c>
      <c r="H110" s="373">
        <f t="shared" si="36"/>
        <v>-0.14174535643872585</v>
      </c>
      <c r="I110" s="716"/>
      <c r="J110" s="371"/>
      <c r="K110" s="371"/>
      <c r="L110" s="371"/>
    </row>
    <row r="111" spans="1:12" x14ac:dyDescent="0.25">
      <c r="A111" s="371"/>
      <c r="B111" s="370">
        <v>42409</v>
      </c>
      <c r="C111" s="392">
        <v>50</v>
      </c>
      <c r="D111" s="391">
        <v>98.03</v>
      </c>
      <c r="E111" s="391">
        <v>87.25</v>
      </c>
      <c r="F111" s="372">
        <f t="shared" si="34"/>
        <v>-539</v>
      </c>
      <c r="G111" s="372">
        <f t="shared" si="35"/>
        <v>4901.5</v>
      </c>
      <c r="H111" s="373">
        <f t="shared" si="36"/>
        <v>-0.10996633683566256</v>
      </c>
      <c r="I111" s="716"/>
      <c r="J111" s="371"/>
      <c r="K111" s="371"/>
      <c r="L111" s="371"/>
    </row>
    <row r="112" spans="1:12" x14ac:dyDescent="0.25">
      <c r="A112" s="371"/>
      <c r="B112" s="370">
        <v>42426</v>
      </c>
      <c r="C112" s="392">
        <v>70</v>
      </c>
      <c r="D112" s="391">
        <v>95.18</v>
      </c>
      <c r="E112" s="391">
        <v>88.03</v>
      </c>
      <c r="F112" s="372">
        <f t="shared" si="34"/>
        <v>-500.5000000000004</v>
      </c>
      <c r="G112" s="372">
        <f t="shared" si="35"/>
        <v>6662.6</v>
      </c>
      <c r="H112" s="374">
        <f t="shared" si="36"/>
        <v>-7.5120823702458553E-2</v>
      </c>
      <c r="I112" s="717"/>
      <c r="J112" s="371"/>
      <c r="K112" s="371"/>
      <c r="L112" s="371"/>
    </row>
    <row r="113" spans="1:12" x14ac:dyDescent="0.25">
      <c r="A113" s="371"/>
      <c r="B113" s="370">
        <v>42430</v>
      </c>
      <c r="C113" s="392">
        <v>70</v>
      </c>
      <c r="D113" s="391">
        <v>95.18</v>
      </c>
      <c r="E113" s="391">
        <v>89.69</v>
      </c>
      <c r="F113" s="372">
        <f t="shared" si="34"/>
        <v>-384.30000000000064</v>
      </c>
      <c r="G113" s="372">
        <f t="shared" si="35"/>
        <v>6662.6</v>
      </c>
      <c r="H113" s="374">
        <f t="shared" si="36"/>
        <v>-5.7680184912796896E-2</v>
      </c>
      <c r="I113" s="717"/>
      <c r="J113" s="371"/>
      <c r="K113" s="371"/>
      <c r="L113" s="371"/>
    </row>
    <row r="114" spans="1:12" x14ac:dyDescent="0.25">
      <c r="A114" s="371"/>
      <c r="B114" s="370">
        <v>42431</v>
      </c>
      <c r="C114" s="392">
        <v>70</v>
      </c>
      <c r="D114" s="391">
        <v>95.18</v>
      </c>
      <c r="E114" s="391">
        <v>88.8</v>
      </c>
      <c r="F114" s="372">
        <f t="shared" si="34"/>
        <v>-446.6000000000007</v>
      </c>
      <c r="G114" s="372">
        <f t="shared" si="35"/>
        <v>6662.6</v>
      </c>
      <c r="H114" s="374">
        <f t="shared" si="36"/>
        <v>-6.7030888842193839E-2</v>
      </c>
      <c r="I114" s="717"/>
      <c r="J114" s="371"/>
      <c r="K114" s="371"/>
      <c r="L114" s="371"/>
    </row>
    <row r="115" spans="1:12" x14ac:dyDescent="0.25">
      <c r="A115" s="371"/>
      <c r="B115" s="370">
        <v>42445</v>
      </c>
      <c r="C115" s="392">
        <v>70</v>
      </c>
      <c r="D115" s="391">
        <v>95.176000000000002</v>
      </c>
      <c r="E115" s="391">
        <v>90.28</v>
      </c>
      <c r="F115" s="372">
        <f>C115*(E115-D115)</f>
        <v>-342.72</v>
      </c>
      <c r="G115" s="372">
        <f t="shared" si="35"/>
        <v>6662.32</v>
      </c>
      <c r="H115" s="374">
        <f t="shared" si="36"/>
        <v>-5.1441539884004378E-2</v>
      </c>
      <c r="I115" s="717"/>
      <c r="J115" s="371"/>
      <c r="K115" s="371"/>
      <c r="L115" s="371"/>
    </row>
    <row r="116" spans="1:12" x14ac:dyDescent="0.25">
      <c r="A116" s="371"/>
      <c r="B116" s="370">
        <v>42447</v>
      </c>
      <c r="C116" s="392">
        <v>50</v>
      </c>
      <c r="D116" s="391">
        <v>97.010999999999996</v>
      </c>
      <c r="E116" s="391">
        <v>90.59</v>
      </c>
      <c r="F116" s="372">
        <f>C116*(E116-D116)</f>
        <v>-321.04999999999961</v>
      </c>
      <c r="G116" s="372">
        <f t="shared" si="35"/>
        <v>4850.55</v>
      </c>
      <c r="H116" s="374">
        <f t="shared" si="36"/>
        <v>-6.6188370390986517E-2</v>
      </c>
      <c r="I116" s="717"/>
      <c r="J116" s="371"/>
      <c r="K116" s="371"/>
      <c r="L116" s="371"/>
    </row>
    <row r="117" spans="1:12" x14ac:dyDescent="0.25">
      <c r="A117" s="371"/>
      <c r="B117" s="370">
        <v>42452</v>
      </c>
      <c r="C117" s="392">
        <v>50</v>
      </c>
      <c r="D117" s="391">
        <v>97.010999999999996</v>
      </c>
      <c r="E117" s="391">
        <v>93.72</v>
      </c>
      <c r="F117" s="372">
        <f>C117*(E117-D117)</f>
        <v>-164.54999999999984</v>
      </c>
      <c r="G117" s="372">
        <f t="shared" si="35"/>
        <v>4850.55</v>
      </c>
      <c r="H117" s="374">
        <f t="shared" si="36"/>
        <v>-3.3923988001360636E-2</v>
      </c>
      <c r="I117" s="717"/>
      <c r="J117" s="371"/>
      <c r="K117" s="371"/>
      <c r="L117" s="371"/>
    </row>
    <row r="118" spans="1:12" x14ac:dyDescent="0.25">
      <c r="A118" s="371"/>
      <c r="B118" s="370">
        <v>42459</v>
      </c>
      <c r="C118" s="392">
        <v>50</v>
      </c>
      <c r="D118" s="391">
        <v>96.409000000000006</v>
      </c>
      <c r="E118" s="391">
        <v>91.97</v>
      </c>
      <c r="F118" s="372">
        <f t="shared" ref="F118:F181" si="37">C118*(E118-D118)</f>
        <v>-221.95000000000036</v>
      </c>
      <c r="G118" s="372">
        <f t="shared" si="35"/>
        <v>4820.4500000000007</v>
      </c>
      <c r="H118" s="374">
        <f t="shared" si="36"/>
        <v>-4.604341918285644E-2</v>
      </c>
      <c r="I118" s="717" t="s">
        <v>185</v>
      </c>
      <c r="J118" s="371"/>
      <c r="K118" s="371"/>
      <c r="L118" s="371"/>
    </row>
    <row r="119" spans="1:12" x14ac:dyDescent="0.25">
      <c r="A119" s="371"/>
      <c r="B119" s="370">
        <v>42469</v>
      </c>
      <c r="C119" s="392">
        <v>50</v>
      </c>
      <c r="D119" s="391">
        <v>96.409000000000006</v>
      </c>
      <c r="E119" s="391">
        <v>96.09</v>
      </c>
      <c r="F119" s="372">
        <f t="shared" si="37"/>
        <v>-15.950000000000131</v>
      </c>
      <c r="G119" s="372">
        <f t="shared" si="35"/>
        <v>4820.4500000000007</v>
      </c>
      <c r="H119" s="374">
        <f t="shared" si="36"/>
        <v>-3.3088197160016449E-3</v>
      </c>
      <c r="I119" s="717"/>
      <c r="J119" s="371"/>
      <c r="K119" s="371"/>
      <c r="L119" s="371"/>
    </row>
    <row r="120" spans="1:12" x14ac:dyDescent="0.25">
      <c r="A120" s="371"/>
      <c r="B120" s="370">
        <v>42475</v>
      </c>
      <c r="C120" s="392">
        <v>50</v>
      </c>
      <c r="D120" s="391">
        <v>96.409000000000006</v>
      </c>
      <c r="E120" s="391">
        <v>98.29</v>
      </c>
      <c r="F120" s="372">
        <f t="shared" si="37"/>
        <v>94.050000000000011</v>
      </c>
      <c r="G120" s="372">
        <f t="shared" si="35"/>
        <v>4820.4500000000007</v>
      </c>
      <c r="H120" s="374">
        <f t="shared" si="36"/>
        <v>1.951062660125092E-2</v>
      </c>
      <c r="I120" s="717"/>
      <c r="J120" s="371"/>
      <c r="K120" s="371"/>
      <c r="L120" s="371"/>
    </row>
    <row r="121" spans="1:12" x14ac:dyDescent="0.25">
      <c r="A121" s="371"/>
      <c r="B121" s="370">
        <v>42478</v>
      </c>
      <c r="C121" s="392">
        <v>25</v>
      </c>
      <c r="D121" s="391">
        <v>93.37</v>
      </c>
      <c r="E121" s="391">
        <v>99.2</v>
      </c>
      <c r="F121" s="372">
        <f t="shared" si="37"/>
        <v>145.74999999999994</v>
      </c>
      <c r="G121" s="372">
        <f t="shared" si="35"/>
        <v>2334.25</v>
      </c>
      <c r="H121" s="374">
        <f t="shared" si="36"/>
        <v>6.2439755810217393E-2</v>
      </c>
      <c r="I121" s="717"/>
      <c r="J121" s="371"/>
      <c r="K121" s="371"/>
      <c r="L121" s="371"/>
    </row>
    <row r="122" spans="1:12" x14ac:dyDescent="0.25">
      <c r="A122" s="371"/>
      <c r="B122" s="370">
        <v>42488</v>
      </c>
      <c r="C122" s="392">
        <v>50</v>
      </c>
      <c r="D122" s="391">
        <v>95.81</v>
      </c>
      <c r="E122" s="391">
        <v>97</v>
      </c>
      <c r="F122" s="372">
        <f t="shared" si="37"/>
        <v>59.499999999999886</v>
      </c>
      <c r="G122" s="372">
        <f t="shared" si="35"/>
        <v>4790.5</v>
      </c>
      <c r="H122" s="374">
        <f t="shared" si="36"/>
        <v>1.2420415405490009E-2</v>
      </c>
      <c r="I122" s="717"/>
      <c r="J122" s="371"/>
      <c r="K122" s="371"/>
      <c r="L122" s="371"/>
    </row>
    <row r="123" spans="1:12" x14ac:dyDescent="0.25">
      <c r="A123" s="371"/>
      <c r="B123" s="370">
        <v>42489</v>
      </c>
      <c r="C123" s="392">
        <v>70</v>
      </c>
      <c r="D123" s="391">
        <v>94.247</v>
      </c>
      <c r="E123" s="372">
        <v>88.21</v>
      </c>
      <c r="F123" s="372">
        <f t="shared" si="37"/>
        <v>-422.59000000000043</v>
      </c>
      <c r="G123" s="372">
        <f t="shared" si="35"/>
        <v>6597.29</v>
      </c>
      <c r="H123" s="374">
        <f t="shared" si="36"/>
        <v>-6.4055089286661704E-2</v>
      </c>
      <c r="I123" s="717"/>
      <c r="J123" s="371"/>
      <c r="K123" s="371"/>
      <c r="L123" s="371"/>
    </row>
    <row r="124" spans="1:12" x14ac:dyDescent="0.25">
      <c r="A124" s="371"/>
      <c r="B124" s="370">
        <v>42489</v>
      </c>
      <c r="C124" s="371">
        <v>100</v>
      </c>
      <c r="D124" s="372">
        <v>92.822999999999993</v>
      </c>
      <c r="E124" s="372">
        <v>88.21</v>
      </c>
      <c r="F124" s="372">
        <f t="shared" si="37"/>
        <v>-461.29999999999995</v>
      </c>
      <c r="G124" s="372">
        <f t="shared" si="35"/>
        <v>9282.2999999999993</v>
      </c>
      <c r="H124" s="374">
        <f t="shared" si="36"/>
        <v>-4.9696734645508119E-2</v>
      </c>
      <c r="I124" s="717"/>
      <c r="J124" s="371"/>
      <c r="K124" s="371"/>
      <c r="L124" s="371"/>
    </row>
    <row r="125" spans="1:12" x14ac:dyDescent="0.25">
      <c r="A125" s="371"/>
      <c r="B125" s="370">
        <v>42498</v>
      </c>
      <c r="C125" s="371">
        <v>100</v>
      </c>
      <c r="D125" s="372">
        <v>92.822999999999993</v>
      </c>
      <c r="E125" s="372">
        <v>84.68</v>
      </c>
      <c r="F125" s="372">
        <f t="shared" si="37"/>
        <v>-814.29999999999859</v>
      </c>
      <c r="G125" s="372">
        <f t="shared" si="35"/>
        <v>9282.2999999999993</v>
      </c>
      <c r="H125" s="374">
        <f t="shared" si="36"/>
        <v>-8.7726102366870146E-2</v>
      </c>
      <c r="I125" s="717"/>
      <c r="J125" s="371"/>
      <c r="K125" s="371"/>
      <c r="L125" s="371"/>
    </row>
    <row r="126" spans="1:12" x14ac:dyDescent="0.25">
      <c r="A126" s="371"/>
      <c r="B126" s="370">
        <v>42502</v>
      </c>
      <c r="C126" s="371">
        <v>100</v>
      </c>
      <c r="D126" s="372">
        <v>92.822999999999993</v>
      </c>
      <c r="E126" s="372">
        <v>82.77</v>
      </c>
      <c r="F126" s="372">
        <f t="shared" si="37"/>
        <v>-1005.2999999999997</v>
      </c>
      <c r="G126" s="372">
        <f t="shared" si="35"/>
        <v>9282.2999999999993</v>
      </c>
      <c r="H126" s="374">
        <f t="shared" si="36"/>
        <v>-0.10830289906596423</v>
      </c>
      <c r="I126" s="717"/>
      <c r="J126" s="371"/>
      <c r="K126" s="371"/>
      <c r="L126" s="371"/>
    </row>
    <row r="127" spans="1:12" x14ac:dyDescent="0.25">
      <c r="A127" s="371"/>
      <c r="B127" s="370">
        <v>42514</v>
      </c>
      <c r="C127" s="371">
        <v>100</v>
      </c>
      <c r="D127" s="372">
        <v>92.82</v>
      </c>
      <c r="E127" s="372">
        <v>86.22</v>
      </c>
      <c r="F127" s="372">
        <f t="shared" si="37"/>
        <v>-659.99999999999943</v>
      </c>
      <c r="G127" s="372">
        <f t="shared" si="35"/>
        <v>9282</v>
      </c>
      <c r="H127" s="374">
        <f t="shared" si="36"/>
        <v>-7.1105365223012224E-2</v>
      </c>
      <c r="I127" s="717"/>
      <c r="J127" s="371"/>
      <c r="K127" s="371"/>
      <c r="L127" s="371"/>
    </row>
    <row r="128" spans="1:12" x14ac:dyDescent="0.25">
      <c r="A128" s="371"/>
      <c r="B128" s="370">
        <v>42527</v>
      </c>
      <c r="C128" s="371">
        <v>100</v>
      </c>
      <c r="D128" s="372">
        <v>92.822999999999993</v>
      </c>
      <c r="E128" s="372">
        <v>87.6</v>
      </c>
      <c r="F128" s="372">
        <f t="shared" si="37"/>
        <v>-522.29999999999995</v>
      </c>
      <c r="G128" s="372">
        <f t="shared" si="35"/>
        <v>9282.2999999999993</v>
      </c>
      <c r="H128" s="374">
        <f t="shared" si="36"/>
        <v>-5.6268381758831316E-2</v>
      </c>
      <c r="I128" s="717"/>
      <c r="J128" s="371"/>
      <c r="K128" s="371"/>
      <c r="L128" s="371"/>
    </row>
    <row r="129" spans="1:12" x14ac:dyDescent="0.25">
      <c r="A129" s="371"/>
      <c r="B129" s="370">
        <v>42535</v>
      </c>
      <c r="C129" s="371">
        <v>100</v>
      </c>
      <c r="D129" s="372">
        <v>92.82</v>
      </c>
      <c r="E129" s="372">
        <v>83.57</v>
      </c>
      <c r="F129" s="372">
        <f t="shared" si="37"/>
        <v>-925</v>
      </c>
      <c r="G129" s="372">
        <f t="shared" si="35"/>
        <v>9282</v>
      </c>
      <c r="H129" s="374">
        <f t="shared" si="36"/>
        <v>-9.965524671407025E-2</v>
      </c>
      <c r="I129" s="454">
        <v>88.5</v>
      </c>
      <c r="J129" s="371"/>
      <c r="K129" s="371"/>
      <c r="L129" s="371"/>
    </row>
    <row r="130" spans="1:12" x14ac:dyDescent="0.25">
      <c r="A130" s="371"/>
      <c r="B130" s="370">
        <v>42542</v>
      </c>
      <c r="C130" s="371">
        <v>100</v>
      </c>
      <c r="D130" s="372">
        <v>92.82</v>
      </c>
      <c r="E130" s="372">
        <v>81.790000000000006</v>
      </c>
      <c r="F130" s="372">
        <f t="shared" si="37"/>
        <v>-1102.9999999999986</v>
      </c>
      <c r="G130" s="372">
        <f t="shared" si="35"/>
        <v>9282</v>
      </c>
      <c r="H130" s="374">
        <f t="shared" si="36"/>
        <v>-0.11883214824391282</v>
      </c>
      <c r="I130" s="717"/>
      <c r="J130" s="371"/>
      <c r="K130" s="371"/>
      <c r="L130" s="371"/>
    </row>
    <row r="131" spans="1:12" x14ac:dyDescent="0.25">
      <c r="A131" s="371"/>
      <c r="B131" s="370">
        <v>42545</v>
      </c>
      <c r="C131" s="371">
        <v>200</v>
      </c>
      <c r="D131" s="372">
        <v>86.647000000000006</v>
      </c>
      <c r="E131" s="372">
        <v>80.47</v>
      </c>
      <c r="F131" s="372">
        <f t="shared" si="37"/>
        <v>-1235.4000000000015</v>
      </c>
      <c r="G131" s="372">
        <f t="shared" si="35"/>
        <v>17329.400000000001</v>
      </c>
      <c r="H131" s="374">
        <f t="shared" si="36"/>
        <v>-7.1289254099968918E-2</v>
      </c>
      <c r="I131" s="717"/>
      <c r="J131" s="371"/>
      <c r="K131" s="371"/>
      <c r="L131" s="371"/>
    </row>
    <row r="132" spans="1:12" x14ac:dyDescent="0.25">
      <c r="A132" s="371"/>
      <c r="B132" s="370">
        <v>42548</v>
      </c>
      <c r="C132" s="371">
        <v>200</v>
      </c>
      <c r="D132" s="372">
        <v>86.647000000000006</v>
      </c>
      <c r="E132" s="372">
        <v>78.25</v>
      </c>
      <c r="F132" s="372">
        <f t="shared" si="37"/>
        <v>-1679.400000000001</v>
      </c>
      <c r="G132" s="372">
        <f t="shared" si="35"/>
        <v>17329.400000000001</v>
      </c>
      <c r="H132" s="374">
        <f t="shared" si="36"/>
        <v>-9.6910452756587134E-2</v>
      </c>
      <c r="I132" s="717"/>
      <c r="J132" s="371"/>
      <c r="K132" s="371"/>
      <c r="L132" s="371"/>
    </row>
    <row r="133" spans="1:12" x14ac:dyDescent="0.25">
      <c r="A133" s="371"/>
      <c r="B133" s="370">
        <v>42549</v>
      </c>
      <c r="C133" s="371">
        <v>200</v>
      </c>
      <c r="D133" s="372">
        <v>86.647000000000006</v>
      </c>
      <c r="E133" s="372">
        <v>82.31</v>
      </c>
      <c r="F133" s="372">
        <f t="shared" si="37"/>
        <v>-867.40000000000066</v>
      </c>
      <c r="G133" s="372">
        <f t="shared" si="35"/>
        <v>17329.400000000001</v>
      </c>
      <c r="H133" s="374">
        <f t="shared" si="36"/>
        <v>-5.0053666024213218E-2</v>
      </c>
      <c r="I133" s="717"/>
      <c r="J133" s="371"/>
      <c r="K133" s="371"/>
      <c r="L133" s="371"/>
    </row>
    <row r="134" spans="1:12" x14ac:dyDescent="0.25">
      <c r="A134" s="371"/>
      <c r="B134" s="370">
        <v>42550</v>
      </c>
      <c r="C134" s="371">
        <v>200</v>
      </c>
      <c r="D134" s="372">
        <v>86.411500000000004</v>
      </c>
      <c r="E134" s="372">
        <v>82.27</v>
      </c>
      <c r="F134" s="372">
        <f t="shared" si="37"/>
        <v>-828.30000000000155</v>
      </c>
      <c r="G134" s="372">
        <f t="shared" si="35"/>
        <v>17282.3</v>
      </c>
      <c r="H134" s="374">
        <f t="shared" si="36"/>
        <v>-4.7927648519005078E-2</v>
      </c>
      <c r="I134" s="717" t="s">
        <v>185</v>
      </c>
      <c r="J134" s="371"/>
      <c r="K134" s="371"/>
      <c r="L134" s="371"/>
    </row>
    <row r="135" spans="1:12" x14ac:dyDescent="0.25">
      <c r="A135" s="371"/>
      <c r="B135" s="370">
        <v>42552</v>
      </c>
      <c r="C135" s="371">
        <v>100</v>
      </c>
      <c r="D135" s="372">
        <v>89.084800000000001</v>
      </c>
      <c r="E135" s="372">
        <v>84.86</v>
      </c>
      <c r="F135" s="372">
        <f t="shared" si="37"/>
        <v>-422.48000000000019</v>
      </c>
      <c r="G135" s="372">
        <f t="shared" si="35"/>
        <v>8908.48</v>
      </c>
      <c r="H135" s="374">
        <f t="shared" si="36"/>
        <v>-4.7424476453895636E-2</v>
      </c>
      <c r="I135" s="717"/>
      <c r="J135" s="371"/>
      <c r="K135" s="371"/>
      <c r="L135" s="371"/>
    </row>
    <row r="136" spans="1:12" x14ac:dyDescent="0.25">
      <c r="A136" s="371"/>
      <c r="B136" s="370">
        <v>42556</v>
      </c>
      <c r="C136" s="371">
        <v>100</v>
      </c>
      <c r="D136" s="372">
        <v>89.084800000000001</v>
      </c>
      <c r="E136" s="372">
        <v>83.89</v>
      </c>
      <c r="F136" s="372">
        <f t="shared" si="37"/>
        <v>-519.48</v>
      </c>
      <c r="G136" s="372">
        <f t="shared" si="35"/>
        <v>8908.48</v>
      </c>
      <c r="H136" s="374">
        <f t="shared" si="36"/>
        <v>-5.8312978196055902E-2</v>
      </c>
      <c r="I136" s="717"/>
      <c r="J136" s="371"/>
      <c r="K136" s="371"/>
      <c r="L136" s="371"/>
    </row>
    <row r="137" spans="1:12" x14ac:dyDescent="0.25">
      <c r="A137" s="371"/>
      <c r="B137" s="370">
        <v>42559</v>
      </c>
      <c r="C137" s="371">
        <v>100</v>
      </c>
      <c r="D137" s="372">
        <v>89.084800000000001</v>
      </c>
      <c r="E137" s="372">
        <v>86.55</v>
      </c>
      <c r="F137" s="372">
        <f t="shared" si="37"/>
        <v>-253.48000000000042</v>
      </c>
      <c r="G137" s="372">
        <f t="shared" si="35"/>
        <v>8908.48</v>
      </c>
      <c r="H137" s="374">
        <f t="shared" si="36"/>
        <v>-2.8453787851575176E-2</v>
      </c>
      <c r="I137" s="717"/>
      <c r="J137" s="371"/>
      <c r="K137" s="371"/>
      <c r="L137" s="371"/>
    </row>
    <row r="138" spans="1:12" x14ac:dyDescent="0.25">
      <c r="A138" s="371"/>
      <c r="B138" s="370">
        <v>42569</v>
      </c>
      <c r="C138" s="371">
        <v>100</v>
      </c>
      <c r="D138" s="372">
        <v>89.084800000000001</v>
      </c>
      <c r="E138" s="372">
        <v>86.93</v>
      </c>
      <c r="F138" s="372">
        <f t="shared" si="37"/>
        <v>-215.47999999999945</v>
      </c>
      <c r="G138" s="372">
        <f t="shared" si="35"/>
        <v>8908.48</v>
      </c>
      <c r="H138" s="374">
        <f t="shared" si="36"/>
        <v>-2.4188189230934957E-2</v>
      </c>
      <c r="I138" s="717"/>
      <c r="J138" s="371"/>
      <c r="K138" s="371"/>
      <c r="L138" s="371"/>
    </row>
    <row r="139" spans="1:12" x14ac:dyDescent="0.25">
      <c r="A139" s="371"/>
      <c r="B139" s="370">
        <v>42570</v>
      </c>
      <c r="C139" s="371">
        <v>100</v>
      </c>
      <c r="D139" s="372">
        <v>89.084800000000001</v>
      </c>
      <c r="E139" s="372">
        <v>85.44</v>
      </c>
      <c r="F139" s="372">
        <f t="shared" si="37"/>
        <v>-364.48000000000036</v>
      </c>
      <c r="G139" s="372">
        <f t="shared" si="35"/>
        <v>8908.48</v>
      </c>
      <c r="H139" s="374">
        <f t="shared" si="36"/>
        <v>-4.0913825927655488E-2</v>
      </c>
      <c r="I139" s="717"/>
      <c r="J139" s="371"/>
      <c r="K139" s="371"/>
      <c r="L139" s="371"/>
    </row>
    <row r="140" spans="1:12" x14ac:dyDescent="0.25">
      <c r="A140" s="371"/>
      <c r="B140" s="370">
        <v>42571</v>
      </c>
      <c r="C140" s="371">
        <v>100</v>
      </c>
      <c r="D140" s="372">
        <v>89.084800000000001</v>
      </c>
      <c r="E140" s="372">
        <v>86.66</v>
      </c>
      <c r="F140" s="372">
        <f t="shared" si="37"/>
        <v>-242.48000000000047</v>
      </c>
      <c r="G140" s="372">
        <f t="shared" si="35"/>
        <v>8908.48</v>
      </c>
      <c r="H140" s="374">
        <f t="shared" si="36"/>
        <v>-2.7219009303495148E-2</v>
      </c>
      <c r="I140" s="717"/>
      <c r="J140" s="371"/>
      <c r="K140" s="371"/>
      <c r="L140" s="371"/>
    </row>
    <row r="141" spans="1:12" x14ac:dyDescent="0.25">
      <c r="A141" s="371"/>
      <c r="B141" s="370">
        <v>42572</v>
      </c>
      <c r="C141" s="371">
        <v>100</v>
      </c>
      <c r="D141" s="372">
        <v>89.084800000000001</v>
      </c>
      <c r="E141" s="372">
        <v>87.24</v>
      </c>
      <c r="F141" s="372">
        <f t="shared" si="37"/>
        <v>-184.48000000000064</v>
      </c>
      <c r="G141" s="372">
        <f t="shared" si="35"/>
        <v>8908.48</v>
      </c>
      <c r="H141" s="374">
        <f t="shared" si="36"/>
        <v>-2.0708358777255003E-2</v>
      </c>
      <c r="I141" s="717"/>
      <c r="J141" s="371"/>
      <c r="K141" s="371"/>
      <c r="L141" s="371"/>
    </row>
    <row r="142" spans="1:12" x14ac:dyDescent="0.25">
      <c r="A142" s="371"/>
      <c r="B142" s="370">
        <v>42575</v>
      </c>
      <c r="C142" s="371">
        <v>100</v>
      </c>
      <c r="D142" s="372">
        <v>89.084800000000001</v>
      </c>
      <c r="E142" s="372">
        <v>86.55</v>
      </c>
      <c r="F142" s="372">
        <f t="shared" si="37"/>
        <v>-253.48000000000042</v>
      </c>
      <c r="G142" s="372">
        <f t="shared" si="35"/>
        <v>8908.48</v>
      </c>
      <c r="H142" s="374">
        <f t="shared" si="36"/>
        <v>-2.8453787851575176E-2</v>
      </c>
      <c r="I142" s="718"/>
      <c r="J142" s="371"/>
      <c r="K142" s="371"/>
      <c r="L142" s="371"/>
    </row>
    <row r="143" spans="1:12" x14ac:dyDescent="0.25">
      <c r="A143" s="371"/>
      <c r="B143" s="370">
        <v>42576</v>
      </c>
      <c r="C143" s="371">
        <v>100</v>
      </c>
      <c r="D143" s="372">
        <v>89.084800000000001</v>
      </c>
      <c r="E143" s="372">
        <v>88.55</v>
      </c>
      <c r="F143" s="372">
        <f t="shared" si="37"/>
        <v>-53.480000000000416</v>
      </c>
      <c r="G143" s="372">
        <f t="shared" si="35"/>
        <v>8908.48</v>
      </c>
      <c r="H143" s="374">
        <f t="shared" si="36"/>
        <v>-6.0032687955746001E-3</v>
      </c>
      <c r="I143" s="717" t="s">
        <v>249</v>
      </c>
      <c r="J143" s="371"/>
      <c r="K143" s="371"/>
      <c r="L143" s="371"/>
    </row>
    <row r="144" spans="1:12" x14ac:dyDescent="0.25">
      <c r="A144" s="371"/>
      <c r="B144" s="370">
        <v>42577</v>
      </c>
      <c r="C144" s="371">
        <v>120</v>
      </c>
      <c r="D144" s="372">
        <v>87.677300000000002</v>
      </c>
      <c r="E144" s="372">
        <v>81.05</v>
      </c>
      <c r="F144" s="372">
        <f t="shared" si="37"/>
        <v>-795.27600000000064</v>
      </c>
      <c r="G144" s="372">
        <f t="shared" si="35"/>
        <v>10521.276</v>
      </c>
      <c r="H144" s="374">
        <f t="shared" si="36"/>
        <v>-7.5587409740035388E-2</v>
      </c>
      <c r="I144" s="717"/>
      <c r="J144" s="371"/>
      <c r="K144" s="371"/>
      <c r="L144" s="371"/>
    </row>
    <row r="145" spans="1:12" x14ac:dyDescent="0.25">
      <c r="A145" s="371"/>
      <c r="B145" s="370">
        <v>42580</v>
      </c>
      <c r="C145" s="371">
        <v>150</v>
      </c>
      <c r="D145" s="372">
        <v>86.017899999999997</v>
      </c>
      <c r="E145" s="372">
        <v>79.47</v>
      </c>
      <c r="F145" s="372">
        <f t="shared" si="37"/>
        <v>-982.18499999999972</v>
      </c>
      <c r="G145" s="372">
        <f t="shared" si="35"/>
        <v>12902.684999999999</v>
      </c>
      <c r="H145" s="374">
        <f t="shared" si="36"/>
        <v>-7.6122527985454172E-2</v>
      </c>
      <c r="I145" s="717"/>
      <c r="J145" s="371"/>
      <c r="K145" s="371"/>
      <c r="L145" s="371"/>
    </row>
    <row r="146" spans="1:12" x14ac:dyDescent="0.25">
      <c r="A146" s="371"/>
      <c r="B146" s="370">
        <v>42593</v>
      </c>
      <c r="C146" s="371">
        <v>150</v>
      </c>
      <c r="D146" s="372">
        <v>86.017899999999997</v>
      </c>
      <c r="E146" s="372">
        <v>78.900000000000006</v>
      </c>
      <c r="F146" s="372">
        <f t="shared" si="37"/>
        <v>-1067.6849999999988</v>
      </c>
      <c r="G146" s="372">
        <f t="shared" si="35"/>
        <v>12902.684999999999</v>
      </c>
      <c r="H146" s="374">
        <f t="shared" si="36"/>
        <v>-8.2749055719797765E-2</v>
      </c>
      <c r="I146" s="717"/>
      <c r="J146" s="371"/>
      <c r="K146" s="371"/>
      <c r="L146" s="371"/>
    </row>
    <row r="147" spans="1:12" x14ac:dyDescent="0.25">
      <c r="A147" s="371"/>
      <c r="B147" s="370">
        <v>42597</v>
      </c>
      <c r="C147" s="371">
        <v>150</v>
      </c>
      <c r="D147" s="372">
        <v>86.017899999999997</v>
      </c>
      <c r="E147" s="372">
        <v>79.650000000000006</v>
      </c>
      <c r="F147" s="372">
        <f t="shared" si="37"/>
        <v>-955.18499999999881</v>
      </c>
      <c r="G147" s="372">
        <f t="shared" si="35"/>
        <v>12902.684999999999</v>
      </c>
      <c r="H147" s="374">
        <f t="shared" si="36"/>
        <v>-7.4029940279871892E-2</v>
      </c>
      <c r="I147" s="717"/>
      <c r="J147" s="371"/>
      <c r="K147" s="371"/>
      <c r="L147" s="371"/>
    </row>
    <row r="148" spans="1:12" x14ac:dyDescent="0.25">
      <c r="A148" s="371"/>
      <c r="B148" s="370">
        <v>42599</v>
      </c>
      <c r="C148" s="371">
        <v>150</v>
      </c>
      <c r="D148" s="372">
        <v>86.017899999999997</v>
      </c>
      <c r="E148" s="372">
        <v>80.7</v>
      </c>
      <c r="F148" s="372">
        <f t="shared" si="37"/>
        <v>-797.68499999999915</v>
      </c>
      <c r="G148" s="372">
        <f t="shared" si="35"/>
        <v>12902.684999999999</v>
      </c>
      <c r="H148" s="374">
        <f t="shared" si="36"/>
        <v>-6.1823178663975693E-2</v>
      </c>
      <c r="I148" s="717"/>
      <c r="J148" s="371"/>
      <c r="K148" s="371"/>
      <c r="L148" s="371"/>
    </row>
    <row r="149" spans="1:12" x14ac:dyDescent="0.25">
      <c r="A149" s="371"/>
      <c r="B149" s="370">
        <v>42600</v>
      </c>
      <c r="C149" s="371">
        <v>150</v>
      </c>
      <c r="D149" s="372">
        <v>86.017899999999997</v>
      </c>
      <c r="E149" s="372">
        <v>80.59</v>
      </c>
      <c r="F149" s="372">
        <f t="shared" si="37"/>
        <v>-814.18499999999904</v>
      </c>
      <c r="G149" s="372">
        <f t="shared" si="35"/>
        <v>12902.684999999999</v>
      </c>
      <c r="H149" s="374">
        <f t="shared" si="36"/>
        <v>-6.3101982261831474E-2</v>
      </c>
      <c r="I149" s="717"/>
      <c r="J149" s="371"/>
      <c r="K149" s="371"/>
      <c r="L149" s="371"/>
    </row>
    <row r="150" spans="1:12" x14ac:dyDescent="0.25">
      <c r="A150" s="371"/>
      <c r="B150" s="370">
        <v>42601</v>
      </c>
      <c r="C150" s="371">
        <v>150</v>
      </c>
      <c r="D150" s="372">
        <v>86.017899999999997</v>
      </c>
      <c r="E150" s="372">
        <v>81</v>
      </c>
      <c r="F150" s="372">
        <f t="shared" si="37"/>
        <v>-752.6849999999996</v>
      </c>
      <c r="G150" s="372">
        <f t="shared" si="35"/>
        <v>12902.684999999999</v>
      </c>
      <c r="H150" s="374">
        <f t="shared" si="36"/>
        <v>-5.8335532488005375E-2</v>
      </c>
      <c r="I150" s="717"/>
      <c r="J150" s="371"/>
      <c r="K150" s="371"/>
      <c r="L150" s="371"/>
    </row>
    <row r="151" spans="1:12" x14ac:dyDescent="0.25">
      <c r="A151" s="371"/>
      <c r="B151" s="370">
        <v>42605</v>
      </c>
      <c r="C151" s="371">
        <v>150</v>
      </c>
      <c r="D151" s="372">
        <v>86.017899999999997</v>
      </c>
      <c r="E151" s="372">
        <v>81.47</v>
      </c>
      <c r="F151" s="372">
        <f t="shared" si="37"/>
        <v>-682.18499999999972</v>
      </c>
      <c r="G151" s="372">
        <f t="shared" si="35"/>
        <v>12902.684999999999</v>
      </c>
      <c r="H151" s="374">
        <f t="shared" si="36"/>
        <v>-5.2871553478985173E-2</v>
      </c>
      <c r="I151" s="717"/>
      <c r="J151" s="371"/>
      <c r="K151" s="371"/>
      <c r="L151" s="371"/>
    </row>
    <row r="152" spans="1:12" x14ac:dyDescent="0.25">
      <c r="A152" s="371"/>
      <c r="B152" s="370">
        <v>42606</v>
      </c>
      <c r="C152" s="371">
        <v>150</v>
      </c>
      <c r="D152" s="372">
        <v>86.017899999999997</v>
      </c>
      <c r="E152" s="372">
        <v>80.5</v>
      </c>
      <c r="F152" s="372">
        <f t="shared" si="37"/>
        <v>-827.6849999999996</v>
      </c>
      <c r="G152" s="372">
        <f t="shared" si="35"/>
        <v>12902.684999999999</v>
      </c>
      <c r="H152" s="374">
        <f t="shared" si="36"/>
        <v>-6.4148276114622621E-2</v>
      </c>
      <c r="I152" s="717"/>
      <c r="J152" s="371"/>
      <c r="K152" s="371"/>
      <c r="L152" s="371"/>
    </row>
    <row r="153" spans="1:12" x14ac:dyDescent="0.25">
      <c r="A153" s="371"/>
      <c r="B153" s="370">
        <v>42607</v>
      </c>
      <c r="C153" s="371">
        <v>150</v>
      </c>
      <c r="D153" s="372">
        <v>86.017899999999997</v>
      </c>
      <c r="E153" s="372">
        <v>80.08</v>
      </c>
      <c r="F153" s="372">
        <f t="shared" si="37"/>
        <v>-890.68499999999983</v>
      </c>
      <c r="G153" s="372">
        <f t="shared" si="35"/>
        <v>12902.684999999999</v>
      </c>
      <c r="H153" s="374">
        <f t="shared" si="36"/>
        <v>-6.9030980760981131E-2</v>
      </c>
      <c r="I153" s="717"/>
      <c r="J153" s="371"/>
      <c r="K153" s="371"/>
      <c r="L153" s="371"/>
    </row>
    <row r="154" spans="1:12" x14ac:dyDescent="0.25">
      <c r="A154" s="371"/>
      <c r="B154" s="370">
        <v>42608</v>
      </c>
      <c r="C154" s="371">
        <v>170</v>
      </c>
      <c r="D154" s="372">
        <v>85.225200000000001</v>
      </c>
      <c r="E154" s="372">
        <v>79.77</v>
      </c>
      <c r="F154" s="372">
        <f t="shared" si="37"/>
        <v>-927.38400000000081</v>
      </c>
      <c r="G154" s="372">
        <f t="shared" si="35"/>
        <v>14488.284</v>
      </c>
      <c r="H154" s="374">
        <f t="shared" si="36"/>
        <v>-6.4009236704636707E-2</v>
      </c>
      <c r="I154" s="717"/>
      <c r="J154" s="371"/>
      <c r="K154" s="371"/>
      <c r="L154" s="371"/>
    </row>
    <row r="155" spans="1:12" x14ac:dyDescent="0.25">
      <c r="A155" s="371"/>
      <c r="B155" s="370">
        <v>42609</v>
      </c>
      <c r="C155" s="371">
        <v>170</v>
      </c>
      <c r="D155" s="372">
        <v>85.225200000000001</v>
      </c>
      <c r="E155" s="372">
        <v>77.92</v>
      </c>
      <c r="F155" s="372">
        <f t="shared" si="37"/>
        <v>-1241.8839999999998</v>
      </c>
      <c r="G155" s="372">
        <f t="shared" si="35"/>
        <v>14488.284</v>
      </c>
      <c r="H155" s="374">
        <f t="shared" si="36"/>
        <v>-8.5716431290275633E-2</v>
      </c>
      <c r="I155" s="717"/>
      <c r="J155" s="371"/>
      <c r="K155" s="371"/>
      <c r="L155" s="371"/>
    </row>
    <row r="156" spans="1:12" x14ac:dyDescent="0.25">
      <c r="A156" s="371"/>
      <c r="B156" s="370">
        <v>42614</v>
      </c>
      <c r="C156" s="371">
        <v>200</v>
      </c>
      <c r="D156" s="372">
        <v>84.093400000000003</v>
      </c>
      <c r="E156" s="372">
        <v>77.42</v>
      </c>
      <c r="F156" s="372">
        <f t="shared" si="37"/>
        <v>-1334.6800000000003</v>
      </c>
      <c r="G156" s="372">
        <f t="shared" si="35"/>
        <v>16818.68</v>
      </c>
      <c r="H156" s="374">
        <f t="shared" si="36"/>
        <v>-7.9357000668304534E-2</v>
      </c>
      <c r="I156" s="717"/>
      <c r="J156" s="371"/>
      <c r="K156" s="371"/>
      <c r="L156" s="371"/>
    </row>
    <row r="157" spans="1:12" x14ac:dyDescent="0.25">
      <c r="A157" s="371"/>
      <c r="B157" s="370">
        <v>42615</v>
      </c>
      <c r="C157" s="371">
        <v>200</v>
      </c>
      <c r="D157" s="372">
        <v>84.093400000000003</v>
      </c>
      <c r="E157" s="372">
        <v>76.89</v>
      </c>
      <c r="F157" s="372">
        <f t="shared" si="37"/>
        <v>-1440.6800000000003</v>
      </c>
      <c r="G157" s="372">
        <f t="shared" si="35"/>
        <v>16818.68</v>
      </c>
      <c r="H157" s="374">
        <f t="shared" si="36"/>
        <v>-8.5659516680262685E-2</v>
      </c>
      <c r="I157" s="717"/>
      <c r="J157" s="371"/>
      <c r="K157" s="371"/>
      <c r="L157" s="371"/>
    </row>
    <row r="158" spans="1:12" x14ac:dyDescent="0.25">
      <c r="A158" s="371"/>
      <c r="B158" s="370">
        <v>42619</v>
      </c>
      <c r="C158" s="371">
        <v>200</v>
      </c>
      <c r="D158" s="372">
        <v>84.093400000000003</v>
      </c>
      <c r="E158" s="372">
        <v>77.88</v>
      </c>
      <c r="F158" s="372">
        <f t="shared" si="37"/>
        <v>-1242.6800000000014</v>
      </c>
      <c r="G158" s="372">
        <f t="shared" si="35"/>
        <v>16818.68</v>
      </c>
      <c r="H158" s="374">
        <f t="shared" si="36"/>
        <v>-7.3886892431510753E-2</v>
      </c>
      <c r="I158" s="717"/>
      <c r="J158" s="371"/>
      <c r="K158" s="371"/>
      <c r="L158" s="371"/>
    </row>
    <row r="159" spans="1:12" x14ac:dyDescent="0.25">
      <c r="A159" s="371"/>
      <c r="B159" s="370">
        <v>42632</v>
      </c>
      <c r="C159" s="371">
        <v>200</v>
      </c>
      <c r="D159" s="372">
        <v>84.093400000000003</v>
      </c>
      <c r="E159" s="372">
        <v>78.989999999999995</v>
      </c>
      <c r="F159" s="372">
        <f t="shared" si="37"/>
        <v>-1020.6800000000015</v>
      </c>
      <c r="G159" s="372">
        <f t="shared" si="35"/>
        <v>16818.68</v>
      </c>
      <c r="H159" s="374">
        <f t="shared" si="36"/>
        <v>-6.0687283425334304E-2</v>
      </c>
      <c r="I159" s="717"/>
      <c r="J159" s="371"/>
      <c r="K159" s="371"/>
      <c r="L159" s="371"/>
    </row>
    <row r="160" spans="1:12" x14ac:dyDescent="0.25">
      <c r="A160" s="371"/>
      <c r="B160" s="370">
        <v>42633</v>
      </c>
      <c r="C160" s="371">
        <v>200</v>
      </c>
      <c r="D160" s="372">
        <v>84.093400000000003</v>
      </c>
      <c r="E160" s="372">
        <v>81.78</v>
      </c>
      <c r="F160" s="372">
        <f t="shared" si="37"/>
        <v>-462.68000000000029</v>
      </c>
      <c r="G160" s="372">
        <f t="shared" si="35"/>
        <v>16818.68</v>
      </c>
      <c r="H160" s="374">
        <f t="shared" si="36"/>
        <v>-2.7509887815215003E-2</v>
      </c>
      <c r="I160" s="717"/>
      <c r="J160" s="371"/>
      <c r="K160" s="371"/>
      <c r="L160" s="371"/>
    </row>
    <row r="161" spans="1:12" x14ac:dyDescent="0.25">
      <c r="A161" s="371"/>
      <c r="B161" s="370">
        <v>42635</v>
      </c>
      <c r="C161" s="371">
        <v>200</v>
      </c>
      <c r="D161" s="372">
        <v>84.093400000000003</v>
      </c>
      <c r="E161" s="372">
        <v>81.52</v>
      </c>
      <c r="F161" s="372">
        <f t="shared" si="37"/>
        <v>-514.68000000000131</v>
      </c>
      <c r="G161" s="372">
        <f t="shared" si="35"/>
        <v>16818.68</v>
      </c>
      <c r="H161" s="374">
        <f t="shared" si="36"/>
        <v>-3.060168812296811E-2</v>
      </c>
      <c r="I161" s="717"/>
      <c r="J161" s="371"/>
      <c r="K161" s="371"/>
      <c r="L161" s="371"/>
    </row>
    <row r="162" spans="1:12" x14ac:dyDescent="0.25">
      <c r="A162" s="371"/>
      <c r="B162" s="370">
        <v>42640</v>
      </c>
      <c r="C162" s="371">
        <v>200</v>
      </c>
      <c r="D162" s="372">
        <v>84.093400000000003</v>
      </c>
      <c r="E162" s="372">
        <v>79.25</v>
      </c>
      <c r="F162" s="372">
        <f t="shared" si="37"/>
        <v>-968.68000000000052</v>
      </c>
      <c r="G162" s="372">
        <f t="shared" si="35"/>
        <v>16818.68</v>
      </c>
      <c r="H162" s="374">
        <f t="shared" si="36"/>
        <v>-5.7595483117581198E-2</v>
      </c>
      <c r="I162" s="717" t="s">
        <v>185</v>
      </c>
      <c r="J162" s="371"/>
      <c r="K162" s="371"/>
      <c r="L162" s="371"/>
    </row>
    <row r="163" spans="1:12" x14ac:dyDescent="0.25">
      <c r="A163" s="371"/>
      <c r="B163" s="370">
        <v>42643</v>
      </c>
      <c r="C163" s="371">
        <v>200</v>
      </c>
      <c r="D163" s="372">
        <v>83.623400000000004</v>
      </c>
      <c r="E163" s="372">
        <v>79.12</v>
      </c>
      <c r="F163" s="372">
        <f t="shared" si="37"/>
        <v>-900.67999999999984</v>
      </c>
      <c r="G163" s="372">
        <f t="shared" si="35"/>
        <v>16724.68</v>
      </c>
      <c r="H163" s="374">
        <f t="shared" si="36"/>
        <v>-5.3853347268826658E-2</v>
      </c>
      <c r="I163" s="372">
        <v>83</v>
      </c>
      <c r="J163" s="371"/>
      <c r="K163" s="371"/>
      <c r="L163" s="371"/>
    </row>
    <row r="164" spans="1:12" x14ac:dyDescent="0.25">
      <c r="A164" s="371"/>
      <c r="B164" s="370">
        <v>42646</v>
      </c>
      <c r="C164" s="371">
        <v>200</v>
      </c>
      <c r="D164" s="372">
        <v>83.518799999999999</v>
      </c>
      <c r="E164" s="372">
        <v>78.03</v>
      </c>
      <c r="F164" s="372">
        <f t="shared" si="37"/>
        <v>-1097.7599999999995</v>
      </c>
      <c r="G164" s="372">
        <f t="shared" si="35"/>
        <v>16703.759999999998</v>
      </c>
      <c r="H164" s="374">
        <f t="shared" si="36"/>
        <v>-6.5719335047917327E-2</v>
      </c>
      <c r="I164" s="717"/>
      <c r="J164" s="371"/>
      <c r="K164" s="371"/>
      <c r="L164" s="371"/>
    </row>
    <row r="165" spans="1:12" x14ac:dyDescent="0.25">
      <c r="A165" s="371"/>
      <c r="B165" s="370">
        <v>42649</v>
      </c>
      <c r="C165" s="371">
        <v>250</v>
      </c>
      <c r="D165" s="372">
        <v>82.090999999999994</v>
      </c>
      <c r="E165" s="372">
        <v>76.209999999999994</v>
      </c>
      <c r="F165" s="372">
        <f t="shared" si="37"/>
        <v>-1470.25</v>
      </c>
      <c r="G165" s="372">
        <f t="shared" si="35"/>
        <v>20522.75</v>
      </c>
      <c r="H165" s="374">
        <f t="shared" si="36"/>
        <v>-7.1640009258018542E-2</v>
      </c>
      <c r="I165" s="717"/>
      <c r="J165" s="371"/>
      <c r="K165" s="371"/>
      <c r="L165" s="371"/>
    </row>
    <row r="166" spans="1:12" x14ac:dyDescent="0.25">
      <c r="A166" s="371"/>
      <c r="B166" s="370">
        <v>42650</v>
      </c>
      <c r="C166" s="371">
        <v>250</v>
      </c>
      <c r="D166" s="372">
        <v>82.090999999999994</v>
      </c>
      <c r="E166" s="372">
        <v>75.239999999999995</v>
      </c>
      <c r="F166" s="372">
        <f t="shared" si="37"/>
        <v>-1712.7499999999998</v>
      </c>
      <c r="G166" s="372">
        <f t="shared" si="35"/>
        <v>20522.75</v>
      </c>
      <c r="H166" s="374">
        <f t="shared" si="36"/>
        <v>-8.3456164500371535E-2</v>
      </c>
      <c r="I166" s="717"/>
      <c r="J166" s="371"/>
      <c r="K166" s="371"/>
      <c r="L166" s="371"/>
    </row>
    <row r="167" spans="1:12" x14ac:dyDescent="0.25">
      <c r="A167" s="371"/>
      <c r="B167" s="370">
        <v>42661</v>
      </c>
      <c r="C167" s="371">
        <v>250</v>
      </c>
      <c r="D167" s="372">
        <v>82.090999999999994</v>
      </c>
      <c r="E167" s="372">
        <v>73.41</v>
      </c>
      <c r="F167" s="372">
        <f t="shared" si="37"/>
        <v>-2170.2499999999995</v>
      </c>
      <c r="G167" s="372">
        <f t="shared" si="35"/>
        <v>20522.75</v>
      </c>
      <c r="H167" s="374">
        <f t="shared" si="36"/>
        <v>-0.105748498617388</v>
      </c>
      <c r="I167" s="717"/>
      <c r="J167" s="371"/>
      <c r="K167" s="371"/>
      <c r="L167" s="371"/>
    </row>
    <row r="168" spans="1:12" x14ac:dyDescent="0.25">
      <c r="A168" s="371"/>
      <c r="B168" s="370">
        <v>42676</v>
      </c>
      <c r="C168" s="371">
        <v>250</v>
      </c>
      <c r="D168" s="372">
        <v>82.090999999999994</v>
      </c>
      <c r="E168" s="372">
        <v>72.510000000000005</v>
      </c>
      <c r="F168" s="372">
        <f t="shared" si="37"/>
        <v>-2395.2499999999973</v>
      </c>
      <c r="G168" s="372">
        <f t="shared" si="35"/>
        <v>20522.75</v>
      </c>
      <c r="H168" s="374">
        <f t="shared" si="36"/>
        <v>-0.11671194162575665</v>
      </c>
      <c r="I168" s="717"/>
      <c r="J168" s="371"/>
      <c r="K168" s="371"/>
      <c r="L168" s="371"/>
    </row>
    <row r="169" spans="1:12" x14ac:dyDescent="0.25">
      <c r="A169" s="371"/>
      <c r="B169" s="370">
        <v>42701</v>
      </c>
      <c r="C169" s="371">
        <v>200</v>
      </c>
      <c r="D169" s="372">
        <v>82.49</v>
      </c>
      <c r="E169" s="372">
        <v>75.44</v>
      </c>
      <c r="F169" s="372">
        <f t="shared" si="37"/>
        <v>-1409.9999999999995</v>
      </c>
      <c r="G169" s="372">
        <f t="shared" si="35"/>
        <v>16498</v>
      </c>
      <c r="H169" s="374">
        <f t="shared" si="36"/>
        <v>-8.5464904836949906E-2</v>
      </c>
      <c r="I169" s="503" t="s">
        <v>308</v>
      </c>
      <c r="J169" s="371"/>
      <c r="K169" s="371"/>
      <c r="L169" s="371"/>
    </row>
    <row r="170" spans="1:12" x14ac:dyDescent="0.25">
      <c r="A170" s="371"/>
      <c r="B170" s="370">
        <v>42704</v>
      </c>
      <c r="C170" s="371">
        <v>200</v>
      </c>
      <c r="D170" s="372">
        <v>82.49</v>
      </c>
      <c r="E170" s="372">
        <v>73.7</v>
      </c>
      <c r="F170" s="372">
        <f t="shared" si="37"/>
        <v>-1757.9999999999984</v>
      </c>
      <c r="G170" s="372">
        <f t="shared" ref="G170:G202" si="38">D170*C170</f>
        <v>16498</v>
      </c>
      <c r="H170" s="374">
        <f t="shared" ref="H170:H204" si="39">(E170-D170)/D170</f>
        <v>-0.10655837071160132</v>
      </c>
      <c r="I170" s="717"/>
      <c r="J170" s="371"/>
      <c r="K170" s="371"/>
      <c r="L170" s="371"/>
    </row>
    <row r="171" spans="1:12" x14ac:dyDescent="0.25">
      <c r="A171" s="371"/>
      <c r="B171" s="370">
        <v>42705</v>
      </c>
      <c r="C171" s="371">
        <v>250</v>
      </c>
      <c r="D171" s="372">
        <v>80.656000000000006</v>
      </c>
      <c r="E171" s="372">
        <v>72.84</v>
      </c>
      <c r="F171" s="372">
        <f t="shared" si="37"/>
        <v>-1954.0000000000007</v>
      </c>
      <c r="G171" s="372">
        <f t="shared" si="38"/>
        <v>20164</v>
      </c>
      <c r="H171" s="374">
        <f t="shared" si="39"/>
        <v>-9.6905375917476722E-2</v>
      </c>
      <c r="I171" s="717"/>
      <c r="J171" s="371"/>
      <c r="K171" s="371"/>
      <c r="L171" s="371"/>
    </row>
    <row r="172" spans="1:12" x14ac:dyDescent="0.25">
      <c r="A172" s="371"/>
      <c r="B172" s="370">
        <v>42717</v>
      </c>
      <c r="C172" s="371">
        <v>200</v>
      </c>
      <c r="D172" s="372">
        <v>82.125900000000001</v>
      </c>
      <c r="E172" s="372">
        <v>74.84</v>
      </c>
      <c r="F172" s="372">
        <f t="shared" si="37"/>
        <v>-1457.1799999999996</v>
      </c>
      <c r="G172" s="372">
        <f t="shared" si="38"/>
        <v>16425.18</v>
      </c>
      <c r="H172" s="374">
        <f t="shared" si="39"/>
        <v>-8.8716227158545574E-2</v>
      </c>
      <c r="I172" s="717"/>
      <c r="J172" s="371"/>
      <c r="K172" s="371"/>
      <c r="L172" s="371"/>
    </row>
    <row r="173" spans="1:12" x14ac:dyDescent="0.25">
      <c r="A173" s="371"/>
      <c r="B173" s="370">
        <v>42717</v>
      </c>
      <c r="C173" s="371">
        <v>150</v>
      </c>
      <c r="D173" s="372">
        <v>84.257800000000003</v>
      </c>
      <c r="E173" s="372">
        <v>74.84</v>
      </c>
      <c r="F173" s="372">
        <f t="shared" si="37"/>
        <v>-1412.67</v>
      </c>
      <c r="G173" s="372">
        <f t="shared" si="38"/>
        <v>12638.67</v>
      </c>
      <c r="H173" s="374">
        <f t="shared" si="39"/>
        <v>-0.11177362807953685</v>
      </c>
      <c r="I173" s="717"/>
      <c r="J173" s="371"/>
      <c r="K173" s="371"/>
      <c r="L173" s="371"/>
    </row>
    <row r="174" spans="1:12" x14ac:dyDescent="0.25">
      <c r="A174" s="371"/>
      <c r="B174" s="370">
        <v>42717</v>
      </c>
      <c r="C174" s="371">
        <v>200</v>
      </c>
      <c r="D174" s="372">
        <v>81.988399999999999</v>
      </c>
      <c r="E174" s="372">
        <v>74.84</v>
      </c>
      <c r="F174" s="372">
        <f t="shared" si="37"/>
        <v>-1429.6799999999989</v>
      </c>
      <c r="G174" s="372">
        <f t="shared" si="38"/>
        <v>16397.68</v>
      </c>
      <c r="H174" s="374">
        <f t="shared" si="39"/>
        <v>-8.718794366032262E-2</v>
      </c>
      <c r="I174" s="503" t="s">
        <v>320</v>
      </c>
      <c r="J174" s="371"/>
      <c r="K174" s="371"/>
      <c r="L174" s="371"/>
    </row>
    <row r="175" spans="1:12" x14ac:dyDescent="0.25">
      <c r="A175" s="371"/>
      <c r="B175" s="370">
        <v>42733</v>
      </c>
      <c r="C175" s="371">
        <v>250</v>
      </c>
      <c r="D175" s="372">
        <v>80.886700000000005</v>
      </c>
      <c r="E175" s="372">
        <v>72.08</v>
      </c>
      <c r="F175" s="372">
        <f t="shared" si="37"/>
        <v>-2201.6750000000015</v>
      </c>
      <c r="G175" s="372">
        <f t="shared" si="38"/>
        <v>20221.675000000003</v>
      </c>
      <c r="H175" s="374">
        <f t="shared" si="39"/>
        <v>-0.10887698472060309</v>
      </c>
      <c r="I175" s="717"/>
      <c r="J175" s="371"/>
      <c r="K175" s="371"/>
      <c r="L175" s="371"/>
    </row>
    <row r="176" spans="1:12" x14ac:dyDescent="0.25">
      <c r="A176" s="371"/>
      <c r="B176" s="370">
        <v>42734</v>
      </c>
      <c r="C176" s="371">
        <v>250</v>
      </c>
      <c r="D176" s="372">
        <v>79.536699999999996</v>
      </c>
      <c r="E176" s="372">
        <v>72.08</v>
      </c>
      <c r="F176" s="372">
        <f t="shared" si="37"/>
        <v>-1864.1749999999995</v>
      </c>
      <c r="G176" s="372">
        <f t="shared" si="38"/>
        <v>19884.174999999999</v>
      </c>
      <c r="H176" s="374">
        <f t="shared" si="39"/>
        <v>-9.3751689471652688E-2</v>
      </c>
      <c r="I176" s="717" t="s">
        <v>185</v>
      </c>
      <c r="J176" s="371"/>
      <c r="K176" s="371"/>
      <c r="L176" s="371"/>
    </row>
    <row r="177" spans="1:12" x14ac:dyDescent="0.25">
      <c r="A177" s="371"/>
      <c r="B177" s="370">
        <v>42738</v>
      </c>
      <c r="C177" s="371">
        <v>200</v>
      </c>
      <c r="D177" s="372">
        <v>81.026300000000006</v>
      </c>
      <c r="E177" s="372">
        <v>74.16</v>
      </c>
      <c r="F177" s="372">
        <f t="shared" si="37"/>
        <v>-1373.260000000002</v>
      </c>
      <c r="G177" s="372">
        <f t="shared" si="38"/>
        <v>16205.260000000002</v>
      </c>
      <c r="H177" s="374">
        <f t="shared" si="39"/>
        <v>-8.4741620930488121E-2</v>
      </c>
      <c r="I177" s="717"/>
      <c r="J177" s="371"/>
      <c r="K177" s="371"/>
      <c r="L177" s="371"/>
    </row>
    <row r="178" spans="1:12" x14ac:dyDescent="0.25">
      <c r="A178" s="371"/>
      <c r="B178" s="370">
        <v>42739</v>
      </c>
      <c r="C178" s="371">
        <v>200</v>
      </c>
      <c r="D178" s="372">
        <v>81.026300000000006</v>
      </c>
      <c r="E178" s="372">
        <v>76.38</v>
      </c>
      <c r="F178" s="372">
        <f t="shared" si="37"/>
        <v>-929.26000000000215</v>
      </c>
      <c r="G178" s="372">
        <f t="shared" si="38"/>
        <v>16205.260000000002</v>
      </c>
      <c r="H178" s="374">
        <f t="shared" si="39"/>
        <v>-5.7343109582938014E-2</v>
      </c>
      <c r="I178" s="717"/>
      <c r="J178" s="371"/>
      <c r="K178" s="371"/>
      <c r="L178" s="371"/>
    </row>
    <row r="179" spans="1:12" x14ac:dyDescent="0.25">
      <c r="A179" s="371"/>
      <c r="B179" s="370">
        <v>42746</v>
      </c>
      <c r="C179" s="371">
        <v>200</v>
      </c>
      <c r="D179" s="372">
        <v>81.026300000000006</v>
      </c>
      <c r="E179" s="372">
        <v>73.77</v>
      </c>
      <c r="F179" s="372">
        <f t="shared" si="37"/>
        <v>-1451.260000000002</v>
      </c>
      <c r="G179" s="372">
        <f t="shared" si="38"/>
        <v>16205.260000000002</v>
      </c>
      <c r="H179" s="374">
        <f t="shared" si="39"/>
        <v>-8.9554872923976653E-2</v>
      </c>
      <c r="I179" s="717"/>
      <c r="J179" s="371"/>
      <c r="K179" s="371"/>
      <c r="L179" s="371"/>
    </row>
    <row r="180" spans="1:12" x14ac:dyDescent="0.25">
      <c r="A180" s="371"/>
      <c r="B180" s="370">
        <v>43056</v>
      </c>
      <c r="C180" s="371">
        <v>250</v>
      </c>
      <c r="D180" s="372">
        <v>79.197000000000003</v>
      </c>
      <c r="E180" s="372">
        <v>71.91</v>
      </c>
      <c r="F180" s="372">
        <f t="shared" si="37"/>
        <v>-1821.7500000000016</v>
      </c>
      <c r="G180" s="372">
        <f t="shared" si="38"/>
        <v>19799.25</v>
      </c>
      <c r="H180" s="374">
        <f t="shared" si="39"/>
        <v>-9.2011061025038907E-2</v>
      </c>
      <c r="I180" s="503">
        <v>79</v>
      </c>
      <c r="J180" s="371"/>
      <c r="K180" s="371"/>
      <c r="L180" s="371"/>
    </row>
    <row r="181" spans="1:12" x14ac:dyDescent="0.25">
      <c r="A181" s="371" t="s">
        <v>350</v>
      </c>
      <c r="B181" s="370">
        <v>42755</v>
      </c>
      <c r="C181" s="371">
        <v>300</v>
      </c>
      <c r="D181" s="372">
        <v>77.794200000000004</v>
      </c>
      <c r="E181" s="372">
        <v>71.010000000000005</v>
      </c>
      <c r="F181" s="372">
        <f t="shared" si="37"/>
        <v>-2035.2599999999995</v>
      </c>
      <c r="G181" s="372">
        <f t="shared" si="38"/>
        <v>23338.260000000002</v>
      </c>
      <c r="H181" s="374">
        <f t="shared" si="39"/>
        <v>-8.7207015433027113E-2</v>
      </c>
      <c r="I181" s="717"/>
      <c r="J181" s="371"/>
      <c r="K181" s="371"/>
      <c r="L181" s="371"/>
    </row>
    <row r="182" spans="1:12" x14ac:dyDescent="0.25">
      <c r="A182" s="371" t="s">
        <v>370</v>
      </c>
      <c r="B182" s="370">
        <v>42760</v>
      </c>
      <c r="C182" s="371">
        <v>250</v>
      </c>
      <c r="D182" s="372">
        <v>78.997900000000001</v>
      </c>
      <c r="E182" s="372">
        <v>71.78</v>
      </c>
      <c r="F182" s="372">
        <f t="shared" ref="F182:F204" si="40">C182*(E182-D182)</f>
        <v>-1804.4750000000001</v>
      </c>
      <c r="G182" s="372">
        <f t="shared" si="38"/>
        <v>19749.474999999999</v>
      </c>
      <c r="H182" s="374">
        <f t="shared" si="39"/>
        <v>-9.1368251561117442E-2</v>
      </c>
      <c r="I182" s="503" t="s">
        <v>385</v>
      </c>
      <c r="J182" s="371"/>
      <c r="K182" s="371"/>
      <c r="L182" s="371"/>
    </row>
    <row r="183" spans="1:12" x14ac:dyDescent="0.25">
      <c r="A183" s="371" t="s">
        <v>370</v>
      </c>
      <c r="B183" s="370">
        <v>42762</v>
      </c>
      <c r="C183" s="371">
        <v>250</v>
      </c>
      <c r="D183" s="372">
        <v>78.997900000000001</v>
      </c>
      <c r="E183" s="372">
        <v>71.260000000000005</v>
      </c>
      <c r="F183" s="372">
        <f t="shared" si="40"/>
        <v>-1934.474999999999</v>
      </c>
      <c r="G183" s="372">
        <f t="shared" si="38"/>
        <v>19749.474999999999</v>
      </c>
      <c r="H183" s="374">
        <f t="shared" si="39"/>
        <v>-9.7950705018740952E-2</v>
      </c>
      <c r="I183" s="717"/>
      <c r="J183" s="371"/>
      <c r="K183" s="371"/>
      <c r="L183" s="371"/>
    </row>
    <row r="184" spans="1:12" x14ac:dyDescent="0.25">
      <c r="A184" s="371" t="s">
        <v>408</v>
      </c>
      <c r="B184" s="370">
        <v>42771</v>
      </c>
      <c r="C184" s="371">
        <v>250</v>
      </c>
      <c r="D184" s="372">
        <v>78.997900000000001</v>
      </c>
      <c r="E184" s="372">
        <v>72.34</v>
      </c>
      <c r="F184" s="372">
        <f t="shared" si="40"/>
        <v>-1664.4749999999995</v>
      </c>
      <c r="G184" s="372">
        <f t="shared" si="38"/>
        <v>19749.474999999999</v>
      </c>
      <c r="H184" s="374">
        <f t="shared" si="39"/>
        <v>-8.4279455529830516E-2</v>
      </c>
      <c r="I184" s="717"/>
      <c r="J184" s="371"/>
      <c r="K184" s="371"/>
      <c r="L184" s="371"/>
    </row>
    <row r="185" spans="1:12" x14ac:dyDescent="0.25">
      <c r="A185" s="371" t="s">
        <v>350</v>
      </c>
      <c r="B185" s="370">
        <v>42773</v>
      </c>
      <c r="C185" s="371">
        <v>300</v>
      </c>
      <c r="D185" s="372">
        <v>77.411100000000005</v>
      </c>
      <c r="E185" s="372">
        <v>73.13</v>
      </c>
      <c r="F185" s="372">
        <f t="shared" si="40"/>
        <v>-1284.3300000000027</v>
      </c>
      <c r="G185" s="372">
        <f t="shared" si="38"/>
        <v>23223.33</v>
      </c>
      <c r="H185" s="374">
        <f t="shared" si="39"/>
        <v>-5.5303438395785734E-2</v>
      </c>
      <c r="I185" s="717"/>
      <c r="J185" s="371"/>
      <c r="K185" s="371"/>
      <c r="L185" s="371"/>
    </row>
    <row r="186" spans="1:12" x14ac:dyDescent="0.25">
      <c r="A186" s="371" t="s">
        <v>421</v>
      </c>
      <c r="B186" s="370">
        <v>42774</v>
      </c>
      <c r="C186" s="371">
        <v>350</v>
      </c>
      <c r="D186" s="372">
        <v>76.020899999999997</v>
      </c>
      <c r="E186" s="372">
        <v>66</v>
      </c>
      <c r="F186" s="372">
        <f t="shared" si="40"/>
        <v>-3507.3149999999991</v>
      </c>
      <c r="G186" s="372">
        <f t="shared" si="38"/>
        <v>26607.314999999999</v>
      </c>
      <c r="H186" s="374">
        <f t="shared" si="39"/>
        <v>-0.13181769750160807</v>
      </c>
      <c r="I186" s="717"/>
      <c r="J186" s="371"/>
      <c r="K186" s="371"/>
      <c r="L186" s="371"/>
    </row>
    <row r="187" spans="1:12" x14ac:dyDescent="0.25">
      <c r="A187" s="371" t="s">
        <v>439</v>
      </c>
      <c r="B187" s="370">
        <v>42781</v>
      </c>
      <c r="C187" s="371">
        <v>300</v>
      </c>
      <c r="D187" s="372">
        <v>77.194699999999997</v>
      </c>
      <c r="E187" s="372">
        <v>68.98</v>
      </c>
      <c r="F187" s="372">
        <f t="shared" si="40"/>
        <v>-2464.409999999998</v>
      </c>
      <c r="G187" s="372">
        <f t="shared" si="38"/>
        <v>23158.41</v>
      </c>
      <c r="H187" s="374">
        <f t="shared" si="39"/>
        <v>-0.10641533680421057</v>
      </c>
      <c r="I187" s="717"/>
      <c r="J187" s="371"/>
      <c r="K187" s="371"/>
      <c r="L187" s="371"/>
    </row>
    <row r="188" spans="1:12" x14ac:dyDescent="0.25">
      <c r="A188" s="371" t="s">
        <v>442</v>
      </c>
      <c r="B188" s="370">
        <v>42781</v>
      </c>
      <c r="C188" s="371">
        <v>250</v>
      </c>
      <c r="D188" s="372">
        <v>78.683999999999997</v>
      </c>
      <c r="E188" s="372">
        <v>69.8</v>
      </c>
      <c r="F188" s="372">
        <f t="shared" si="40"/>
        <v>-2221</v>
      </c>
      <c r="G188" s="372">
        <f t="shared" si="38"/>
        <v>19671</v>
      </c>
      <c r="H188" s="374">
        <f t="shared" si="39"/>
        <v>-0.11290732550454985</v>
      </c>
      <c r="I188" s="717"/>
      <c r="J188" s="371"/>
      <c r="K188" s="371"/>
      <c r="L188" s="371"/>
    </row>
    <row r="189" spans="1:12" x14ac:dyDescent="0.25">
      <c r="A189" s="371" t="s">
        <v>456</v>
      </c>
      <c r="B189" s="370">
        <v>42788</v>
      </c>
      <c r="C189" s="371">
        <v>250</v>
      </c>
      <c r="D189" s="372">
        <v>78.683999999999997</v>
      </c>
      <c r="E189" s="372">
        <v>68.83</v>
      </c>
      <c r="F189" s="372">
        <f t="shared" si="40"/>
        <v>-2463.5</v>
      </c>
      <c r="G189" s="372">
        <f t="shared" si="38"/>
        <v>19671</v>
      </c>
      <c r="H189" s="374">
        <f t="shared" si="39"/>
        <v>-0.12523511768593359</v>
      </c>
      <c r="I189" s="717"/>
      <c r="J189" s="371"/>
      <c r="K189" s="371"/>
      <c r="L189" s="371"/>
    </row>
    <row r="190" spans="1:12" x14ac:dyDescent="0.25">
      <c r="A190" s="371" t="s">
        <v>408</v>
      </c>
      <c r="B190" s="370">
        <v>42789</v>
      </c>
      <c r="C190" s="371">
        <v>250</v>
      </c>
      <c r="D190" s="372">
        <v>78.683999999999997</v>
      </c>
      <c r="E190" s="372">
        <v>69.94</v>
      </c>
      <c r="F190" s="372">
        <f t="shared" si="40"/>
        <v>-2186</v>
      </c>
      <c r="G190" s="372">
        <f t="shared" si="38"/>
        <v>19671</v>
      </c>
      <c r="H190" s="374">
        <f t="shared" si="39"/>
        <v>-0.11112805652991714</v>
      </c>
      <c r="I190" s="717"/>
      <c r="J190" s="371"/>
      <c r="K190" s="371"/>
      <c r="L190" s="371"/>
    </row>
    <row r="191" spans="1:12" x14ac:dyDescent="0.25">
      <c r="A191" s="371">
        <v>250</v>
      </c>
      <c r="B191" s="370">
        <v>42808</v>
      </c>
      <c r="C191" s="371">
        <v>250</v>
      </c>
      <c r="D191" s="372">
        <v>78.683999999999997</v>
      </c>
      <c r="E191" s="372">
        <v>67.77</v>
      </c>
      <c r="F191" s="372">
        <f t="shared" si="40"/>
        <v>-2728.5000000000005</v>
      </c>
      <c r="G191" s="372">
        <f t="shared" si="38"/>
        <v>19671</v>
      </c>
      <c r="H191" s="374">
        <f t="shared" si="39"/>
        <v>-0.13870672563672415</v>
      </c>
      <c r="I191" s="717"/>
      <c r="J191" s="371"/>
      <c r="K191" s="371"/>
      <c r="L191" s="371"/>
    </row>
    <row r="192" spans="1:12" x14ac:dyDescent="0.25">
      <c r="A192" s="371">
        <v>250</v>
      </c>
      <c r="B192" s="370">
        <v>42809</v>
      </c>
      <c r="C192" s="371">
        <v>250</v>
      </c>
      <c r="D192" s="372">
        <v>78.683999999999997</v>
      </c>
      <c r="E192" s="372">
        <v>68.47</v>
      </c>
      <c r="F192" s="372">
        <f t="shared" si="40"/>
        <v>-2553.4999999999995</v>
      </c>
      <c r="G192" s="372">
        <f t="shared" si="38"/>
        <v>19671</v>
      </c>
      <c r="H192" s="374">
        <f t="shared" si="39"/>
        <v>-0.12981038076356055</v>
      </c>
      <c r="I192" s="717"/>
      <c r="J192" s="371">
        <v>43.23</v>
      </c>
      <c r="K192" s="371"/>
      <c r="L192" s="371"/>
    </row>
    <row r="193" spans="1:12" x14ac:dyDescent="0.25">
      <c r="A193" s="371">
        <v>250</v>
      </c>
      <c r="B193" s="370">
        <v>42819</v>
      </c>
      <c r="C193" s="371">
        <v>250</v>
      </c>
      <c r="D193" s="372">
        <v>78.683999999999997</v>
      </c>
      <c r="E193" s="372">
        <v>67.510000000000005</v>
      </c>
      <c r="F193" s="372">
        <f t="shared" si="40"/>
        <v>-2793.4999999999982</v>
      </c>
      <c r="G193" s="372">
        <f t="shared" si="38"/>
        <v>19671</v>
      </c>
      <c r="H193" s="374">
        <f t="shared" si="39"/>
        <v>-0.14201108230389906</v>
      </c>
      <c r="I193" s="717"/>
      <c r="J193" s="371"/>
      <c r="K193" s="371"/>
      <c r="L193" s="371"/>
    </row>
    <row r="194" spans="1:12" x14ac:dyDescent="0.25">
      <c r="A194" s="371">
        <v>250</v>
      </c>
      <c r="B194" s="370">
        <v>42820</v>
      </c>
      <c r="C194" s="371">
        <v>250</v>
      </c>
      <c r="D194" s="372">
        <v>78.164000000000001</v>
      </c>
      <c r="E194" s="372">
        <v>67.92</v>
      </c>
      <c r="F194" s="372">
        <f t="shared" si="40"/>
        <v>-2561</v>
      </c>
      <c r="G194" s="372">
        <f t="shared" si="38"/>
        <v>19541</v>
      </c>
      <c r="H194" s="374">
        <f t="shared" si="39"/>
        <v>-0.13105777595824164</v>
      </c>
      <c r="I194" s="717" t="s">
        <v>185</v>
      </c>
      <c r="J194" s="371">
        <v>44.78</v>
      </c>
      <c r="K194" s="371"/>
      <c r="L194" s="371"/>
    </row>
    <row r="195" spans="1:12" x14ac:dyDescent="0.25">
      <c r="A195" s="371">
        <v>250</v>
      </c>
      <c r="B195" s="370">
        <v>42821</v>
      </c>
      <c r="C195" s="371">
        <v>250</v>
      </c>
      <c r="D195" s="372">
        <v>78.164000000000001</v>
      </c>
      <c r="E195" s="372">
        <v>66.02</v>
      </c>
      <c r="F195" s="372">
        <f t="shared" si="40"/>
        <v>-3036.0000000000014</v>
      </c>
      <c r="G195" s="372">
        <f t="shared" si="38"/>
        <v>19541</v>
      </c>
      <c r="H195" s="374">
        <f t="shared" si="39"/>
        <v>-0.15536564147177737</v>
      </c>
      <c r="I195" s="717"/>
      <c r="J195" s="371"/>
      <c r="K195" s="371"/>
      <c r="L195" s="371"/>
    </row>
    <row r="196" spans="1:12" x14ac:dyDescent="0.25">
      <c r="A196" s="371">
        <v>250</v>
      </c>
      <c r="B196" s="370">
        <v>42862</v>
      </c>
      <c r="C196" s="371">
        <v>250</v>
      </c>
      <c r="D196" s="372">
        <v>78.164000000000001</v>
      </c>
      <c r="E196" s="372">
        <v>67.8</v>
      </c>
      <c r="F196" s="372">
        <f t="shared" si="40"/>
        <v>-2591.0000000000009</v>
      </c>
      <c r="G196" s="372">
        <f t="shared" si="38"/>
        <v>19541</v>
      </c>
      <c r="H196" s="374">
        <f t="shared" si="39"/>
        <v>-0.13259300956962289</v>
      </c>
      <c r="I196" s="717"/>
      <c r="J196" s="371"/>
      <c r="K196" s="371"/>
      <c r="L196" s="371"/>
    </row>
    <row r="197" spans="1:12" x14ac:dyDescent="0.25">
      <c r="A197" s="371">
        <v>250</v>
      </c>
      <c r="B197" s="370">
        <v>42917</v>
      </c>
      <c r="C197" s="371">
        <v>250</v>
      </c>
      <c r="D197" s="372">
        <v>77.644000000000005</v>
      </c>
      <c r="E197" s="372">
        <v>70.78</v>
      </c>
      <c r="F197" s="372">
        <f t="shared" si="40"/>
        <v>-1716.0000000000011</v>
      </c>
      <c r="G197" s="372">
        <f t="shared" si="38"/>
        <v>19411</v>
      </c>
      <c r="H197" s="374">
        <f t="shared" si="39"/>
        <v>-8.8403482561434293E-2</v>
      </c>
      <c r="I197" s="717"/>
      <c r="J197" s="371"/>
      <c r="K197" s="371"/>
      <c r="L197" s="371"/>
    </row>
    <row r="198" spans="1:12" x14ac:dyDescent="0.25">
      <c r="A198" s="371">
        <v>200</v>
      </c>
      <c r="B198" s="370">
        <v>42940</v>
      </c>
      <c r="C198" s="371">
        <v>200</v>
      </c>
      <c r="D198" s="372">
        <v>78.535399999999996</v>
      </c>
      <c r="E198" s="372">
        <v>74.39</v>
      </c>
      <c r="F198" s="372">
        <f t="shared" si="40"/>
        <v>-829.07999999999902</v>
      </c>
      <c r="G198" s="372">
        <f t="shared" si="38"/>
        <v>15707.08</v>
      </c>
      <c r="H198" s="374">
        <f t="shared" si="39"/>
        <v>-5.2783840153612198E-2</v>
      </c>
      <c r="I198" s="717" t="s">
        <v>755</v>
      </c>
      <c r="J198" s="371"/>
      <c r="K198" s="371"/>
      <c r="L198" s="371"/>
    </row>
    <row r="199" spans="1:12" x14ac:dyDescent="0.25">
      <c r="A199" s="371">
        <v>200</v>
      </c>
      <c r="B199" s="370">
        <v>42947</v>
      </c>
      <c r="C199" s="371">
        <v>200</v>
      </c>
      <c r="D199" s="372">
        <v>78.540000000000006</v>
      </c>
      <c r="E199" s="372">
        <v>76.09</v>
      </c>
      <c r="F199" s="372">
        <f t="shared" si="40"/>
        <v>-490.00000000000057</v>
      </c>
      <c r="G199" s="372">
        <f t="shared" si="38"/>
        <v>15708.000000000002</v>
      </c>
      <c r="H199" s="374">
        <f t="shared" si="39"/>
        <v>-3.1194295900178286E-2</v>
      </c>
      <c r="I199" s="717"/>
      <c r="J199" s="371"/>
      <c r="K199" s="371"/>
      <c r="L199" s="371"/>
    </row>
    <row r="200" spans="1:12" x14ac:dyDescent="0.25">
      <c r="A200" s="371">
        <v>200</v>
      </c>
      <c r="B200" s="370">
        <v>42953</v>
      </c>
      <c r="C200" s="371">
        <v>200</v>
      </c>
      <c r="D200" s="372">
        <v>78.540000000000006</v>
      </c>
      <c r="E200" s="372">
        <v>73.16</v>
      </c>
      <c r="F200" s="372">
        <f t="shared" si="40"/>
        <v>-1076.0000000000018</v>
      </c>
      <c r="G200" s="372">
        <f t="shared" si="38"/>
        <v>15708.000000000002</v>
      </c>
      <c r="H200" s="374">
        <f t="shared" si="39"/>
        <v>-6.8500127323656859E-2</v>
      </c>
      <c r="I200" s="717"/>
      <c r="J200" s="371"/>
      <c r="K200" s="371"/>
      <c r="L200" s="371"/>
    </row>
    <row r="201" spans="1:12" x14ac:dyDescent="0.25">
      <c r="A201" s="371">
        <v>100</v>
      </c>
      <c r="B201" s="370">
        <v>42977</v>
      </c>
      <c r="C201" s="371">
        <v>100</v>
      </c>
      <c r="D201" s="372">
        <v>76.489999999999995</v>
      </c>
      <c r="E201" s="372">
        <v>81.23</v>
      </c>
      <c r="F201" s="372">
        <f t="shared" si="40"/>
        <v>474.00000000000091</v>
      </c>
      <c r="G201" s="372">
        <f t="shared" si="38"/>
        <v>7648.9999999999991</v>
      </c>
      <c r="H201" s="374">
        <f t="shared" si="39"/>
        <v>6.1968884821545424E-2</v>
      </c>
      <c r="I201" s="717" t="s">
        <v>742</v>
      </c>
      <c r="J201" s="371"/>
      <c r="K201" s="371"/>
      <c r="L201" s="371"/>
    </row>
    <row r="202" spans="1:12" x14ac:dyDescent="0.25">
      <c r="A202" s="371">
        <v>50</v>
      </c>
      <c r="B202" s="370">
        <v>42981</v>
      </c>
      <c r="C202" s="371">
        <v>50</v>
      </c>
      <c r="D202" s="372">
        <v>69.81</v>
      </c>
      <c r="E202" s="372">
        <v>83.75</v>
      </c>
      <c r="F202" s="372">
        <f t="shared" si="40"/>
        <v>696.99999999999989</v>
      </c>
      <c r="G202" s="372">
        <f t="shared" si="38"/>
        <v>3490.5</v>
      </c>
      <c r="H202" s="374">
        <f t="shared" si="39"/>
        <v>0.19968485890273596</v>
      </c>
      <c r="I202" s="717"/>
      <c r="J202" s="371"/>
      <c r="K202" s="371"/>
      <c r="L202" s="371"/>
    </row>
    <row r="203" spans="1:12" x14ac:dyDescent="0.25">
      <c r="A203" s="371">
        <v>50</v>
      </c>
      <c r="B203" s="370">
        <v>42983</v>
      </c>
      <c r="C203" s="371">
        <v>100</v>
      </c>
      <c r="D203" s="372">
        <v>75.84</v>
      </c>
      <c r="E203" s="372">
        <v>82.56</v>
      </c>
      <c r="F203" s="372">
        <f t="shared" si="40"/>
        <v>671.99999999999989</v>
      </c>
      <c r="G203" s="372"/>
      <c r="H203" s="374">
        <f t="shared" si="39"/>
        <v>8.8607594936708847E-2</v>
      </c>
      <c r="I203" s="717">
        <v>75</v>
      </c>
      <c r="J203" s="371"/>
      <c r="K203" s="371"/>
      <c r="L203" s="371"/>
    </row>
    <row r="204" spans="1:12" x14ac:dyDescent="0.25">
      <c r="A204" s="371">
        <v>0</v>
      </c>
      <c r="B204" s="370">
        <v>42984</v>
      </c>
      <c r="C204" s="371">
        <v>50</v>
      </c>
      <c r="D204" s="372">
        <v>68.706999999999994</v>
      </c>
      <c r="E204" s="372">
        <v>82.98</v>
      </c>
      <c r="F204" s="372">
        <f t="shared" si="40"/>
        <v>713.65000000000055</v>
      </c>
      <c r="G204" s="372">
        <f t="shared" ref="G204" si="41">D204*C204</f>
        <v>3435.3499999999995</v>
      </c>
      <c r="H204" s="374">
        <f t="shared" si="39"/>
        <v>0.2077372029050899</v>
      </c>
      <c r="I204" s="717"/>
      <c r="J204" s="371"/>
      <c r="K204" s="371"/>
      <c r="L204" s="371"/>
    </row>
    <row r="205" spans="1:12" x14ac:dyDescent="0.25">
      <c r="A205" s="371"/>
      <c r="B205" s="371"/>
      <c r="C205" s="371"/>
      <c r="D205" s="372"/>
      <c r="E205" s="372"/>
      <c r="F205" s="372"/>
      <c r="G205" s="372"/>
      <c r="H205" s="374"/>
      <c r="I205" s="717"/>
      <c r="J205" s="371"/>
      <c r="K205" s="371"/>
      <c r="L205" s="371"/>
    </row>
    <row r="206" spans="1:12" x14ac:dyDescent="0.25">
      <c r="A206" s="371"/>
      <c r="B206" s="371"/>
      <c r="C206" s="371"/>
      <c r="D206" s="372"/>
      <c r="E206" s="372"/>
      <c r="F206" s="372"/>
      <c r="G206" s="372"/>
      <c r="H206" s="374"/>
      <c r="I206" s="717"/>
      <c r="J206" s="371"/>
      <c r="K206" s="371"/>
      <c r="L206" s="371"/>
    </row>
    <row r="207" spans="1:12" x14ac:dyDescent="0.25">
      <c r="A207" s="371"/>
      <c r="B207" s="371"/>
      <c r="C207" s="371"/>
      <c r="D207" s="372"/>
      <c r="E207" s="372"/>
      <c r="F207" s="372"/>
      <c r="G207" s="372"/>
      <c r="H207" s="374"/>
      <c r="I207" s="717"/>
      <c r="J207" s="371"/>
      <c r="K207" s="371"/>
      <c r="L207" s="371"/>
    </row>
    <row r="208" spans="1:12" x14ac:dyDescent="0.25">
      <c r="A208" s="371"/>
      <c r="B208" s="371"/>
      <c r="C208" s="371"/>
      <c r="D208" s="372"/>
      <c r="E208" s="372"/>
      <c r="F208" s="372"/>
      <c r="G208" s="372"/>
      <c r="H208" s="374"/>
      <c r="I208" s="717"/>
      <c r="J208" s="371"/>
      <c r="K208" s="371"/>
      <c r="L208" s="371"/>
    </row>
    <row r="209" spans="1:12" x14ac:dyDescent="0.25">
      <c r="A209" s="371"/>
      <c r="B209" s="371"/>
      <c r="C209" s="371"/>
      <c r="D209" s="372"/>
      <c r="E209" s="372"/>
      <c r="F209" s="372"/>
      <c r="G209" s="372"/>
      <c r="H209" s="374"/>
      <c r="I209" s="717"/>
      <c r="J209" s="371"/>
      <c r="K209" s="371"/>
      <c r="L209" s="371"/>
    </row>
    <row r="210" spans="1:12" x14ac:dyDescent="0.25">
      <c r="A210" s="371"/>
      <c r="B210" s="371"/>
      <c r="C210" s="371"/>
      <c r="D210" s="372"/>
      <c r="E210" s="372"/>
      <c r="F210" s="372"/>
      <c r="G210" s="372"/>
      <c r="H210" s="374"/>
      <c r="I210" s="717"/>
      <c r="J210" s="371"/>
      <c r="K210" s="371"/>
      <c r="L210" s="371"/>
    </row>
    <row r="211" spans="1:12" x14ac:dyDescent="0.25">
      <c r="A211" s="371"/>
      <c r="B211" s="371"/>
      <c r="C211" s="371"/>
      <c r="D211" s="372"/>
      <c r="E211" s="372"/>
      <c r="F211" s="372"/>
      <c r="G211" s="372"/>
      <c r="H211" s="374"/>
      <c r="I211" s="717"/>
      <c r="J211" s="371"/>
      <c r="K211" s="371"/>
      <c r="L211" s="371"/>
    </row>
    <row r="212" spans="1:12" x14ac:dyDescent="0.25">
      <c r="A212" s="371"/>
      <c r="B212" s="371"/>
      <c r="C212" s="371"/>
      <c r="D212" s="372"/>
      <c r="E212" s="372"/>
      <c r="F212" s="372"/>
      <c r="G212" s="372"/>
      <c r="H212" s="374"/>
      <c r="I212" s="717"/>
      <c r="J212" s="371"/>
      <c r="K212" s="371"/>
      <c r="L212" s="371"/>
    </row>
    <row r="213" spans="1:12" x14ac:dyDescent="0.25">
      <c r="A213" s="371"/>
      <c r="B213" s="371"/>
      <c r="C213" s="371"/>
      <c r="D213" s="372"/>
      <c r="E213" s="372"/>
      <c r="F213" s="372"/>
      <c r="G213" s="372"/>
      <c r="H213" s="374"/>
      <c r="I213" s="717"/>
      <c r="J213" s="371"/>
      <c r="K213" s="371"/>
      <c r="L213" s="371"/>
    </row>
    <row r="214" spans="1:12" x14ac:dyDescent="0.25">
      <c r="A214" s="371"/>
      <c r="B214" s="371"/>
      <c r="C214" s="371"/>
      <c r="D214" s="372"/>
      <c r="E214" s="372"/>
      <c r="F214" s="372"/>
      <c r="G214" s="372"/>
      <c r="H214" s="374"/>
      <c r="I214" s="717"/>
      <c r="J214" s="371"/>
      <c r="K214" s="371"/>
      <c r="L214" s="371"/>
    </row>
    <row r="215" spans="1:12" x14ac:dyDescent="0.25">
      <c r="A215" s="371"/>
      <c r="B215" s="371"/>
      <c r="C215" s="371"/>
      <c r="D215" s="372"/>
      <c r="E215" s="372"/>
      <c r="F215" s="372"/>
      <c r="G215" s="372"/>
      <c r="H215" s="374"/>
      <c r="I215" s="717"/>
      <c r="J215" s="371"/>
      <c r="K215" s="371"/>
      <c r="L215" s="371"/>
    </row>
    <row r="216" spans="1:12" x14ac:dyDescent="0.25">
      <c r="A216" s="371"/>
      <c r="B216" s="371"/>
      <c r="C216" s="371"/>
      <c r="D216" s="372"/>
      <c r="E216" s="372"/>
      <c r="F216" s="372"/>
      <c r="G216" s="371"/>
      <c r="H216" s="371"/>
      <c r="I216" s="371"/>
      <c r="J216" s="371"/>
      <c r="K216" s="371"/>
      <c r="L216" s="371"/>
    </row>
  </sheetData>
  <mergeCells count="1">
    <mergeCell ref="O42:P42"/>
  </mergeCells>
  <conditionalFormatting sqref="H45:I45 H48:I52 I31:I32 H34 H35:I35 H37:I37 H36 H38:H39 F34:F42 H40:I41 H42 H44 H46:H47 F44:F52 AA24:AG24">
    <cfRule type="expression" dxfId="145" priority="80">
      <formula>F24&gt;0</formula>
    </cfRule>
    <cfRule type="expression" dxfId="144" priority="81">
      <formula>F24&lt;0</formula>
    </cfRule>
  </conditionalFormatting>
  <conditionalFormatting sqref="O43:O63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43" priority="63">
      <formula>F30&gt;0</formula>
    </cfRule>
    <cfRule type="expression" dxfId="142" priority="64">
      <formula>F30&lt;0</formula>
    </cfRule>
  </conditionalFormatting>
  <conditionalFormatting sqref="H30:I30 H43 H31:H33">
    <cfRule type="expression" dxfId="141" priority="61">
      <formula>H30&gt;0</formula>
    </cfRule>
    <cfRule type="expression" dxfId="140" priority="62">
      <formula>H30&lt;0</formula>
    </cfRule>
  </conditionalFormatting>
  <conditionalFormatting sqref="Q8">
    <cfRule type="expression" dxfId="139" priority="55">
      <formula>Q8&gt;0</formula>
    </cfRule>
    <cfRule type="expression" dxfId="138" priority="56">
      <formula>Q8&lt;0</formula>
    </cfRule>
  </conditionalFormatting>
  <conditionalFormatting sqref="Q7">
    <cfRule type="expression" dxfId="137" priority="57">
      <formula>Q7&gt;0</formula>
    </cfRule>
    <cfRule type="expression" dxfId="136" priority="58">
      <formula>Q7&lt;0</formula>
    </cfRule>
  </conditionalFormatting>
  <conditionalFormatting sqref="F115:F116 H115:I116 H117 H118:I128 H129 H130:I162 H163 H164:I168 H169 H170:I173 H174 F120:F188 H175:I188 I189:I196 H197:I201 F197:F201 F203 H203:I203 I202 H205:I215 F205:F215">
    <cfRule type="expression" dxfId="135" priority="43">
      <formula>F115&gt;0</formula>
    </cfRule>
    <cfRule type="expression" dxfId="134" priority="44">
      <formula>F115&lt;0</formula>
    </cfRule>
  </conditionalFormatting>
  <conditionalFormatting sqref="F112:F114">
    <cfRule type="expression" dxfId="133" priority="41">
      <formula>F112&gt;0</formula>
    </cfRule>
    <cfRule type="expression" dxfId="132" priority="42">
      <formula>F112&lt;0</formula>
    </cfRule>
  </conditionalFormatting>
  <conditionalFormatting sqref="H112:I112">
    <cfRule type="expression" dxfId="131" priority="39">
      <formula>H112&gt;0</formula>
    </cfRule>
    <cfRule type="expression" dxfId="130" priority="40">
      <formula>H112&lt;0</formula>
    </cfRule>
  </conditionalFormatting>
  <conditionalFormatting sqref="H113:I113">
    <cfRule type="expression" dxfId="129" priority="37">
      <formula>H113&gt;0</formula>
    </cfRule>
    <cfRule type="expression" dxfId="128" priority="38">
      <formula>H113&lt;0</formula>
    </cfRule>
  </conditionalFormatting>
  <conditionalFormatting sqref="H114:I114">
    <cfRule type="expression" dxfId="127" priority="35">
      <formula>H114&gt;0</formula>
    </cfRule>
    <cfRule type="expression" dxfId="126" priority="36">
      <formula>H114&lt;0</formula>
    </cfRule>
  </conditionalFormatting>
  <conditionalFormatting sqref="F105:F111">
    <cfRule type="expression" dxfId="125" priority="33">
      <formula>F105&gt;0</formula>
    </cfRule>
    <cfRule type="expression" dxfId="124" priority="34">
      <formula>F105&lt;0</formula>
    </cfRule>
  </conditionalFormatting>
  <conditionalFormatting sqref="H105:I111">
    <cfRule type="expression" dxfId="123" priority="31">
      <formula>H105&gt;0</formula>
    </cfRule>
    <cfRule type="expression" dxfId="122" priority="32">
      <formula>H105&lt;0</formula>
    </cfRule>
  </conditionalFormatting>
  <conditionalFormatting sqref="I117 F117:F119">
    <cfRule type="expression" dxfId="121" priority="29">
      <formula>F117&gt;0</formula>
    </cfRule>
    <cfRule type="expression" dxfId="120" priority="30">
      <formula>F117&lt;0</formula>
    </cfRule>
  </conditionalFormatting>
  <conditionalFormatting sqref="F189:F196 H189:H196">
    <cfRule type="expression" dxfId="119" priority="27">
      <formula>F189&gt;0</formula>
    </cfRule>
    <cfRule type="expression" dxfId="118" priority="28">
      <formula>F189&lt;0</formula>
    </cfRule>
  </conditionalFormatting>
  <conditionalFormatting sqref="H202 F202">
    <cfRule type="expression" dxfId="117" priority="25">
      <formula>F202&gt;0</formula>
    </cfRule>
    <cfRule type="expression" dxfId="116" priority="26">
      <formula>F202&lt;0</formula>
    </cfRule>
  </conditionalFormatting>
  <conditionalFormatting sqref="I204">
    <cfRule type="expression" dxfId="115" priority="23">
      <formula>I204&gt;0</formula>
    </cfRule>
    <cfRule type="expression" dxfId="114" priority="24">
      <formula>I204&lt;0</formula>
    </cfRule>
  </conditionalFormatting>
  <conditionalFormatting sqref="H204 F204">
    <cfRule type="expression" dxfId="113" priority="21">
      <formula>F204&gt;0</formula>
    </cfRule>
    <cfRule type="expression" dxfId="112" priority="22">
      <formula>F204&lt;0</formula>
    </cfRule>
  </conditionalFormatting>
  <conditionalFormatting sqref="M54">
    <cfRule type="expression" dxfId="111" priority="19">
      <formula>M54&gt;0</formula>
    </cfRule>
    <cfRule type="expression" dxfId="110" priority="20">
      <formula>M54&lt;0</formula>
    </cfRule>
  </conditionalFormatting>
  <conditionalFormatting sqref="K33:K49">
    <cfRule type="expression" dxfId="109" priority="17">
      <formula>K33&gt;0</formula>
    </cfRule>
    <cfRule type="expression" dxfId="108" priority="18">
      <formula>K33&lt;0</formula>
    </cfRule>
  </conditionalFormatting>
  <conditionalFormatting sqref="Q10">
    <cfRule type="expression" dxfId="107" priority="15">
      <formula>Q10&gt;0</formula>
    </cfRule>
    <cfRule type="expression" dxfId="106" priority="16">
      <formula>Q10&lt;0</formula>
    </cfRule>
  </conditionalFormatting>
  <conditionalFormatting sqref="Z10">
    <cfRule type="expression" dxfId="105" priority="13">
      <formula>Z10&gt;0</formula>
    </cfRule>
    <cfRule type="expression" dxfId="104" priority="14">
      <formula>Z10&lt;0</formula>
    </cfRule>
  </conditionalFormatting>
  <conditionalFormatting sqref="AA10:AE10">
    <cfRule type="expression" dxfId="103" priority="11">
      <formula>AA10&gt;0</formula>
    </cfRule>
    <cfRule type="expression" dxfId="102" priority="12">
      <formula>AA10&lt;0</formula>
    </cfRule>
  </conditionalFormatting>
  <conditionalFormatting sqref="Z24">
    <cfRule type="expression" dxfId="101" priority="9">
      <formula>Z24&gt;0</formula>
    </cfRule>
    <cfRule type="expression" dxfId="100" priority="10">
      <formula>Z24&lt;0</formula>
    </cfRule>
  </conditionalFormatting>
  <conditionalFormatting sqref="AF10:AG10">
    <cfRule type="expression" dxfId="99" priority="1">
      <formula>AF10&gt;0</formula>
    </cfRule>
    <cfRule type="expression" dxfId="98" priority="2">
      <formula>AF10&lt;0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71.62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71.62</v>
      </c>
      <c r="R4" s="487">
        <v>-0.13639999999999999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209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8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8">
        <v>42310</v>
      </c>
      <c r="C22" s="10">
        <v>0</v>
      </c>
      <c r="D22" s="197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209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77" t="s">
        <v>1</v>
      </c>
      <c r="B34" s="377" t="s">
        <v>2</v>
      </c>
      <c r="C34" s="377" t="s">
        <v>4</v>
      </c>
      <c r="D34" s="379" t="s">
        <v>5</v>
      </c>
      <c r="E34" s="379" t="s">
        <v>94</v>
      </c>
      <c r="F34" s="379" t="s">
        <v>60</v>
      </c>
      <c r="G34" s="377" t="s">
        <v>3</v>
      </c>
      <c r="H34" s="377" t="s">
        <v>6</v>
      </c>
      <c r="I34" s="377" t="s">
        <v>7</v>
      </c>
      <c r="J34" s="377" t="s">
        <v>95</v>
      </c>
      <c r="K34" s="377" t="s">
        <v>61</v>
      </c>
      <c r="L34" s="377" t="s">
        <v>77</v>
      </c>
      <c r="M34" s="377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80" t="s">
        <v>53</v>
      </c>
      <c r="B35" s="370">
        <v>42214</v>
      </c>
      <c r="C35" s="371">
        <v>15</v>
      </c>
      <c r="D35" s="372">
        <v>47.8</v>
      </c>
      <c r="E35" s="372">
        <v>0</v>
      </c>
      <c r="F35" s="372">
        <f>C35*D35</f>
        <v>717</v>
      </c>
      <c r="G35" s="370">
        <v>42313</v>
      </c>
      <c r="H35" s="372">
        <v>70</v>
      </c>
      <c r="I35" s="372">
        <v>46.15</v>
      </c>
      <c r="J35" s="372">
        <v>0.06</v>
      </c>
      <c r="K35" s="371">
        <f>I35*H35-J35</f>
        <v>3230.44</v>
      </c>
      <c r="L35" s="370">
        <v>42247</v>
      </c>
      <c r="M35" s="372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81" t="s">
        <v>71</v>
      </c>
      <c r="B36" s="370">
        <v>42233</v>
      </c>
      <c r="C36" s="371">
        <v>20</v>
      </c>
      <c r="D36" s="372">
        <v>47.5</v>
      </c>
      <c r="E36" s="372">
        <v>0</v>
      </c>
      <c r="F36" s="372">
        <f>C36*D36</f>
        <v>950</v>
      </c>
      <c r="G36" s="371"/>
      <c r="H36" s="371"/>
      <c r="I36" s="371"/>
      <c r="J36" s="371"/>
      <c r="K36" s="371"/>
      <c r="L36" s="370">
        <v>42338</v>
      </c>
      <c r="M36" s="371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71"/>
      <c r="B37" s="370">
        <v>42269</v>
      </c>
      <c r="C37" s="371">
        <v>35</v>
      </c>
      <c r="D37" s="372">
        <v>43.8</v>
      </c>
      <c r="E37" s="372">
        <v>0</v>
      </c>
      <c r="F37" s="372">
        <f>C37*D37</f>
        <v>1533</v>
      </c>
      <c r="G37" s="371"/>
      <c r="H37" s="371"/>
      <c r="I37" s="371"/>
      <c r="J37" s="371"/>
      <c r="K37" s="371"/>
      <c r="L37" s="371"/>
      <c r="M37" s="371"/>
      <c r="W37" s="130">
        <v>42781</v>
      </c>
      <c r="X37" s="10" t="s">
        <v>448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04" t="s">
        <v>78</v>
      </c>
      <c r="P42" s="80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78.782000000000011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2">O44*$Q$4</f>
        <v>78.06580000000001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2"/>
        <v>77.349600000000009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2"/>
        <v>76.633400000000009</v>
      </c>
      <c r="Q46" s="81"/>
      <c r="T46" s="91" t="s">
        <v>100</v>
      </c>
      <c r="U46" s="86" t="s">
        <v>695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71"/>
      <c r="B47" s="371"/>
      <c r="C47" s="371"/>
      <c r="D47" s="372"/>
      <c r="E47" s="372"/>
      <c r="F47" s="372"/>
      <c r="G47" s="371"/>
      <c r="H47" s="371"/>
      <c r="I47" s="371"/>
      <c r="J47" s="371"/>
      <c r="K47" s="371"/>
      <c r="L47" s="371"/>
      <c r="M47" s="371"/>
      <c r="O47" s="81">
        <v>1.06</v>
      </c>
      <c r="P47" s="81">
        <f t="shared" si="2"/>
        <v>75.917200000000008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71"/>
      <c r="B48" s="371"/>
      <c r="C48" s="371"/>
      <c r="D48" s="372"/>
      <c r="E48" s="372"/>
      <c r="F48" s="372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2"/>
        <v>75.201000000000008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71"/>
      <c r="B49" s="371"/>
      <c r="C49" s="371"/>
      <c r="D49" s="372"/>
      <c r="E49" s="372"/>
      <c r="F49" s="372"/>
      <c r="G49" s="371"/>
      <c r="H49" s="371"/>
      <c r="I49" s="371"/>
      <c r="J49" s="371"/>
      <c r="K49" s="371"/>
      <c r="L49" s="371"/>
      <c r="M49" s="371"/>
      <c r="O49" s="81">
        <v>1.04</v>
      </c>
      <c r="P49" s="81">
        <f t="shared" si="2"/>
        <v>74.484800000000007</v>
      </c>
      <c r="Q49" s="81"/>
      <c r="T49" s="91" t="s">
        <v>121</v>
      </c>
      <c r="U49" s="86" t="s">
        <v>368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71"/>
      <c r="B50" s="371"/>
      <c r="C50" s="371"/>
      <c r="D50" s="372"/>
      <c r="E50" s="372"/>
      <c r="F50" s="372"/>
      <c r="G50" s="371"/>
      <c r="H50" s="371"/>
      <c r="I50" s="371"/>
      <c r="J50" s="371"/>
      <c r="K50" s="371"/>
      <c r="L50" s="371"/>
      <c r="M50" s="371"/>
      <c r="O50" s="81">
        <v>1.03</v>
      </c>
      <c r="P50" s="81">
        <f t="shared" si="2"/>
        <v>73.768600000000006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73.052400000000006</v>
      </c>
      <c r="Q51" s="81"/>
      <c r="T51" s="91" t="s">
        <v>104</v>
      </c>
      <c r="U51" s="86" t="s">
        <v>696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71"/>
      <c r="B52" s="371"/>
      <c r="C52" s="371"/>
      <c r="D52" s="372"/>
      <c r="E52" s="372"/>
      <c r="F52" s="372"/>
      <c r="G52" s="371"/>
      <c r="H52" s="371"/>
      <c r="I52" s="371"/>
      <c r="J52" s="371"/>
      <c r="K52" s="371"/>
      <c r="L52" s="371"/>
      <c r="M52" s="371"/>
      <c r="O52" s="81">
        <v>1.01</v>
      </c>
      <c r="P52" s="81">
        <f t="shared" si="2"/>
        <v>72.336200000000005</v>
      </c>
      <c r="Q52" s="81"/>
      <c r="T52" s="91" t="s">
        <v>105</v>
      </c>
      <c r="U52" s="86" t="s">
        <v>697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71.62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70.903800000000004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70.187600000000003</v>
      </c>
      <c r="Q55" s="81"/>
      <c r="T55" s="91" t="s">
        <v>107</v>
      </c>
      <c r="U55" s="86" t="s">
        <v>698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69.471400000000003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68.755200000000002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68.039000000000001</v>
      </c>
      <c r="Q58" s="81"/>
      <c r="T58" s="91" t="s">
        <v>108</v>
      </c>
      <c r="U58" s="86" t="s">
        <v>546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67.322800000000001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66.606600000000014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65.890400000000014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65.174200000000013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64.458000000000013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7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1" t="s">
        <v>113</v>
      </c>
      <c r="Y1" s="91" t="s">
        <v>114</v>
      </c>
      <c r="Z1" s="91" t="s">
        <v>115</v>
      </c>
      <c r="AA1" s="91" t="s">
        <v>116</v>
      </c>
      <c r="AB1" s="91" t="s">
        <v>117</v>
      </c>
      <c r="AC1" s="91" t="s">
        <v>118</v>
      </c>
      <c r="AD1" s="91" t="s">
        <v>119</v>
      </c>
      <c r="AE1" s="11" t="s">
        <v>125</v>
      </c>
      <c r="AF1" s="11" t="s">
        <v>127</v>
      </c>
    </row>
    <row r="2" spans="1:32" x14ac:dyDescent="0.25">
      <c r="A2" s="6" t="s">
        <v>171</v>
      </c>
      <c r="B2" s="484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45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C18-H18</f>
        <v>100</v>
      </c>
      <c r="U2" s="159"/>
      <c r="X2" s="130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3">
        <v>3153500</v>
      </c>
      <c r="AD2" s="10">
        <v>58.25</v>
      </c>
      <c r="AE2" s="2">
        <f>Z2-AA2</f>
        <v>0.59000000000000341</v>
      </c>
      <c r="AF2" s="134">
        <f>AD2/AD3-1</f>
        <v>-2.2267899965742188E-3</v>
      </c>
    </row>
    <row r="3" spans="1:32" x14ac:dyDescent="0.25">
      <c r="A3" s="22" t="s">
        <v>71</v>
      </c>
      <c r="B3" s="484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45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5">
        <f>IF(Q2=0, Q4, (F18-K18-M18)/Q2)</f>
        <v>54.189600000000013</v>
      </c>
      <c r="X3" s="130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3">
        <v>3231800</v>
      </c>
      <c r="AD3" s="10">
        <v>58.38</v>
      </c>
      <c r="AE3" s="2">
        <f t="shared" ref="AE3:AE66" si="1">Z3-AA3</f>
        <v>0.74000000000000199</v>
      </c>
      <c r="AF3" s="134">
        <f t="shared" ref="AF3:AF66" si="2">AD3/AD4-1</f>
        <v>-2.9035012809563998E-3</v>
      </c>
    </row>
    <row r="4" spans="1:32" x14ac:dyDescent="0.25">
      <c r="B4" s="445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45">
        <v>43028</v>
      </c>
      <c r="H4" s="80">
        <v>100</v>
      </c>
      <c r="I4" s="43">
        <v>52.05</v>
      </c>
      <c r="J4" s="43">
        <v>0.12</v>
      </c>
      <c r="K4" s="43">
        <f t="shared" ref="K4:K10" si="3">H4*I4-J4</f>
        <v>5204.88</v>
      </c>
      <c r="L4" s="72">
        <v>42856</v>
      </c>
      <c r="M4" s="43">
        <v>36</v>
      </c>
      <c r="O4" s="11" t="s">
        <v>66</v>
      </c>
      <c r="Q4" s="54">
        <v>54.72</v>
      </c>
      <c r="R4" s="487">
        <v>1.35E-2</v>
      </c>
      <c r="X4" s="130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3">
        <v>3398400</v>
      </c>
      <c r="AD4" s="10">
        <v>58.55</v>
      </c>
      <c r="AE4" s="2">
        <f t="shared" si="1"/>
        <v>0.83999999999999631</v>
      </c>
      <c r="AF4" s="134">
        <f t="shared" si="2"/>
        <v>-7.7952889340789921E-3</v>
      </c>
    </row>
    <row r="5" spans="1:32" x14ac:dyDescent="0.25">
      <c r="B5" s="445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45">
        <v>43046</v>
      </c>
      <c r="H5" s="80">
        <v>20</v>
      </c>
      <c r="I5" s="43">
        <v>51.15</v>
      </c>
      <c r="J5" s="43">
        <v>0.02</v>
      </c>
      <c r="K5" s="43">
        <f t="shared" si="3"/>
        <v>1022.98</v>
      </c>
      <c r="L5" s="72">
        <v>42948</v>
      </c>
      <c r="M5" s="43">
        <v>98</v>
      </c>
      <c r="O5" s="11" t="s">
        <v>67</v>
      </c>
      <c r="Q5" s="3">
        <f>Q4*Q2</f>
        <v>5472</v>
      </c>
      <c r="X5" s="130">
        <v>42825</v>
      </c>
      <c r="Y5" s="10">
        <v>59.1</v>
      </c>
      <c r="Z5" s="10">
        <v>59.45</v>
      </c>
      <c r="AA5" s="10">
        <v>59</v>
      </c>
      <c r="AB5" s="10">
        <v>59.01</v>
      </c>
      <c r="AC5" s="93">
        <v>2505700</v>
      </c>
      <c r="AD5" s="10">
        <v>59.01</v>
      </c>
      <c r="AE5" s="2">
        <f t="shared" si="1"/>
        <v>0.45000000000000284</v>
      </c>
      <c r="AF5" s="134">
        <f t="shared" si="2"/>
        <v>-1.0157440325038181E-3</v>
      </c>
    </row>
    <row r="6" spans="1:32" x14ac:dyDescent="0.25">
      <c r="B6" s="445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45">
        <v>43047</v>
      </c>
      <c r="H6" s="80">
        <v>80</v>
      </c>
      <c r="I6" s="43">
        <v>51.5</v>
      </c>
      <c r="J6" s="43">
        <v>0.1</v>
      </c>
      <c r="K6" s="43">
        <f t="shared" si="3"/>
        <v>4119.8999999999996</v>
      </c>
      <c r="L6" s="1">
        <v>43041</v>
      </c>
      <c r="M6" s="43">
        <v>98</v>
      </c>
      <c r="O6" s="11" t="s">
        <v>64</v>
      </c>
      <c r="Q6" s="2">
        <f>Q3*Q2</f>
        <v>5418.9600000000009</v>
      </c>
      <c r="X6" s="130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3">
        <v>1936200</v>
      </c>
      <c r="AD6" s="10">
        <v>59.07</v>
      </c>
      <c r="AE6" s="2">
        <f t="shared" si="1"/>
        <v>0.51999999999999602</v>
      </c>
      <c r="AF6" s="134">
        <f t="shared" si="2"/>
        <v>-6.224764468371391E-3</v>
      </c>
    </row>
    <row r="7" spans="1:32" x14ac:dyDescent="0.25">
      <c r="B7" s="445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45">
        <v>43068</v>
      </c>
      <c r="H7" s="80">
        <v>50</v>
      </c>
      <c r="I7" s="43">
        <v>56.28</v>
      </c>
      <c r="J7" s="43">
        <v>7.0000000000000007E-2</v>
      </c>
      <c r="K7" s="43">
        <f t="shared" si="3"/>
        <v>2813.93</v>
      </c>
      <c r="L7" s="1">
        <v>43133</v>
      </c>
      <c r="M7" s="43">
        <v>29.4</v>
      </c>
      <c r="O7" s="11" t="s">
        <v>178</v>
      </c>
      <c r="Q7" s="2">
        <f>Q10+Q8</f>
        <v>102.99000000000069</v>
      </c>
      <c r="R7">
        <v>60</v>
      </c>
      <c r="X7" s="130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3">
        <v>2488800</v>
      </c>
      <c r="AD7" s="10">
        <v>59.44</v>
      </c>
      <c r="AE7" s="2">
        <f t="shared" si="1"/>
        <v>0.57000000000000028</v>
      </c>
      <c r="AF7" s="134">
        <f t="shared" si="2"/>
        <v>7.2869005253346497E-3</v>
      </c>
    </row>
    <row r="8" spans="1:32" x14ac:dyDescent="0.25">
      <c r="B8" s="445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45">
        <v>43069</v>
      </c>
      <c r="H8" s="80">
        <v>50</v>
      </c>
      <c r="I8" s="43">
        <v>56.88</v>
      </c>
      <c r="J8" s="43">
        <v>7.0000000000000007E-2</v>
      </c>
      <c r="K8" s="43">
        <f t="shared" si="3"/>
        <v>2843.93</v>
      </c>
      <c r="O8" s="11" t="s">
        <v>180</v>
      </c>
      <c r="P8" s="33"/>
      <c r="Q8" s="2">
        <f>K18+M18-F18+Q2*Q4</f>
        <v>53.040000000000873</v>
      </c>
      <c r="X8" s="130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3">
        <v>2499300</v>
      </c>
      <c r="AD8" s="10">
        <v>59.01</v>
      </c>
      <c r="AE8" s="2">
        <f t="shared" si="1"/>
        <v>0.60999999999999943</v>
      </c>
      <c r="AF8" s="134">
        <f t="shared" si="2"/>
        <v>3.7421330158189381E-3</v>
      </c>
    </row>
    <row r="9" spans="1:32" x14ac:dyDescent="0.25">
      <c r="B9" s="445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45">
        <v>43087</v>
      </c>
      <c r="H9" s="80">
        <v>25</v>
      </c>
      <c r="I9" s="43">
        <v>58</v>
      </c>
      <c r="J9" s="43">
        <v>0.03</v>
      </c>
      <c r="K9" s="43">
        <f t="shared" si="3"/>
        <v>1449.97</v>
      </c>
      <c r="L9" s="4"/>
      <c r="O9" s="11" t="s">
        <v>210</v>
      </c>
      <c r="Q9" s="226">
        <f>IF(Q2=0, 0, Q8/Q6)</f>
        <v>9.7878559723638594E-3</v>
      </c>
      <c r="X9" s="130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3">
        <v>3263800</v>
      </c>
      <c r="AD9" s="10">
        <v>58.79</v>
      </c>
      <c r="AE9" s="2">
        <f t="shared" si="1"/>
        <v>0.53000000000000114</v>
      </c>
      <c r="AF9" s="134">
        <f t="shared" si="2"/>
        <v>-6.2542258282622942E-3</v>
      </c>
    </row>
    <row r="10" spans="1:32" x14ac:dyDescent="0.25">
      <c r="B10" s="445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45">
        <v>43091</v>
      </c>
      <c r="H10" s="80">
        <v>15</v>
      </c>
      <c r="I10" s="43">
        <v>60.17</v>
      </c>
      <c r="J10" s="43">
        <v>0.02</v>
      </c>
      <c r="K10" s="43">
        <f t="shared" si="3"/>
        <v>902.53000000000009</v>
      </c>
      <c r="L10" s="4"/>
      <c r="O10" s="11" t="s">
        <v>209</v>
      </c>
      <c r="P10" s="33"/>
      <c r="Q10" s="2">
        <f>M68</f>
        <v>49.949999999999818</v>
      </c>
      <c r="X10" s="130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3">
        <v>3053800</v>
      </c>
      <c r="AD10" s="10">
        <v>59.16</v>
      </c>
      <c r="AE10" s="2">
        <f t="shared" si="1"/>
        <v>0.74000000000000199</v>
      </c>
      <c r="AF10" s="134">
        <f t="shared" si="2"/>
        <v>-3.5371399696816352E-3</v>
      </c>
    </row>
    <row r="11" spans="1:32" x14ac:dyDescent="0.25">
      <c r="B11" s="445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3.5818713450292396E-2</v>
      </c>
      <c r="R11">
        <v>0.49</v>
      </c>
      <c r="X11" s="130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3">
        <v>2971900</v>
      </c>
      <c r="AD11" s="10">
        <v>59.37</v>
      </c>
      <c r="AE11" s="2">
        <f t="shared" si="1"/>
        <v>0.79000000000000625</v>
      </c>
      <c r="AF11" s="134">
        <f t="shared" si="2"/>
        <v>7.2955548014930205E-3</v>
      </c>
    </row>
    <row r="12" spans="1:32" x14ac:dyDescent="0.25">
      <c r="B12" s="445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X12" s="130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3">
        <v>5129600</v>
      </c>
      <c r="AD12" s="10">
        <v>58.94</v>
      </c>
      <c r="AE12" s="2">
        <f t="shared" si="1"/>
        <v>1.009999999999998</v>
      </c>
      <c r="AF12" s="134">
        <f t="shared" si="2"/>
        <v>-1.3721552878179444E-2</v>
      </c>
    </row>
    <row r="13" spans="1:32" x14ac:dyDescent="0.25">
      <c r="B13" s="445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X13" s="130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3">
        <v>5433100</v>
      </c>
      <c r="AD13" s="10">
        <v>59.76</v>
      </c>
      <c r="AE13" s="2">
        <f t="shared" si="1"/>
        <v>1.240000000000002</v>
      </c>
      <c r="AF13" s="134">
        <f t="shared" si="2"/>
        <v>-8.2973780285430232E-3</v>
      </c>
    </row>
    <row r="14" spans="1:32" x14ac:dyDescent="0.25">
      <c r="B14" s="1">
        <v>43045</v>
      </c>
      <c r="C14" s="4">
        <v>60</v>
      </c>
      <c r="D14" s="3">
        <v>50.2</v>
      </c>
      <c r="E14" s="3">
        <v>0</v>
      </c>
      <c r="F14" s="3">
        <f>C14*D14+E14</f>
        <v>3012</v>
      </c>
      <c r="H14" s="70"/>
      <c r="X14" s="130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3">
        <v>4764300</v>
      </c>
      <c r="AD14" s="10">
        <v>60.26</v>
      </c>
      <c r="AE14" s="2">
        <f t="shared" si="1"/>
        <v>0.69000000000000483</v>
      </c>
      <c r="AF14" s="134">
        <f t="shared" si="2"/>
        <v>-6.5941312232112859E-3</v>
      </c>
    </row>
    <row r="15" spans="1:32" x14ac:dyDescent="0.25">
      <c r="B15" s="486">
        <v>43133</v>
      </c>
      <c r="C15" s="4">
        <v>40</v>
      </c>
      <c r="D15" s="3">
        <v>57</v>
      </c>
      <c r="E15" s="3">
        <v>0</v>
      </c>
      <c r="F15" s="3">
        <f>C15*D15+E15</f>
        <v>2280</v>
      </c>
      <c r="H15" s="70"/>
      <c r="X15" s="130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3">
        <v>10706200</v>
      </c>
      <c r="AD15" s="10">
        <v>60.66</v>
      </c>
      <c r="AE15" s="2">
        <f t="shared" si="1"/>
        <v>0.51999999999999602</v>
      </c>
      <c r="AF15" s="134">
        <f t="shared" si="2"/>
        <v>-2.4666995559942118E-3</v>
      </c>
    </row>
    <row r="16" spans="1:32" x14ac:dyDescent="0.25">
      <c r="H16" s="70"/>
      <c r="X16" s="130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3">
        <v>4180700</v>
      </c>
      <c r="AD16" s="10">
        <v>60.81</v>
      </c>
      <c r="AE16" s="2">
        <f t="shared" si="1"/>
        <v>0.64000000000000057</v>
      </c>
      <c r="AF16" s="134">
        <f t="shared" si="2"/>
        <v>-5.7226945716153388E-3</v>
      </c>
    </row>
    <row r="17" spans="1:32" x14ac:dyDescent="0.25">
      <c r="H17" s="70"/>
      <c r="X17" s="130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3">
        <v>4688400</v>
      </c>
      <c r="AD17" s="10">
        <v>61.16</v>
      </c>
      <c r="AE17" s="2">
        <f t="shared" si="1"/>
        <v>0.95000000000000284</v>
      </c>
      <c r="AF17" s="134">
        <f t="shared" si="2"/>
        <v>1.1577902745616875E-2</v>
      </c>
    </row>
    <row r="18" spans="1:32" x14ac:dyDescent="0.25">
      <c r="A18" s="21" t="s">
        <v>81</v>
      </c>
      <c r="B18" s="12"/>
      <c r="C18" s="12">
        <f>SUM(C2:C17)</f>
        <v>590</v>
      </c>
      <c r="D18" s="13"/>
      <c r="E18" s="13"/>
      <c r="F18" s="13">
        <f>SUM(F2:F17)</f>
        <v>32703.29</v>
      </c>
      <c r="G18" s="12"/>
      <c r="H18" s="12">
        <f>SUM(H2:H17)</f>
        <v>490</v>
      </c>
      <c r="I18" s="12"/>
      <c r="J18" s="12"/>
      <c r="K18" s="13">
        <f>SUM(K2:K17)</f>
        <v>26986.93</v>
      </c>
      <c r="L18" s="12"/>
      <c r="M18" s="13">
        <f>SUM(M2:M17)</f>
        <v>297.39999999999998</v>
      </c>
      <c r="X18" s="130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3">
        <v>1710500</v>
      </c>
      <c r="AD18" s="10">
        <v>60.46</v>
      </c>
      <c r="AE18" s="2">
        <f t="shared" si="1"/>
        <v>0.3300000000000054</v>
      </c>
      <c r="AF18" s="134">
        <f t="shared" si="2"/>
        <v>-9.9140779907469501E-4</v>
      </c>
    </row>
    <row r="19" spans="1:32" ht="15.75" thickBot="1" x14ac:dyDescent="0.3">
      <c r="A19" s="347" t="s">
        <v>194</v>
      </c>
      <c r="B19" s="491"/>
      <c r="C19" s="349">
        <f>SumByColor($A$19, C2:C17 )</f>
        <v>490</v>
      </c>
      <c r="D19" s="349"/>
      <c r="E19" s="349"/>
      <c r="F19" s="350">
        <f t="shared" ref="F19:M19" si="4">SumByColor($A$19, F2:F17 )</f>
        <v>27410</v>
      </c>
      <c r="G19" s="349"/>
      <c r="H19" s="349">
        <f t="shared" si="4"/>
        <v>490</v>
      </c>
      <c r="I19" s="349"/>
      <c r="J19" s="349"/>
      <c r="K19" s="350">
        <f t="shared" si="4"/>
        <v>26988</v>
      </c>
      <c r="L19" s="349"/>
      <c r="M19" s="350">
        <f t="shared" si="4"/>
        <v>297</v>
      </c>
      <c r="X19" s="130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3">
        <v>2983800</v>
      </c>
      <c r="AD19" s="10">
        <v>60.52</v>
      </c>
      <c r="AE19" s="2">
        <f t="shared" si="1"/>
        <v>0.41000000000000369</v>
      </c>
      <c r="AF19" s="134">
        <f t="shared" si="2"/>
        <v>-8.2549116724450755E-4</v>
      </c>
    </row>
    <row r="20" spans="1:32" x14ac:dyDescent="0.25">
      <c r="X20" s="130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3">
        <v>2682300</v>
      </c>
      <c r="AD20" s="10">
        <v>60.57</v>
      </c>
      <c r="AE20" s="2">
        <f t="shared" si="1"/>
        <v>0.60000000000000142</v>
      </c>
      <c r="AF20" s="134">
        <f t="shared" si="2"/>
        <v>-9.8960910440382133E-4</v>
      </c>
    </row>
    <row r="21" spans="1:32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J21" s="224" t="s">
        <v>150</v>
      </c>
      <c r="K21" s="224" t="s">
        <v>514</v>
      </c>
      <c r="X21" s="130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3">
        <v>2272100</v>
      </c>
      <c r="AD21" s="10">
        <v>60.63</v>
      </c>
      <c r="AE21" s="2">
        <f t="shared" si="1"/>
        <v>0.67999999999999972</v>
      </c>
      <c r="AF21" s="134">
        <f t="shared" si="2"/>
        <v>9.3224571333445638E-3</v>
      </c>
    </row>
    <row r="22" spans="1:32" x14ac:dyDescent="0.25">
      <c r="B22" s="188">
        <v>42622</v>
      </c>
      <c r="C22" s="10">
        <v>25</v>
      </c>
      <c r="D22" s="39">
        <v>66.959999999999994</v>
      </c>
      <c r="E22" s="39">
        <v>65.05</v>
      </c>
      <c r="F22" s="39">
        <f t="shared" ref="F22:F29" si="5">C22*(E22-D22)</f>
        <v>-47.749999999999915</v>
      </c>
      <c r="G22" s="39">
        <f t="shared" ref="G22:G29" si="6">D22*C22</f>
        <v>1673.9999999999998</v>
      </c>
      <c r="H22" s="226">
        <f t="shared" ref="H22:H29" si="7">(E22-D22)/D22</f>
        <v>-2.8524492234169606E-2</v>
      </c>
      <c r="I22" s="39"/>
      <c r="J22" s="39"/>
      <c r="K22" s="39"/>
      <c r="X22" s="130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3">
        <v>2114800</v>
      </c>
      <c r="AD22" s="10">
        <v>60.07</v>
      </c>
      <c r="AE22" s="2">
        <f t="shared" si="1"/>
        <v>0.40999999999999659</v>
      </c>
      <c r="AF22" s="134">
        <f t="shared" si="2"/>
        <v>-2.9875518672198842E-3</v>
      </c>
    </row>
    <row r="23" spans="1:32" x14ac:dyDescent="0.25">
      <c r="B23" s="188">
        <v>42634</v>
      </c>
      <c r="C23" s="10">
        <v>25</v>
      </c>
      <c r="D23" s="39">
        <v>66.959999999999994</v>
      </c>
      <c r="E23" s="39">
        <v>65.260000000000005</v>
      </c>
      <c r="F23" s="39">
        <f t="shared" si="5"/>
        <v>-42.499999999999716</v>
      </c>
      <c r="G23" s="39">
        <f t="shared" si="6"/>
        <v>1673.9999999999998</v>
      </c>
      <c r="H23" s="226">
        <f t="shared" si="7"/>
        <v>-2.5388291517323608E-2</v>
      </c>
      <c r="I23" s="39"/>
      <c r="J23" s="39"/>
      <c r="K23" s="39"/>
      <c r="X23" s="130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3">
        <v>2264400</v>
      </c>
      <c r="AD23" s="10">
        <v>60.25</v>
      </c>
      <c r="AE23" s="2">
        <f t="shared" si="1"/>
        <v>0.69999999999999574</v>
      </c>
      <c r="AF23" s="134">
        <f t="shared" si="2"/>
        <v>-2.9786529869270106E-3</v>
      </c>
    </row>
    <row r="24" spans="1:32" x14ac:dyDescent="0.25">
      <c r="B24" s="188">
        <v>42638</v>
      </c>
      <c r="C24" s="10">
        <v>25</v>
      </c>
      <c r="D24" s="39">
        <v>66.959999999999994</v>
      </c>
      <c r="E24" s="39">
        <v>64.650000000000006</v>
      </c>
      <c r="F24" s="39">
        <f t="shared" si="5"/>
        <v>-57.749999999999702</v>
      </c>
      <c r="G24" s="39">
        <f t="shared" si="6"/>
        <v>1673.9999999999998</v>
      </c>
      <c r="H24" s="226">
        <f t="shared" si="7"/>
        <v>-3.4498207885304485E-2</v>
      </c>
      <c r="I24" s="39"/>
      <c r="J24" s="39"/>
      <c r="K24" s="39"/>
      <c r="X24" s="130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3">
        <v>2242100</v>
      </c>
      <c r="AD24" s="10">
        <v>60.43</v>
      </c>
      <c r="AE24" s="2">
        <f t="shared" si="1"/>
        <v>0.53000000000000114</v>
      </c>
      <c r="AF24" s="134">
        <f t="shared" si="2"/>
        <v>-4.9398979087764694E-3</v>
      </c>
    </row>
    <row r="25" spans="1:32" x14ac:dyDescent="0.25">
      <c r="B25" s="188">
        <v>42639</v>
      </c>
      <c r="C25" s="10">
        <v>25</v>
      </c>
      <c r="D25" s="39">
        <v>66.959999999999994</v>
      </c>
      <c r="E25" s="39">
        <v>63.9</v>
      </c>
      <c r="F25" s="39">
        <f t="shared" si="5"/>
        <v>-76.499999999999886</v>
      </c>
      <c r="G25" s="39">
        <f t="shared" si="6"/>
        <v>1673.9999999999998</v>
      </c>
      <c r="H25" s="226">
        <f t="shared" si="7"/>
        <v>-4.5698924731182727E-2</v>
      </c>
      <c r="I25" s="39"/>
      <c r="J25" s="39"/>
      <c r="K25" s="39"/>
      <c r="X25" s="130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3">
        <v>1891300</v>
      </c>
      <c r="AD25" s="10">
        <v>60.73</v>
      </c>
      <c r="AE25" s="2">
        <f t="shared" si="1"/>
        <v>0.5</v>
      </c>
      <c r="AF25" s="134">
        <f t="shared" si="2"/>
        <v>-2.9551797734361784E-3</v>
      </c>
    </row>
    <row r="26" spans="1:32" x14ac:dyDescent="0.25">
      <c r="B26" s="188">
        <v>42647</v>
      </c>
      <c r="C26" s="10">
        <v>25</v>
      </c>
      <c r="D26" s="39">
        <v>66.959999999999994</v>
      </c>
      <c r="E26" s="39">
        <v>63.05</v>
      </c>
      <c r="F26" s="39">
        <f t="shared" si="5"/>
        <v>-97.749999999999915</v>
      </c>
      <c r="G26" s="39">
        <f t="shared" si="6"/>
        <v>1673.9999999999998</v>
      </c>
      <c r="H26" s="226">
        <f t="shared" si="7"/>
        <v>-5.8393070489844635E-2</v>
      </c>
      <c r="I26" s="39"/>
      <c r="J26" s="39"/>
      <c r="K26" s="39"/>
      <c r="X26" s="130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3">
        <v>3820000</v>
      </c>
      <c r="AD26" s="10">
        <v>60.91</v>
      </c>
      <c r="AE26" s="2">
        <f t="shared" si="1"/>
        <v>0.62999999999999545</v>
      </c>
      <c r="AF26" s="134">
        <f t="shared" si="2"/>
        <v>5.9454995871179861E-3</v>
      </c>
    </row>
    <row r="27" spans="1:32" x14ac:dyDescent="0.25">
      <c r="B27" s="188">
        <v>42648</v>
      </c>
      <c r="C27" s="10">
        <v>25</v>
      </c>
      <c r="D27" s="39">
        <v>66.959999999999994</v>
      </c>
      <c r="E27" s="39">
        <v>63.05</v>
      </c>
      <c r="F27" s="39">
        <f t="shared" si="5"/>
        <v>-97.749999999999915</v>
      </c>
      <c r="G27" s="39">
        <f t="shared" si="6"/>
        <v>1673.9999999999998</v>
      </c>
      <c r="H27" s="226">
        <f t="shared" si="7"/>
        <v>-5.8393070489844635E-2</v>
      </c>
      <c r="I27" s="39"/>
      <c r="J27" s="39"/>
      <c r="K27" s="39"/>
      <c r="X27" s="130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3">
        <v>3174700</v>
      </c>
      <c r="AD27" s="10">
        <v>60.55</v>
      </c>
      <c r="AE27" s="2">
        <f t="shared" si="1"/>
        <v>0.83999999999999631</v>
      </c>
      <c r="AF27" s="134">
        <f t="shared" si="2"/>
        <v>2.9816133841311654E-3</v>
      </c>
    </row>
    <row r="28" spans="1:32" x14ac:dyDescent="0.25">
      <c r="B28" s="188">
        <v>42651</v>
      </c>
      <c r="C28" s="10">
        <v>25</v>
      </c>
      <c r="D28" s="39">
        <v>66.959999999999994</v>
      </c>
      <c r="E28" s="39">
        <v>62.13</v>
      </c>
      <c r="F28" s="39">
        <f t="shared" si="5"/>
        <v>-120.74999999999977</v>
      </c>
      <c r="G28" s="39">
        <f t="shared" si="6"/>
        <v>1673.9999999999998</v>
      </c>
      <c r="H28" s="226">
        <f t="shared" si="7"/>
        <v>-7.2132616487455073E-2</v>
      </c>
      <c r="I28" s="39"/>
      <c r="J28" s="39"/>
      <c r="K28" s="39"/>
      <c r="X28" s="130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3">
        <v>3628200</v>
      </c>
      <c r="AD28" s="10">
        <v>60.37</v>
      </c>
      <c r="AE28" s="2">
        <f t="shared" si="1"/>
        <v>0.6699999999999946</v>
      </c>
      <c r="AF28" s="134">
        <f t="shared" si="2"/>
        <v>7.1738405071737343E-3</v>
      </c>
    </row>
    <row r="29" spans="1:32" x14ac:dyDescent="0.25">
      <c r="B29" s="188">
        <v>42663</v>
      </c>
      <c r="C29" s="10">
        <v>50</v>
      </c>
      <c r="D29" s="39">
        <v>63.97</v>
      </c>
      <c r="E29" s="39">
        <v>61</v>
      </c>
      <c r="F29" s="39">
        <f t="shared" si="5"/>
        <v>-148.49999999999994</v>
      </c>
      <c r="G29" s="39">
        <f t="shared" si="6"/>
        <v>3198.5</v>
      </c>
      <c r="H29" s="226">
        <f t="shared" si="7"/>
        <v>-4.6428013131155209E-2</v>
      </c>
      <c r="I29" s="39"/>
      <c r="J29" s="39"/>
      <c r="K29" s="39"/>
      <c r="X29" s="130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3">
        <v>3803800</v>
      </c>
      <c r="AD29" s="10">
        <v>59.94</v>
      </c>
      <c r="AE29" s="2">
        <f t="shared" si="1"/>
        <v>1.3200000000000003</v>
      </c>
      <c r="AF29" s="134">
        <f t="shared" si="2"/>
        <v>-2.3301287273912341E-2</v>
      </c>
    </row>
    <row r="30" spans="1:32" x14ac:dyDescent="0.25">
      <c r="B30" s="188">
        <v>42701</v>
      </c>
      <c r="C30" s="10">
        <v>50</v>
      </c>
      <c r="D30" s="39">
        <v>63.73</v>
      </c>
      <c r="E30" s="39">
        <v>62.3</v>
      </c>
      <c r="F30" s="39">
        <f t="shared" ref="F30:F35" si="8">C30*(E30-D30)</f>
        <v>-71.499999999999986</v>
      </c>
      <c r="G30" s="39">
        <f t="shared" ref="G30:G35" si="9">D30*C30</f>
        <v>3186.5</v>
      </c>
      <c r="H30" s="226">
        <f t="shared" ref="H30:H35" si="10">(E30-D30)/D30</f>
        <v>-2.2438412050839476E-2</v>
      </c>
      <c r="I30" s="39"/>
      <c r="J30" s="39"/>
      <c r="K30" s="39"/>
      <c r="X30" s="130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3">
        <v>2586500</v>
      </c>
      <c r="AD30" s="10">
        <v>61.37</v>
      </c>
      <c r="AE30" s="2">
        <f t="shared" si="1"/>
        <v>0.62000000000000455</v>
      </c>
      <c r="AF30" s="134">
        <f t="shared" si="2"/>
        <v>9.7071405067454819E-3</v>
      </c>
    </row>
    <row r="31" spans="1:32" x14ac:dyDescent="0.25">
      <c r="B31" s="188">
        <v>42708</v>
      </c>
      <c r="C31" s="10">
        <v>50</v>
      </c>
      <c r="D31" s="39">
        <v>63.73</v>
      </c>
      <c r="E31" s="39">
        <v>60.94</v>
      </c>
      <c r="F31" s="39">
        <f t="shared" si="8"/>
        <v>-139.49999999999994</v>
      </c>
      <c r="G31" s="39">
        <f t="shared" si="9"/>
        <v>3186.5</v>
      </c>
      <c r="H31" s="226">
        <f t="shared" si="10"/>
        <v>-4.3778440294994496E-2</v>
      </c>
      <c r="I31" s="39"/>
      <c r="J31" s="39"/>
      <c r="K31" s="39"/>
      <c r="X31" s="130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3">
        <v>2476300</v>
      </c>
      <c r="AD31" s="10">
        <v>60.78</v>
      </c>
      <c r="AE31" s="2">
        <f t="shared" si="1"/>
        <v>0.51999999999999602</v>
      </c>
      <c r="AF31" s="134">
        <f t="shared" si="2"/>
        <v>3.1358309952136398E-3</v>
      </c>
    </row>
    <row r="32" spans="1:32" x14ac:dyDescent="0.25">
      <c r="B32" s="188">
        <v>42731</v>
      </c>
      <c r="C32" s="10">
        <v>50</v>
      </c>
      <c r="D32" s="39">
        <v>63.73</v>
      </c>
      <c r="E32" s="39">
        <v>62.2</v>
      </c>
      <c r="F32" s="39">
        <f t="shared" si="8"/>
        <v>-76.499999999999702</v>
      </c>
      <c r="G32" s="39">
        <f t="shared" si="9"/>
        <v>3186.5</v>
      </c>
      <c r="H32" s="226">
        <f t="shared" si="10"/>
        <v>-2.4007531774674316E-2</v>
      </c>
      <c r="I32" s="39"/>
      <c r="J32" s="39"/>
      <c r="K32" s="39"/>
      <c r="X32" s="130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3">
        <v>3308200</v>
      </c>
      <c r="AD32" s="10">
        <v>60.59</v>
      </c>
      <c r="AE32" s="2">
        <f t="shared" si="1"/>
        <v>0.75</v>
      </c>
      <c r="AF32" s="134">
        <f t="shared" si="2"/>
        <v>-7.046869878728268E-3</v>
      </c>
    </row>
    <row r="33" spans="1:32" x14ac:dyDescent="0.25">
      <c r="B33" s="188">
        <v>42760</v>
      </c>
      <c r="C33" s="10">
        <v>50</v>
      </c>
      <c r="D33" s="39">
        <v>63.73</v>
      </c>
      <c r="E33" s="39">
        <v>63.01</v>
      </c>
      <c r="F33" s="39">
        <f t="shared" si="8"/>
        <v>-35.999999999999943</v>
      </c>
      <c r="G33" s="39">
        <f t="shared" si="9"/>
        <v>3186.5</v>
      </c>
      <c r="H33" s="226">
        <f t="shared" si="10"/>
        <v>-1.1297662011611469E-2</v>
      </c>
      <c r="I33" s="39"/>
      <c r="J33" s="39"/>
      <c r="K33" s="39"/>
      <c r="X33" s="130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3">
        <v>7480300</v>
      </c>
      <c r="AD33" s="10">
        <v>61.02</v>
      </c>
      <c r="AE33" s="2">
        <f t="shared" si="1"/>
        <v>1.5600000000000023</v>
      </c>
      <c r="AF33" s="134">
        <f t="shared" si="2"/>
        <v>3.0221171703528782E-2</v>
      </c>
    </row>
    <row r="34" spans="1:32" x14ac:dyDescent="0.25">
      <c r="A34" t="s">
        <v>357</v>
      </c>
      <c r="B34" s="188">
        <v>42768</v>
      </c>
      <c r="C34" s="10">
        <v>50</v>
      </c>
      <c r="D34" s="39">
        <v>63.25</v>
      </c>
      <c r="E34" s="39">
        <v>61.72</v>
      </c>
      <c r="F34" s="39">
        <f t="shared" si="8"/>
        <v>-76.500000000000057</v>
      </c>
      <c r="G34" s="39">
        <f t="shared" si="9"/>
        <v>3162.5</v>
      </c>
      <c r="H34" s="226">
        <f t="shared" si="10"/>
        <v>-2.4189723320158122E-2</v>
      </c>
      <c r="I34" s="39"/>
      <c r="J34" s="39"/>
      <c r="K34" s="39"/>
      <c r="X34" s="130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3">
        <v>11620100</v>
      </c>
      <c r="AD34" s="10">
        <v>59.23</v>
      </c>
      <c r="AE34" s="2">
        <f t="shared" si="1"/>
        <v>1.4799999999999969</v>
      </c>
      <c r="AF34" s="134">
        <f t="shared" si="2"/>
        <v>-3.7536561585960415E-2</v>
      </c>
    </row>
    <row r="35" spans="1:32" x14ac:dyDescent="0.25">
      <c r="A35" t="s">
        <v>446</v>
      </c>
      <c r="B35" s="188">
        <v>42783</v>
      </c>
      <c r="C35" s="10">
        <v>75</v>
      </c>
      <c r="D35" s="39">
        <v>61.9133</v>
      </c>
      <c r="E35" s="39">
        <v>61.54</v>
      </c>
      <c r="F35" s="39">
        <f t="shared" si="8"/>
        <v>-27.997500000000031</v>
      </c>
      <c r="G35" s="39">
        <f t="shared" si="9"/>
        <v>4643.4975000000004</v>
      </c>
      <c r="H35" s="226">
        <f t="shared" si="10"/>
        <v>-6.0293991759444322E-3</v>
      </c>
      <c r="I35" s="39"/>
      <c r="J35" s="39"/>
      <c r="K35" s="39"/>
      <c r="X35" s="130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3">
        <v>6019600</v>
      </c>
      <c r="AD35" s="10">
        <v>61.54</v>
      </c>
      <c r="AE35" s="2">
        <f t="shared" si="1"/>
        <v>1.8800000000000026</v>
      </c>
      <c r="AF35" s="134">
        <f t="shared" si="2"/>
        <v>-2.6111726539009283E-2</v>
      </c>
    </row>
    <row r="36" spans="1:32" x14ac:dyDescent="0.25">
      <c r="A36">
        <v>50</v>
      </c>
      <c r="B36" s="188">
        <v>42809</v>
      </c>
      <c r="C36" s="10">
        <v>75</v>
      </c>
      <c r="D36" s="39">
        <v>61.9133</v>
      </c>
      <c r="E36" s="39">
        <v>61.16</v>
      </c>
      <c r="F36" s="39">
        <f t="shared" ref="F36:F42" si="11">C36*(E36-D36)</f>
        <v>-56.497500000000223</v>
      </c>
      <c r="G36" s="39">
        <f t="shared" ref="G36:G42" si="12">D36*C36</f>
        <v>4643.4975000000004</v>
      </c>
      <c r="H36" s="226">
        <f t="shared" ref="H36:H42" si="13">(E36-D36)/D36</f>
        <v>-1.2167014195657523E-2</v>
      </c>
      <c r="I36" s="39"/>
      <c r="J36" s="39">
        <v>-6.55</v>
      </c>
      <c r="K36" s="39"/>
      <c r="X36" s="130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3">
        <v>2637900</v>
      </c>
      <c r="AD36" s="10">
        <v>63.19</v>
      </c>
      <c r="AE36" s="2">
        <f t="shared" si="1"/>
        <v>1.3400000000000034</v>
      </c>
      <c r="AF36" s="134">
        <f t="shared" si="2"/>
        <v>1.5850372483752206E-3</v>
      </c>
    </row>
    <row r="37" spans="1:32" x14ac:dyDescent="0.25">
      <c r="A37">
        <v>75</v>
      </c>
      <c r="B37" s="188">
        <v>42831</v>
      </c>
      <c r="C37" s="10">
        <v>100</v>
      </c>
      <c r="D37" s="39">
        <v>60.83</v>
      </c>
      <c r="E37" s="39">
        <v>58</v>
      </c>
      <c r="F37" s="39">
        <f t="shared" si="11"/>
        <v>-282.99999999999983</v>
      </c>
      <c r="G37" s="39">
        <f t="shared" si="12"/>
        <v>6083</v>
      </c>
      <c r="H37" s="226">
        <f t="shared" si="13"/>
        <v>-4.6523097156008525E-2</v>
      </c>
      <c r="I37" s="39"/>
      <c r="J37" s="39">
        <v>-251</v>
      </c>
      <c r="K37" s="39"/>
      <c r="X37" s="130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3">
        <v>3637300</v>
      </c>
      <c r="AD37" s="10">
        <v>63.09</v>
      </c>
      <c r="AE37" s="2">
        <f t="shared" si="1"/>
        <v>1.1899999999999977</v>
      </c>
      <c r="AF37" s="134">
        <f t="shared" si="2"/>
        <v>3.1801558276356445E-3</v>
      </c>
    </row>
    <row r="38" spans="1:32" x14ac:dyDescent="0.25">
      <c r="A38">
        <v>75</v>
      </c>
      <c r="B38" s="188">
        <v>42846</v>
      </c>
      <c r="C38" s="10">
        <v>150</v>
      </c>
      <c r="D38" s="39">
        <v>59.7986</v>
      </c>
      <c r="E38" s="39">
        <v>57.73</v>
      </c>
      <c r="F38" s="39">
        <f t="shared" si="11"/>
        <v>-310.29000000000053</v>
      </c>
      <c r="G38" s="39">
        <f t="shared" si="12"/>
        <v>8969.7900000000009</v>
      </c>
      <c r="H38" s="226">
        <f t="shared" si="13"/>
        <v>-3.4592783108634707E-2</v>
      </c>
      <c r="I38" s="39"/>
      <c r="J38" s="39">
        <v>-260</v>
      </c>
      <c r="K38" s="39"/>
      <c r="X38" s="130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3">
        <v>1843600</v>
      </c>
      <c r="AD38" s="10">
        <v>62.89</v>
      </c>
      <c r="AE38" s="2">
        <f t="shared" si="1"/>
        <v>0.59000000000000341</v>
      </c>
      <c r="AF38" s="134">
        <f t="shared" si="2"/>
        <v>2.0713830465264316E-3</v>
      </c>
    </row>
    <row r="39" spans="1:32" x14ac:dyDescent="0.25">
      <c r="A39">
        <v>75</v>
      </c>
      <c r="B39" s="188">
        <v>42857</v>
      </c>
      <c r="C39" s="10">
        <v>150</v>
      </c>
      <c r="D39" s="39">
        <v>59.558599999999998</v>
      </c>
      <c r="E39" s="39">
        <v>55.92</v>
      </c>
      <c r="F39" s="39">
        <f t="shared" si="11"/>
        <v>-545.78999999999951</v>
      </c>
      <c r="G39" s="39">
        <f t="shared" si="12"/>
        <v>8933.7899999999991</v>
      </c>
      <c r="H39" s="226">
        <f t="shared" si="13"/>
        <v>-6.1092772496331292E-2</v>
      </c>
      <c r="I39" s="39"/>
      <c r="J39" s="39">
        <v>-496</v>
      </c>
      <c r="K39" s="39"/>
      <c r="X39" s="130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3">
        <v>1977900</v>
      </c>
      <c r="AD39" s="10">
        <v>62.76</v>
      </c>
      <c r="AE39" s="2">
        <f t="shared" si="1"/>
        <v>0.71000000000000085</v>
      </c>
      <c r="AF39" s="134">
        <f t="shared" si="2"/>
        <v>-4.7573739295909689E-3</v>
      </c>
    </row>
    <row r="40" spans="1:32" x14ac:dyDescent="0.25">
      <c r="A40">
        <v>100</v>
      </c>
      <c r="B40" s="188">
        <v>42862</v>
      </c>
      <c r="C40" s="7">
        <v>150</v>
      </c>
      <c r="D40" s="43">
        <v>59.56</v>
      </c>
      <c r="E40" s="39">
        <v>57.3</v>
      </c>
      <c r="F40" s="39">
        <f t="shared" si="11"/>
        <v>-339.0000000000008</v>
      </c>
      <c r="G40" s="39">
        <f t="shared" si="12"/>
        <v>8934</v>
      </c>
      <c r="H40" s="226">
        <f t="shared" si="13"/>
        <v>-3.79449294828745E-2</v>
      </c>
      <c r="I40" s="39"/>
      <c r="J40" s="39">
        <v>-289</v>
      </c>
      <c r="K40" s="39"/>
      <c r="X40" s="130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3">
        <v>2509300</v>
      </c>
      <c r="AD40" s="10">
        <v>63.06</v>
      </c>
      <c r="AE40" s="2">
        <f t="shared" si="1"/>
        <v>1.2199999999999989</v>
      </c>
      <c r="AF40" s="134">
        <f t="shared" si="2"/>
        <v>1.3500482160077265E-2</v>
      </c>
    </row>
    <row r="41" spans="1:32" ht="20.25" thickBot="1" x14ac:dyDescent="0.35">
      <c r="A41">
        <v>100</v>
      </c>
      <c r="B41" s="188">
        <v>42864</v>
      </c>
      <c r="C41" s="435">
        <v>200</v>
      </c>
      <c r="D41" s="436">
        <v>58.9</v>
      </c>
      <c r="E41" s="39">
        <v>56.98</v>
      </c>
      <c r="F41" s="39">
        <f t="shared" si="11"/>
        <v>-384.00000000000034</v>
      </c>
      <c r="G41" s="39">
        <f t="shared" si="12"/>
        <v>11780</v>
      </c>
      <c r="H41" s="226">
        <f t="shared" si="13"/>
        <v>-3.2597623089983055E-2</v>
      </c>
      <c r="I41" s="39"/>
      <c r="J41" s="39">
        <v>-333</v>
      </c>
      <c r="K41" s="39"/>
      <c r="O41" s="804" t="s">
        <v>78</v>
      </c>
      <c r="P41" s="804"/>
      <c r="X41" s="130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3">
        <v>1682200</v>
      </c>
      <c r="AD41" s="10">
        <v>62.22</v>
      </c>
      <c r="AE41" s="2">
        <f t="shared" si="1"/>
        <v>0.69999999999999574</v>
      </c>
      <c r="AF41" s="134">
        <f t="shared" si="2"/>
        <v>6.4703979294726821E-3</v>
      </c>
    </row>
    <row r="42" spans="1:32" ht="21" thickTop="1" thickBot="1" x14ac:dyDescent="0.35">
      <c r="A42">
        <v>100</v>
      </c>
      <c r="B42" s="188">
        <v>42900</v>
      </c>
      <c r="C42" s="10">
        <v>200</v>
      </c>
      <c r="D42" s="39">
        <v>58.5471</v>
      </c>
      <c r="E42" s="39">
        <v>58.75</v>
      </c>
      <c r="F42" s="39">
        <f t="shared" si="11"/>
        <v>40.579999999999927</v>
      </c>
      <c r="G42" s="39">
        <f t="shared" si="12"/>
        <v>11709.42</v>
      </c>
      <c r="H42" s="226">
        <f t="shared" si="13"/>
        <v>3.4655858274790664E-3</v>
      </c>
      <c r="I42" s="39"/>
      <c r="J42" s="39">
        <v>90.53</v>
      </c>
      <c r="K42" s="39"/>
      <c r="O42" s="81">
        <v>1.1000000000000001</v>
      </c>
      <c r="P42" s="81">
        <f>O42*$Q$4</f>
        <v>60.192</v>
      </c>
      <c r="Q42" s="2"/>
      <c r="T42" s="89"/>
      <c r="X42" s="130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3">
        <v>1622800</v>
      </c>
      <c r="AD42" s="10">
        <v>61.82</v>
      </c>
      <c r="AE42" s="2">
        <f t="shared" si="1"/>
        <v>0.36999999999999744</v>
      </c>
      <c r="AF42" s="134">
        <f t="shared" si="2"/>
        <v>6.1848958333334814E-3</v>
      </c>
    </row>
    <row r="43" spans="1:32" ht="15.75" thickTop="1" x14ac:dyDescent="0.25">
      <c r="A43">
        <v>200</v>
      </c>
      <c r="B43" s="188">
        <v>42939</v>
      </c>
      <c r="C43" s="10">
        <v>200</v>
      </c>
      <c r="D43" s="39">
        <v>58.5471</v>
      </c>
      <c r="E43" s="39">
        <v>54.35</v>
      </c>
      <c r="F43" s="39">
        <f t="shared" ref="F43" si="14">C43*(E43-D43)</f>
        <v>-839.41999999999985</v>
      </c>
      <c r="G43" s="39">
        <f t="shared" ref="G43" si="15">D43*C43</f>
        <v>11709.42</v>
      </c>
      <c r="H43" s="226">
        <f t="shared" ref="H43" si="16">(E43-D43)/D43</f>
        <v>-7.1687581451515089E-2</v>
      </c>
      <c r="I43" s="39"/>
      <c r="J43" s="39">
        <v>-789</v>
      </c>
      <c r="K43" s="39"/>
      <c r="O43" s="81">
        <v>1.0900000000000001</v>
      </c>
      <c r="P43" s="81">
        <f t="shared" ref="P43:P62" si="17">O43*$Q$4</f>
        <v>59.644800000000004</v>
      </c>
      <c r="Q43" s="2"/>
      <c r="T43" s="125" t="s">
        <v>97</v>
      </c>
      <c r="U43" s="126">
        <v>58.38</v>
      </c>
      <c r="X43" s="130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3">
        <v>2335600</v>
      </c>
      <c r="AD43" s="10">
        <v>61.44</v>
      </c>
      <c r="AE43" s="2">
        <f t="shared" si="1"/>
        <v>1.2100000000000009</v>
      </c>
      <c r="AF43" s="134">
        <f t="shared" si="2"/>
        <v>-2.0564323290291675E-2</v>
      </c>
    </row>
    <row r="44" spans="1:32" x14ac:dyDescent="0.25">
      <c r="A44">
        <v>200</v>
      </c>
      <c r="B44" s="188">
        <v>42949</v>
      </c>
      <c r="C44" s="10">
        <v>200</v>
      </c>
      <c r="D44" s="39">
        <v>58.057000000000002</v>
      </c>
      <c r="E44" s="39">
        <v>56.07</v>
      </c>
      <c r="F44" s="39">
        <f t="shared" ref="F44:F47" si="18">C44*(E44-D44)</f>
        <v>-397.40000000000038</v>
      </c>
      <c r="G44" s="39">
        <f t="shared" ref="G44:G47" si="19">D44*C44</f>
        <v>11611.4</v>
      </c>
      <c r="H44" s="226">
        <f t="shared" ref="H44:H47" si="20">(E44-D44)/D44</f>
        <v>-3.4224985789827272E-2</v>
      </c>
      <c r="I44" s="39"/>
      <c r="J44" s="39">
        <v>-347</v>
      </c>
      <c r="K44" s="39"/>
      <c r="O44" s="81">
        <v>1.08</v>
      </c>
      <c r="P44" s="81">
        <f t="shared" si="17"/>
        <v>59.0976</v>
      </c>
      <c r="Q44" s="2"/>
      <c r="T44" s="91" t="s">
        <v>98</v>
      </c>
      <c r="U44" s="127">
        <v>58.44</v>
      </c>
      <c r="X44" s="130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3">
        <v>2532400</v>
      </c>
      <c r="AD44" s="10">
        <v>62.73</v>
      </c>
      <c r="AE44" s="2">
        <f t="shared" si="1"/>
        <v>1.1200000000000045</v>
      </c>
      <c r="AF44" s="134">
        <f t="shared" si="2"/>
        <v>1.6364225534672761E-2</v>
      </c>
    </row>
    <row r="45" spans="1:32" x14ac:dyDescent="0.25">
      <c r="A45">
        <v>150</v>
      </c>
      <c r="B45" s="188">
        <v>42978</v>
      </c>
      <c r="C45" s="435">
        <v>200</v>
      </c>
      <c r="D45" s="436">
        <v>57.92</v>
      </c>
      <c r="E45" s="39">
        <v>53.4</v>
      </c>
      <c r="F45" s="39">
        <f t="shared" si="18"/>
        <v>-904.00000000000068</v>
      </c>
      <c r="G45" s="39">
        <f t="shared" si="19"/>
        <v>11584</v>
      </c>
      <c r="H45" s="226">
        <f t="shared" si="20"/>
        <v>-7.8038674033149222E-2</v>
      </c>
      <c r="I45" s="39">
        <v>57</v>
      </c>
      <c r="J45" s="39">
        <v>-790</v>
      </c>
      <c r="K45" s="39"/>
      <c r="O45" s="81">
        <v>1.07</v>
      </c>
      <c r="P45" s="81">
        <f t="shared" si="17"/>
        <v>58.550400000000003</v>
      </c>
      <c r="Q45" s="2"/>
      <c r="T45" s="91" t="s">
        <v>99</v>
      </c>
      <c r="U45" s="127" t="s">
        <v>128</v>
      </c>
      <c r="X45" s="130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3">
        <v>2167900</v>
      </c>
      <c r="AD45" s="10">
        <v>61.72</v>
      </c>
      <c r="AE45" s="2">
        <f t="shared" si="1"/>
        <v>0.52000000000000313</v>
      </c>
      <c r="AF45" s="134">
        <f t="shared" si="2"/>
        <v>5.7031122698387726E-3</v>
      </c>
    </row>
    <row r="46" spans="1:32" x14ac:dyDescent="0.25">
      <c r="A46">
        <v>200</v>
      </c>
      <c r="B46" s="188">
        <v>43009</v>
      </c>
      <c r="C46" s="10">
        <v>200</v>
      </c>
      <c r="D46" s="39">
        <v>57.92</v>
      </c>
      <c r="E46" s="39">
        <v>51.76</v>
      </c>
      <c r="F46" s="39">
        <f t="shared" si="18"/>
        <v>-1232.0000000000007</v>
      </c>
      <c r="G46" s="39">
        <f t="shared" si="19"/>
        <v>11584</v>
      </c>
      <c r="H46" s="226">
        <f t="shared" si="20"/>
        <v>-0.10635359116022106</v>
      </c>
      <c r="I46" s="39"/>
      <c r="J46" s="39">
        <v>-1183</v>
      </c>
      <c r="K46" s="39"/>
      <c r="O46" s="81">
        <v>1.06</v>
      </c>
      <c r="P46" s="81">
        <f t="shared" si="17"/>
        <v>58.0032</v>
      </c>
      <c r="Q46" s="2"/>
      <c r="T46" s="91" t="s">
        <v>100</v>
      </c>
      <c r="U46" s="127" t="s">
        <v>128</v>
      </c>
      <c r="X46" s="130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3">
        <v>2644100</v>
      </c>
      <c r="AD46" s="10">
        <v>61.37</v>
      </c>
      <c r="AE46" s="2">
        <f t="shared" si="1"/>
        <v>1.0900000000000034</v>
      </c>
      <c r="AF46" s="134">
        <f t="shared" si="2"/>
        <v>-1.7765685019206168E-2</v>
      </c>
    </row>
    <row r="47" spans="1:32" x14ac:dyDescent="0.25">
      <c r="A47">
        <v>200</v>
      </c>
      <c r="B47" s="188">
        <v>43017</v>
      </c>
      <c r="C47" s="10">
        <v>300</v>
      </c>
      <c r="D47" s="39">
        <v>55.348300000000002</v>
      </c>
      <c r="E47" s="39">
        <v>50.19</v>
      </c>
      <c r="F47" s="39">
        <f t="shared" si="18"/>
        <v>-1547.4900000000011</v>
      </c>
      <c r="G47" s="39">
        <f t="shared" si="19"/>
        <v>16604.490000000002</v>
      </c>
      <c r="H47" s="226">
        <f t="shared" si="20"/>
        <v>-9.3197081030492429E-2</v>
      </c>
      <c r="I47" s="39">
        <v>55</v>
      </c>
      <c r="J47" s="39">
        <v>-1497</v>
      </c>
      <c r="K47" s="39"/>
      <c r="O47" s="81">
        <v>1.05</v>
      </c>
      <c r="P47" s="81">
        <f t="shared" si="17"/>
        <v>57.456000000000003</v>
      </c>
      <c r="Q47" s="2"/>
      <c r="T47" s="91" t="s">
        <v>101</v>
      </c>
      <c r="U47" s="127">
        <v>60.75</v>
      </c>
      <c r="X47" s="130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3">
        <v>3543600</v>
      </c>
      <c r="AD47" s="10">
        <v>62.48</v>
      </c>
      <c r="AE47" s="2">
        <f t="shared" si="1"/>
        <v>0.63000000000000256</v>
      </c>
      <c r="AF47" s="134">
        <f t="shared" si="2"/>
        <v>-1.9169329073482899E-3</v>
      </c>
    </row>
    <row r="48" spans="1:32" x14ac:dyDescent="0.25">
      <c r="A48">
        <v>200</v>
      </c>
      <c r="B48" s="188">
        <v>43023</v>
      </c>
      <c r="C48" s="10">
        <v>300</v>
      </c>
      <c r="D48" s="39">
        <v>55.348300000000002</v>
      </c>
      <c r="E48" s="39">
        <v>51.53</v>
      </c>
      <c r="F48" s="39">
        <f t="shared" ref="F48:F56" si="21">C48*(E48-D48)</f>
        <v>-1145.4900000000002</v>
      </c>
      <c r="G48" s="39">
        <f t="shared" ref="G48:G56" si="22">D48*C48</f>
        <v>16604.490000000002</v>
      </c>
      <c r="H48" s="226">
        <f t="shared" ref="H48:H56" si="23">(E48-D48)/D48</f>
        <v>-6.8986762014370817E-2</v>
      </c>
      <c r="I48" s="39">
        <v>55</v>
      </c>
      <c r="J48" s="39">
        <v>-1497</v>
      </c>
      <c r="K48" s="39">
        <v>42.7</v>
      </c>
      <c r="O48" s="81">
        <v>1.04</v>
      </c>
      <c r="P48" s="81">
        <f t="shared" si="17"/>
        <v>56.908799999999999</v>
      </c>
      <c r="Q48" s="2"/>
      <c r="T48" s="91" t="s">
        <v>102</v>
      </c>
      <c r="U48" s="127">
        <v>0.53062699999999996</v>
      </c>
      <c r="X48" s="130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3">
        <v>1692300</v>
      </c>
      <c r="AD48" s="10">
        <v>62.6</v>
      </c>
      <c r="AE48" s="2">
        <f t="shared" si="1"/>
        <v>0.60999999999999943</v>
      </c>
      <c r="AF48" s="134">
        <f t="shared" si="2"/>
        <v>-1.913265306122458E-3</v>
      </c>
    </row>
    <row r="49" spans="1:32" x14ac:dyDescent="0.25">
      <c r="A49">
        <v>100</v>
      </c>
      <c r="B49" s="188">
        <v>43028</v>
      </c>
      <c r="C49" s="435">
        <v>200</v>
      </c>
      <c r="D49" s="436">
        <v>56.997999999999998</v>
      </c>
      <c r="E49" s="39">
        <v>52.03</v>
      </c>
      <c r="F49" s="39">
        <f t="shared" si="21"/>
        <v>-993.59999999999923</v>
      </c>
      <c r="G49" s="39">
        <f t="shared" si="22"/>
        <v>11399.6</v>
      </c>
      <c r="H49" s="226">
        <f t="shared" si="23"/>
        <v>-8.7160953015895229E-2</v>
      </c>
      <c r="I49" s="197" t="s">
        <v>808</v>
      </c>
      <c r="J49" s="39">
        <v>-948</v>
      </c>
      <c r="K49" s="39">
        <v>46.9</v>
      </c>
      <c r="O49" s="81">
        <v>1.03</v>
      </c>
      <c r="P49" s="81">
        <f t="shared" si="17"/>
        <v>56.361600000000003</v>
      </c>
      <c r="Q49" s="2"/>
      <c r="T49" s="91" t="s">
        <v>121</v>
      </c>
      <c r="U49" s="127" t="s">
        <v>543</v>
      </c>
      <c r="X49" s="130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3">
        <v>1845100</v>
      </c>
      <c r="AD49" s="10">
        <v>62.72</v>
      </c>
      <c r="AE49" s="2">
        <f t="shared" si="1"/>
        <v>0.57999999999999829</v>
      </c>
      <c r="AF49" s="134">
        <f t="shared" si="2"/>
        <v>3.1897926634760765E-4</v>
      </c>
    </row>
    <row r="50" spans="1:32" x14ac:dyDescent="0.25">
      <c r="A50">
        <v>100</v>
      </c>
      <c r="B50" s="188">
        <v>43045</v>
      </c>
      <c r="C50" s="10">
        <v>300</v>
      </c>
      <c r="D50" s="39">
        <v>54.405299999999997</v>
      </c>
      <c r="E50" s="39">
        <v>50.1</v>
      </c>
      <c r="F50" s="39">
        <f t="shared" si="21"/>
        <v>-1291.5899999999986</v>
      </c>
      <c r="G50" s="39">
        <f t="shared" si="22"/>
        <v>16321.589999999998</v>
      </c>
      <c r="H50" s="226">
        <f t="shared" si="23"/>
        <v>-7.9133834387458496E-2</v>
      </c>
      <c r="I50" s="39"/>
      <c r="J50" s="39">
        <v>-1242</v>
      </c>
      <c r="K50" s="39" t="s">
        <v>185</v>
      </c>
      <c r="O50" s="81">
        <v>1.02</v>
      </c>
      <c r="P50" s="81">
        <f t="shared" si="17"/>
        <v>55.814399999999999</v>
      </c>
      <c r="Q50" s="2"/>
      <c r="T50" s="91"/>
      <c r="U50" s="127"/>
      <c r="X50" s="130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3">
        <v>1957100</v>
      </c>
      <c r="AD50" s="10">
        <v>62.7</v>
      </c>
      <c r="AE50" s="2">
        <f t="shared" si="1"/>
        <v>0.61999999999999744</v>
      </c>
      <c r="AF50" s="134">
        <f t="shared" si="2"/>
        <v>-4.9198539914298012E-3</v>
      </c>
    </row>
    <row r="51" spans="1:32" x14ac:dyDescent="0.25">
      <c r="A51">
        <v>0</v>
      </c>
      <c r="B51" s="188">
        <v>43047</v>
      </c>
      <c r="C51" s="435">
        <v>200</v>
      </c>
      <c r="D51" s="436">
        <v>55.893599999999999</v>
      </c>
      <c r="E51" s="39">
        <v>51.5</v>
      </c>
      <c r="F51" s="39">
        <f t="shared" si="21"/>
        <v>-878.7199999999998</v>
      </c>
      <c r="G51" s="39">
        <f t="shared" si="22"/>
        <v>11178.72</v>
      </c>
      <c r="H51" s="226">
        <f t="shared" si="23"/>
        <v>-7.8606495198019086E-2</v>
      </c>
      <c r="I51" s="197" t="s">
        <v>823</v>
      </c>
      <c r="J51" s="39">
        <v>-829</v>
      </c>
      <c r="K51" s="39"/>
      <c r="O51" s="81">
        <v>1.01</v>
      </c>
      <c r="P51" s="81">
        <f t="shared" si="17"/>
        <v>55.267200000000003</v>
      </c>
      <c r="Q51" s="2"/>
      <c r="T51" s="91" t="s">
        <v>104</v>
      </c>
      <c r="U51" s="127" t="s">
        <v>699</v>
      </c>
      <c r="X51" s="130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3">
        <v>2681400</v>
      </c>
      <c r="AD51" s="10">
        <v>63.01</v>
      </c>
      <c r="AE51" s="2">
        <f t="shared" si="1"/>
        <v>0.68999999999999773</v>
      </c>
      <c r="AF51" s="134">
        <f t="shared" si="2"/>
        <v>5.4252433381203335E-3</v>
      </c>
    </row>
    <row r="52" spans="1:32" x14ac:dyDescent="0.25">
      <c r="A52">
        <v>50</v>
      </c>
      <c r="B52" s="188">
        <v>43068</v>
      </c>
      <c r="C52" s="7">
        <v>150</v>
      </c>
      <c r="D52" s="43">
        <v>55.765000000000001</v>
      </c>
      <c r="E52" s="39">
        <v>56.34</v>
      </c>
      <c r="F52" s="39">
        <f t="shared" si="21"/>
        <v>86.250000000000426</v>
      </c>
      <c r="G52" s="39">
        <f t="shared" si="22"/>
        <v>8364.75</v>
      </c>
      <c r="H52" s="226">
        <f t="shared" si="23"/>
        <v>1.0311127051017714E-2</v>
      </c>
      <c r="I52" s="39">
        <v>55.2</v>
      </c>
      <c r="J52" s="39">
        <v>136</v>
      </c>
      <c r="K52" s="39"/>
      <c r="O52" s="81">
        <v>1</v>
      </c>
      <c r="P52" s="81">
        <f t="shared" si="17"/>
        <v>54.72</v>
      </c>
      <c r="Q52" s="2"/>
      <c r="T52" s="91" t="s">
        <v>105</v>
      </c>
      <c r="U52" s="127" t="s">
        <v>700</v>
      </c>
      <c r="X52" s="130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3">
        <v>2632500</v>
      </c>
      <c r="AD52" s="10">
        <v>62.67</v>
      </c>
      <c r="AE52" s="2">
        <f t="shared" si="1"/>
        <v>0.82999999999999829</v>
      </c>
      <c r="AF52" s="134">
        <f t="shared" si="2"/>
        <v>8.8538312942691988E-3</v>
      </c>
    </row>
    <row r="53" spans="1:32" x14ac:dyDescent="0.25">
      <c r="A53">
        <v>0</v>
      </c>
      <c r="B53" s="188">
        <v>43069</v>
      </c>
      <c r="C53" s="10">
        <v>100</v>
      </c>
      <c r="D53" s="39">
        <v>55.208599999999997</v>
      </c>
      <c r="E53" s="39">
        <v>56.34</v>
      </c>
      <c r="F53" s="39">
        <f t="shared" si="21"/>
        <v>113.14000000000064</v>
      </c>
      <c r="G53" s="39">
        <f t="shared" si="22"/>
        <v>5520.86</v>
      </c>
      <c r="H53" s="226">
        <f t="shared" si="23"/>
        <v>2.0493184032922523E-2</v>
      </c>
      <c r="I53" s="39">
        <v>55</v>
      </c>
      <c r="J53" s="39">
        <v>217</v>
      </c>
      <c r="K53" s="39"/>
      <c r="O53" s="81">
        <v>0.99</v>
      </c>
      <c r="P53" s="81">
        <f t="shared" si="17"/>
        <v>54.172799999999995</v>
      </c>
      <c r="Q53" s="2"/>
      <c r="T53" s="493" t="s">
        <v>106</v>
      </c>
      <c r="U53" s="128">
        <v>3185042</v>
      </c>
      <c r="X53" s="130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3">
        <v>2837400</v>
      </c>
      <c r="AD53" s="10">
        <v>62.12</v>
      </c>
      <c r="AE53" s="2">
        <f t="shared" si="1"/>
        <v>0.80000000000000426</v>
      </c>
      <c r="AF53" s="134">
        <f t="shared" si="2"/>
        <v>-4.806151874399256E-3</v>
      </c>
    </row>
    <row r="54" spans="1:32" x14ac:dyDescent="0.25">
      <c r="A54">
        <v>75</v>
      </c>
      <c r="B54" s="188">
        <v>43087</v>
      </c>
      <c r="C54" s="10">
        <v>75</v>
      </c>
      <c r="D54" s="39">
        <v>54.28</v>
      </c>
      <c r="E54" s="39">
        <v>58</v>
      </c>
      <c r="F54" s="39">
        <f t="shared" si="21"/>
        <v>278.99999999999989</v>
      </c>
      <c r="G54" s="39">
        <f t="shared" si="22"/>
        <v>4071</v>
      </c>
      <c r="H54" s="226">
        <f t="shared" si="23"/>
        <v>6.8533529845246841E-2</v>
      </c>
      <c r="I54" s="39"/>
      <c r="J54" s="39">
        <v>329</v>
      </c>
      <c r="K54" s="39"/>
      <c r="O54" s="81">
        <v>0.98</v>
      </c>
      <c r="P54" s="81">
        <f t="shared" si="17"/>
        <v>53.625599999999999</v>
      </c>
      <c r="Q54" s="2"/>
      <c r="T54" s="493" t="s">
        <v>109</v>
      </c>
      <c r="U54" s="128">
        <v>3236780</v>
      </c>
      <c r="X54" s="130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3">
        <v>3104000</v>
      </c>
      <c r="AD54" s="10">
        <v>62.42</v>
      </c>
      <c r="AE54" s="2">
        <f t="shared" si="1"/>
        <v>0.79999999999999716</v>
      </c>
      <c r="AF54" s="134">
        <f t="shared" si="2"/>
        <v>1.2489862124898776E-2</v>
      </c>
    </row>
    <row r="55" spans="1:32" x14ac:dyDescent="0.25">
      <c r="A55">
        <v>60</v>
      </c>
      <c r="B55" s="188">
        <v>43091</v>
      </c>
      <c r="C55" s="10">
        <v>60</v>
      </c>
      <c r="D55" s="39">
        <v>52.8</v>
      </c>
      <c r="E55" s="39">
        <v>60.13</v>
      </c>
      <c r="F55" s="39">
        <f t="shared" si="21"/>
        <v>439.8000000000003</v>
      </c>
      <c r="G55" s="39">
        <f t="shared" si="22"/>
        <v>3168</v>
      </c>
      <c r="H55" s="226">
        <f t="shared" si="23"/>
        <v>0.13882575757575769</v>
      </c>
      <c r="I55" s="39"/>
      <c r="J55" s="39">
        <v>489</v>
      </c>
      <c r="K55" s="39"/>
      <c r="O55" s="81">
        <v>0.97</v>
      </c>
      <c r="P55" s="81">
        <f t="shared" si="17"/>
        <v>53.078399999999995</v>
      </c>
      <c r="T55" s="91" t="s">
        <v>107</v>
      </c>
      <c r="U55" s="127" t="s">
        <v>701</v>
      </c>
      <c r="X55" s="130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3">
        <v>2421500</v>
      </c>
      <c r="AD55" s="10">
        <v>61.65</v>
      </c>
      <c r="AE55" s="2">
        <f t="shared" si="1"/>
        <v>0.51000000000000512</v>
      </c>
      <c r="AF55" s="134">
        <f t="shared" si="2"/>
        <v>-6.9265463917526082E-3</v>
      </c>
    </row>
    <row r="56" spans="1:32" x14ac:dyDescent="0.25">
      <c r="B56" s="188">
        <v>43133</v>
      </c>
      <c r="C56" s="10">
        <v>100</v>
      </c>
      <c r="D56" s="39">
        <v>54.483600000000003</v>
      </c>
      <c r="E56" s="39">
        <v>55.95</v>
      </c>
      <c r="F56" s="39">
        <f t="shared" si="21"/>
        <v>146.64000000000001</v>
      </c>
      <c r="G56" s="39">
        <f t="shared" si="22"/>
        <v>5448.3600000000006</v>
      </c>
      <c r="H56" s="226">
        <f t="shared" si="23"/>
        <v>2.6914521066889855E-2</v>
      </c>
      <c r="I56" s="39"/>
      <c r="J56" s="39">
        <v>197</v>
      </c>
      <c r="K56" s="39"/>
      <c r="O56" s="81">
        <v>0.96</v>
      </c>
      <c r="P56" s="81">
        <f t="shared" si="17"/>
        <v>52.531199999999998</v>
      </c>
      <c r="T56" s="91" t="s">
        <v>110</v>
      </c>
      <c r="U56" s="127">
        <v>21.58</v>
      </c>
      <c r="X56" s="130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3">
        <v>2116400</v>
      </c>
      <c r="AD56" s="10">
        <v>62.08</v>
      </c>
      <c r="AE56" s="2">
        <f t="shared" si="1"/>
        <v>0.46000000000000085</v>
      </c>
      <c r="AF56" s="134">
        <f t="shared" si="2"/>
        <v>1.6134236850597894E-3</v>
      </c>
    </row>
    <row r="57" spans="1:32" x14ac:dyDescent="0.25">
      <c r="B57" s="188"/>
      <c r="C57" s="10"/>
      <c r="D57" s="39"/>
      <c r="E57" s="39"/>
      <c r="F57" s="39"/>
      <c r="G57" s="39"/>
      <c r="H57" s="226"/>
      <c r="I57" s="39"/>
      <c r="J57" s="39"/>
      <c r="K57" s="39"/>
      <c r="O57" s="81">
        <v>0.95</v>
      </c>
      <c r="P57" s="81">
        <f t="shared" si="17"/>
        <v>51.983999999999995</v>
      </c>
      <c r="T57" s="91" t="s">
        <v>111</v>
      </c>
      <c r="U57" s="127">
        <v>2.7</v>
      </c>
      <c r="X57" s="130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3">
        <v>2775100</v>
      </c>
      <c r="AD57" s="10">
        <v>61.98</v>
      </c>
      <c r="AE57" s="2">
        <f t="shared" si="1"/>
        <v>1.1000000000000014</v>
      </c>
      <c r="AF57" s="134">
        <f t="shared" si="2"/>
        <v>1.4734774066797574E-2</v>
      </c>
    </row>
    <row r="58" spans="1:32" x14ac:dyDescent="0.25">
      <c r="B58" s="188"/>
      <c r="C58" s="10"/>
      <c r="D58" s="39"/>
      <c r="E58" s="39"/>
      <c r="F58" s="39"/>
      <c r="G58" s="39"/>
      <c r="H58" s="226"/>
      <c r="I58" s="39"/>
      <c r="J58" s="39"/>
      <c r="K58" s="39"/>
      <c r="O58" s="81">
        <v>0.94</v>
      </c>
      <c r="P58" s="81">
        <f t="shared" si="17"/>
        <v>51.436799999999998</v>
      </c>
      <c r="T58" s="91" t="s">
        <v>108</v>
      </c>
      <c r="U58" s="127" t="s">
        <v>580</v>
      </c>
      <c r="X58" s="130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3">
        <v>1853800</v>
      </c>
      <c r="AD58" s="10">
        <v>61.08</v>
      </c>
      <c r="AE58" s="2">
        <f t="shared" si="1"/>
        <v>0.53999999999999915</v>
      </c>
      <c r="AF58" s="134">
        <f t="shared" si="2"/>
        <v>-3.1010282356782604E-3</v>
      </c>
    </row>
    <row r="59" spans="1:32" x14ac:dyDescent="0.25">
      <c r="B59" s="188"/>
      <c r="C59" s="10"/>
      <c r="D59" s="39"/>
      <c r="E59" s="39"/>
      <c r="F59" s="39"/>
      <c r="G59" s="39"/>
      <c r="H59" s="226"/>
      <c r="I59" s="39"/>
      <c r="J59" s="39"/>
      <c r="K59" s="39"/>
      <c r="O59" s="81">
        <v>0.93</v>
      </c>
      <c r="P59" s="81">
        <f t="shared" si="17"/>
        <v>50.889600000000002</v>
      </c>
      <c r="X59" s="130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3">
        <v>2961800</v>
      </c>
      <c r="AD59" s="10">
        <v>61.27</v>
      </c>
      <c r="AE59" s="2">
        <f t="shared" si="1"/>
        <v>1.0200000000000031</v>
      </c>
      <c r="AF59" s="134">
        <f t="shared" si="2"/>
        <v>4.7556575926535061E-3</v>
      </c>
    </row>
    <row r="60" spans="1:32" x14ac:dyDescent="0.25">
      <c r="B60" s="188"/>
      <c r="C60" s="10"/>
      <c r="D60" s="39"/>
      <c r="E60" s="39"/>
      <c r="F60" s="39"/>
      <c r="G60" s="39"/>
      <c r="H60" s="226"/>
      <c r="I60" s="39"/>
      <c r="J60" s="39"/>
      <c r="K60" s="39"/>
      <c r="O60" s="81">
        <v>0.92</v>
      </c>
      <c r="P60" s="81">
        <f t="shared" si="17"/>
        <v>50.342399999999998</v>
      </c>
      <c r="X60" s="130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3">
        <v>3374000</v>
      </c>
      <c r="AD60" s="10">
        <v>60.98</v>
      </c>
      <c r="AE60" s="2">
        <f t="shared" si="1"/>
        <v>0.79999999999999716</v>
      </c>
      <c r="AF60" s="134">
        <f t="shared" si="2"/>
        <v>8.7675765095118763E-3</v>
      </c>
    </row>
    <row r="61" spans="1:32" x14ac:dyDescent="0.25">
      <c r="B61" s="188"/>
      <c r="C61" s="10"/>
      <c r="D61" s="39"/>
      <c r="E61" s="39"/>
      <c r="F61" s="39"/>
      <c r="G61" s="39"/>
      <c r="H61" s="226"/>
      <c r="I61" s="39"/>
      <c r="J61" s="39"/>
      <c r="K61" s="39"/>
      <c r="O61" s="81">
        <v>0.91</v>
      </c>
      <c r="P61" s="81">
        <f t="shared" si="17"/>
        <v>49.795200000000001</v>
      </c>
      <c r="X61" s="130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3">
        <v>3244300</v>
      </c>
      <c r="AD61" s="10">
        <v>60.45</v>
      </c>
      <c r="AE61" s="2">
        <f t="shared" si="1"/>
        <v>0.45999999999999375</v>
      </c>
      <c r="AF61" s="134">
        <f t="shared" si="2"/>
        <v>-1.8163804491413416E-3</v>
      </c>
    </row>
    <row r="62" spans="1:32" x14ac:dyDescent="0.25">
      <c r="B62" s="188"/>
      <c r="C62" s="10"/>
      <c r="D62" s="39"/>
      <c r="E62" s="39"/>
      <c r="F62" s="39"/>
      <c r="G62" s="39"/>
      <c r="H62" s="226"/>
      <c r="I62" s="39"/>
      <c r="J62" s="39"/>
      <c r="K62" s="39"/>
      <c r="O62" s="81">
        <v>0.9</v>
      </c>
      <c r="P62" s="81">
        <f t="shared" si="17"/>
        <v>49.247999999999998</v>
      </c>
      <c r="X62" s="130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3">
        <v>3306300</v>
      </c>
      <c r="AD62" s="10">
        <v>60.56</v>
      </c>
      <c r="AE62" s="2">
        <f t="shared" si="1"/>
        <v>1.0399999999999991</v>
      </c>
      <c r="AF62" s="134">
        <f t="shared" si="2"/>
        <v>-1.4803969415975171E-2</v>
      </c>
    </row>
    <row r="63" spans="1:32" x14ac:dyDescent="0.25">
      <c r="B63" s="188"/>
      <c r="C63" s="10"/>
      <c r="D63" s="39"/>
      <c r="E63" s="39"/>
      <c r="F63" s="39"/>
      <c r="G63" s="39"/>
      <c r="H63" s="226"/>
      <c r="I63" s="39"/>
      <c r="J63" s="39"/>
      <c r="K63" s="39"/>
      <c r="X63" s="130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3">
        <v>2282000</v>
      </c>
      <c r="AD63" s="10">
        <v>61.47</v>
      </c>
      <c r="AE63" s="2">
        <f t="shared" si="1"/>
        <v>0.46000000000000085</v>
      </c>
      <c r="AF63" s="134" t="e">
        <f t="shared" si="2"/>
        <v>#DIV/0!</v>
      </c>
    </row>
    <row r="64" spans="1:32" x14ac:dyDescent="0.25">
      <c r="B64" s="188"/>
      <c r="C64" s="10"/>
      <c r="D64" s="39"/>
      <c r="E64" s="39"/>
      <c r="F64" s="39"/>
      <c r="G64" s="39"/>
      <c r="H64" s="226"/>
      <c r="I64" s="39"/>
      <c r="J64" s="39"/>
      <c r="K64" s="39"/>
      <c r="X64" s="130">
        <v>42741</v>
      </c>
      <c r="Y64" s="10" t="s">
        <v>232</v>
      </c>
      <c r="Z64" s="10"/>
      <c r="AA64" s="10"/>
      <c r="AB64" s="10"/>
      <c r="AC64" s="93"/>
      <c r="AD64" s="10"/>
      <c r="AE64" s="2">
        <f t="shared" si="1"/>
        <v>0</v>
      </c>
      <c r="AF64" s="134">
        <f t="shared" si="2"/>
        <v>-1</v>
      </c>
    </row>
    <row r="65" spans="1:32" x14ac:dyDescent="0.25">
      <c r="B65" s="188"/>
      <c r="C65" s="10"/>
      <c r="D65" s="39"/>
      <c r="E65" s="39"/>
      <c r="F65" s="39"/>
      <c r="G65" s="39"/>
      <c r="H65" s="226"/>
      <c r="I65" s="39"/>
      <c r="J65" s="39"/>
      <c r="K65" s="39"/>
      <c r="X65" s="130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3">
        <v>2558500</v>
      </c>
      <c r="AD65" s="10">
        <v>61.77</v>
      </c>
      <c r="AE65" s="2">
        <f t="shared" si="1"/>
        <v>0.75999999999999801</v>
      </c>
      <c r="AF65" s="134">
        <f t="shared" si="2"/>
        <v>2.9225523623965799E-3</v>
      </c>
    </row>
    <row r="66" spans="1:32" x14ac:dyDescent="0.25">
      <c r="B66" s="188"/>
      <c r="C66" s="10"/>
      <c r="D66" s="39"/>
      <c r="E66" s="39"/>
      <c r="F66" s="39"/>
      <c r="G66" s="39"/>
      <c r="H66" s="226"/>
      <c r="I66" s="39"/>
      <c r="J66" s="39"/>
      <c r="K66" s="39"/>
      <c r="X66" s="130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3">
        <v>2137200</v>
      </c>
      <c r="AD66" s="10">
        <v>61.59</v>
      </c>
      <c r="AE66" s="2">
        <f t="shared" si="1"/>
        <v>0.60999999999999943</v>
      </c>
      <c r="AF66" s="134">
        <f t="shared" si="2"/>
        <v>-3.246226261970353E-4</v>
      </c>
    </row>
    <row r="67" spans="1:32" x14ac:dyDescent="0.25">
      <c r="X67" s="130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3">
        <v>2327900</v>
      </c>
      <c r="AD67" s="10">
        <v>61.61</v>
      </c>
      <c r="AE67" s="2">
        <f>Z67-AA67</f>
        <v>0.88000000000000256</v>
      </c>
      <c r="AF67" s="134">
        <f>AD67/AD68-1</f>
        <v>5.2210801109480176E-3</v>
      </c>
    </row>
    <row r="68" spans="1:32" x14ac:dyDescent="0.25">
      <c r="L68" t="s">
        <v>209</v>
      </c>
      <c r="M68" s="2">
        <f>M77+K77-F77</f>
        <v>49.949999999999818</v>
      </c>
      <c r="X68" s="130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3">
        <v>1937700</v>
      </c>
      <c r="AD68" s="10">
        <v>61.29</v>
      </c>
      <c r="AE68" s="2">
        <f>Z68-AA68</f>
        <v>0.89000000000000057</v>
      </c>
      <c r="AF68" s="134" t="e">
        <f>AD68/AD69-1</f>
        <v>#DIV/0!</v>
      </c>
    </row>
    <row r="69" spans="1:32" x14ac:dyDescent="0.25">
      <c r="A69" s="377" t="s">
        <v>1</v>
      </c>
      <c r="B69" s="377" t="s">
        <v>2</v>
      </c>
      <c r="C69" s="377" t="s">
        <v>4</v>
      </c>
      <c r="D69" s="379" t="s">
        <v>5</v>
      </c>
      <c r="E69" s="379" t="s">
        <v>94</v>
      </c>
      <c r="F69" s="379" t="s">
        <v>60</v>
      </c>
      <c r="G69" s="377" t="s">
        <v>3</v>
      </c>
      <c r="H69" s="377" t="s">
        <v>6</v>
      </c>
      <c r="I69" s="377" t="s">
        <v>7</v>
      </c>
      <c r="J69" s="377" t="s">
        <v>95</v>
      </c>
      <c r="K69" s="377" t="s">
        <v>61</v>
      </c>
      <c r="L69" s="377" t="s">
        <v>77</v>
      </c>
      <c r="M69" s="377" t="s">
        <v>38</v>
      </c>
      <c r="X69" s="130" t="s">
        <v>120</v>
      </c>
      <c r="Y69" s="10"/>
      <c r="Z69" s="10"/>
      <c r="AA69" s="10"/>
      <c r="AB69" s="10"/>
      <c r="AC69" s="93"/>
      <c r="AD69" s="10"/>
      <c r="AE69" s="2">
        <f>Z69-AA69</f>
        <v>0</v>
      </c>
      <c r="AF69" s="134" t="e">
        <f>AD69/AD70-1</f>
        <v>#DIV/0!</v>
      </c>
    </row>
    <row r="70" spans="1:32" x14ac:dyDescent="0.25">
      <c r="A70" s="380" t="s">
        <v>171</v>
      </c>
      <c r="B70" s="382">
        <v>42376</v>
      </c>
      <c r="C70" s="371">
        <v>50</v>
      </c>
      <c r="D70" s="372">
        <v>55.15</v>
      </c>
      <c r="E70" s="372">
        <v>0</v>
      </c>
      <c r="F70" s="372">
        <f>C70*D70+E70</f>
        <v>2757.5</v>
      </c>
      <c r="G70" s="370">
        <v>42409</v>
      </c>
      <c r="H70" s="375">
        <v>50</v>
      </c>
      <c r="I70" s="372">
        <v>56.15</v>
      </c>
      <c r="J70" s="372">
        <v>0.05</v>
      </c>
      <c r="K70" s="371">
        <f>H70*I70-J70</f>
        <v>2807.45</v>
      </c>
      <c r="L70" s="370"/>
      <c r="M70" s="372"/>
    </row>
    <row r="71" spans="1:32" x14ac:dyDescent="0.25">
      <c r="A71" s="381" t="s">
        <v>71</v>
      </c>
      <c r="B71" s="382"/>
      <c r="C71" s="371"/>
      <c r="D71" s="372"/>
      <c r="E71" s="372"/>
      <c r="F71" s="372"/>
      <c r="G71" s="370"/>
      <c r="H71" s="371"/>
      <c r="I71" s="371"/>
      <c r="J71" s="371"/>
      <c r="K71" s="371"/>
      <c r="L71" s="371"/>
      <c r="M71" s="371"/>
    </row>
    <row r="72" spans="1:32" x14ac:dyDescent="0.25">
      <c r="A72" s="371"/>
      <c r="B72" s="370"/>
      <c r="C72" s="371"/>
      <c r="D72" s="372"/>
      <c r="E72" s="372"/>
      <c r="F72" s="372"/>
      <c r="G72" s="371"/>
      <c r="H72" s="371"/>
      <c r="I72" s="371"/>
      <c r="J72" s="371"/>
      <c r="K72" s="371"/>
      <c r="L72" s="371"/>
      <c r="M72" s="371"/>
    </row>
    <row r="73" spans="1:32" x14ac:dyDescent="0.25">
      <c r="A73" s="371"/>
      <c r="B73" s="370"/>
      <c r="C73" s="371"/>
      <c r="D73" s="372"/>
      <c r="E73" s="372"/>
      <c r="F73" s="372"/>
      <c r="G73" s="371"/>
      <c r="H73" s="371"/>
      <c r="I73" s="371"/>
      <c r="J73" s="371"/>
      <c r="K73" s="371"/>
      <c r="L73" s="371"/>
      <c r="M73" s="371"/>
    </row>
    <row r="74" spans="1:32" x14ac:dyDescent="0.25">
      <c r="A74" s="371"/>
      <c r="B74" s="371"/>
      <c r="C74" s="371"/>
      <c r="D74" s="372"/>
      <c r="E74" s="372"/>
      <c r="F74" s="372"/>
      <c r="G74" s="371"/>
      <c r="H74" s="371"/>
      <c r="I74" s="371"/>
      <c r="J74" s="371"/>
      <c r="K74" s="371"/>
      <c r="L74" s="371"/>
      <c r="M74" s="371"/>
    </row>
    <row r="75" spans="1:32" x14ac:dyDescent="0.25">
      <c r="A75" s="371"/>
      <c r="B75" s="371"/>
      <c r="C75" s="371"/>
      <c r="D75" s="372"/>
      <c r="E75" s="372"/>
      <c r="F75" s="372"/>
      <c r="G75" s="371"/>
      <c r="H75" s="371"/>
      <c r="I75" s="371"/>
      <c r="J75" s="371"/>
      <c r="K75" s="371"/>
      <c r="L75" s="371"/>
      <c r="M75" s="371"/>
    </row>
    <row r="76" spans="1:32" x14ac:dyDescent="0.25">
      <c r="A76" s="371"/>
      <c r="B76" s="371"/>
      <c r="C76" s="371"/>
      <c r="D76" s="372"/>
      <c r="E76" s="372"/>
      <c r="F76" s="372"/>
      <c r="G76" s="371"/>
      <c r="H76" s="371"/>
      <c r="I76" s="371"/>
      <c r="J76" s="371"/>
      <c r="K76" s="371"/>
      <c r="L76" s="371"/>
      <c r="M76" s="371"/>
    </row>
    <row r="77" spans="1:32" x14ac:dyDescent="0.25">
      <c r="A77" s="21" t="s">
        <v>81</v>
      </c>
      <c r="B77" s="12"/>
      <c r="C77" s="12">
        <f>SUM(C70:C76)</f>
        <v>50</v>
      </c>
      <c r="D77" s="13"/>
      <c r="E77" s="13"/>
      <c r="F77" s="13">
        <f>SUM(F70:F76)</f>
        <v>2757.5</v>
      </c>
      <c r="G77" s="12"/>
      <c r="H77" s="12">
        <f>SUM(H70:H73)</f>
        <v>50</v>
      </c>
      <c r="I77" s="12"/>
      <c r="J77" s="12"/>
      <c r="K77" s="12">
        <f>SUM(K70:K73)</f>
        <v>2807.45</v>
      </c>
      <c r="L77" s="12"/>
      <c r="M77" s="13">
        <f>SUM(M70:M73)</f>
        <v>0</v>
      </c>
    </row>
    <row r="78" spans="1:32" x14ac:dyDescent="0.25">
      <c r="A78" s="371"/>
      <c r="B78" s="371"/>
      <c r="C78" s="371"/>
      <c r="D78" s="372"/>
      <c r="E78" s="372"/>
      <c r="F78" s="372"/>
      <c r="G78" s="371"/>
      <c r="H78" s="371"/>
      <c r="I78" s="371"/>
      <c r="J78" s="371"/>
      <c r="K78" s="371"/>
      <c r="L78" s="371"/>
      <c r="M78" s="371"/>
    </row>
  </sheetData>
  <mergeCells count="1">
    <mergeCell ref="O41:P41"/>
  </mergeCells>
  <conditionalFormatting sqref="O42:O6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2:F66 H22:H66">
    <cfRule type="expression" dxfId="91" priority="17">
      <formula>F22&gt;0</formula>
    </cfRule>
    <cfRule type="expression" dxfId="90" priority="18">
      <formula>F22&lt;0</formula>
    </cfRule>
  </conditionalFormatting>
  <conditionalFormatting sqref="Q8">
    <cfRule type="expression" dxfId="89" priority="11">
      <formula>Q8&gt;0</formula>
    </cfRule>
    <cfRule type="expression" dxfId="88" priority="12">
      <formula>Q8&lt;0</formula>
    </cfRule>
  </conditionalFormatting>
  <conditionalFormatting sqref="Q7">
    <cfRule type="expression" dxfId="87" priority="13">
      <formula>Q7&gt;0</formula>
    </cfRule>
    <cfRule type="expression" dxfId="86" priority="14">
      <formula>Q7&lt;0</formula>
    </cfRule>
  </conditionalFormatting>
  <conditionalFormatting sqref="M68">
    <cfRule type="expression" dxfId="85" priority="9">
      <formula>M68&gt;0</formula>
    </cfRule>
    <cfRule type="expression" dxfId="84" priority="10">
      <formula>M68&lt;0</formula>
    </cfRule>
  </conditionalFormatting>
  <conditionalFormatting sqref="J36">
    <cfRule type="expression" dxfId="83" priority="7">
      <formula>J36&gt;0</formula>
    </cfRule>
    <cfRule type="expression" dxfId="82" priority="8">
      <formula>J36&lt;0</formula>
    </cfRule>
  </conditionalFormatting>
  <conditionalFormatting sqref="J37:J49 J50:K64">
    <cfRule type="expression" dxfId="81" priority="5">
      <formula>J37&gt;0</formula>
    </cfRule>
    <cfRule type="expression" dxfId="80" priority="6">
      <formula>J37&lt;0</formula>
    </cfRule>
  </conditionalFormatting>
  <conditionalFormatting sqref="Q10">
    <cfRule type="expression" dxfId="79" priority="3">
      <formula>Q10&gt;0</formula>
    </cfRule>
    <cfRule type="expression" dxfId="78" priority="4">
      <formula>Q10&lt;0</formula>
    </cfRule>
  </conditionalFormatting>
  <conditionalFormatting sqref="Q9">
    <cfRule type="expression" dxfId="77" priority="1">
      <formula>Q9&gt;0</formula>
    </cfRule>
    <cfRule type="expression" dxfId="76" priority="2">
      <formula>Q9&lt;0</formula>
    </cfRule>
  </conditionalFormatting>
  <hyperlinks>
    <hyperlink ref="A3" location="ACTIVE!A1" display="Back"/>
    <hyperlink ref="A71" location="ACTIVE!A1" display="Back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60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9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60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41.46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41.46</v>
      </c>
      <c r="R4" s="487">
        <v>1.7399999999999999E-2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6" t="s">
        <v>113</v>
      </c>
      <c r="C21" s="186" t="s">
        <v>146</v>
      </c>
      <c r="D21" s="187" t="s">
        <v>145</v>
      </c>
      <c r="E21" s="189" t="s">
        <v>147</v>
      </c>
      <c r="F21" s="189" t="s">
        <v>65</v>
      </c>
      <c r="G21" s="224" t="s">
        <v>151</v>
      </c>
      <c r="H21" s="224" t="s">
        <v>88</v>
      </c>
      <c r="I21" s="224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8"/>
      <c r="C25" s="10"/>
      <c r="D25" s="39"/>
      <c r="E25" s="39"/>
      <c r="F25" s="39"/>
      <c r="G25" s="39"/>
      <c r="H25" s="226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8"/>
      <c r="C26" s="10"/>
      <c r="D26" s="39"/>
      <c r="E26" s="39"/>
      <c r="F26" s="39"/>
      <c r="G26" s="39"/>
      <c r="H26" s="226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209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77" t="s">
        <v>1</v>
      </c>
      <c r="B30" s="377" t="s">
        <v>2</v>
      </c>
      <c r="C30" s="377" t="s">
        <v>4</v>
      </c>
      <c r="D30" s="379" t="s">
        <v>5</v>
      </c>
      <c r="E30" s="379"/>
      <c r="F30" s="379" t="s">
        <v>60</v>
      </c>
      <c r="G30" s="377" t="s">
        <v>3</v>
      </c>
      <c r="H30" s="377" t="s">
        <v>6</v>
      </c>
      <c r="I30" s="377" t="s">
        <v>7</v>
      </c>
      <c r="J30" s="377"/>
      <c r="K30" s="377" t="s">
        <v>61</v>
      </c>
      <c r="L30" s="377" t="s">
        <v>77</v>
      </c>
      <c r="M30" s="377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80" t="s">
        <v>56</v>
      </c>
      <c r="B31" s="811">
        <v>42220</v>
      </c>
      <c r="C31" s="371">
        <v>40</v>
      </c>
      <c r="D31" s="372">
        <v>31.78</v>
      </c>
      <c r="E31" s="372"/>
      <c r="F31" s="372">
        <f>C31*D31</f>
        <v>1271.2</v>
      </c>
      <c r="G31" s="370">
        <v>42235</v>
      </c>
      <c r="H31" s="371">
        <v>100</v>
      </c>
      <c r="I31" s="372">
        <v>31.5</v>
      </c>
      <c r="J31" s="371">
        <v>0.06</v>
      </c>
      <c r="K31" s="371">
        <f>H31*I31-J31</f>
        <v>3149.94</v>
      </c>
      <c r="L31" s="370">
        <v>42276</v>
      </c>
      <c r="M31" s="372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81" t="s">
        <v>71</v>
      </c>
      <c r="B32" s="811"/>
      <c r="C32" s="371">
        <v>60</v>
      </c>
      <c r="D32" s="372">
        <v>31.78</v>
      </c>
      <c r="E32" s="372"/>
      <c r="F32" s="372">
        <f>C32*D32</f>
        <v>1906.8000000000002</v>
      </c>
      <c r="G32" s="370">
        <v>42284</v>
      </c>
      <c r="H32" s="371">
        <v>40</v>
      </c>
      <c r="I32" s="371">
        <v>31.55</v>
      </c>
      <c r="J32" s="371">
        <v>0.02</v>
      </c>
      <c r="K32" s="371">
        <f>H32*I32-J32</f>
        <v>1261.98</v>
      </c>
      <c r="L32" s="371"/>
      <c r="M32" s="371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71"/>
      <c r="B33" s="370">
        <v>42221</v>
      </c>
      <c r="C33" s="371">
        <v>10</v>
      </c>
      <c r="D33" s="372">
        <v>31.45</v>
      </c>
      <c r="E33" s="372"/>
      <c r="F33" s="372">
        <f>C33*D33</f>
        <v>314.5</v>
      </c>
      <c r="G33" s="371"/>
      <c r="H33" s="371"/>
      <c r="I33" s="371"/>
      <c r="J33" s="371"/>
      <c r="K33" s="371"/>
      <c r="L33" s="371"/>
      <c r="M33" s="371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71"/>
      <c r="B34" s="370">
        <v>42233</v>
      </c>
      <c r="C34" s="371">
        <v>30</v>
      </c>
      <c r="D34" s="372">
        <v>29.9</v>
      </c>
      <c r="E34" s="372"/>
      <c r="F34" s="372">
        <f>C34*D34</f>
        <v>897</v>
      </c>
      <c r="G34" s="371"/>
      <c r="H34" s="371"/>
      <c r="I34" s="371"/>
      <c r="J34" s="371"/>
      <c r="K34" s="371"/>
      <c r="L34" s="371"/>
      <c r="M34" s="371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71"/>
      <c r="B35" s="371"/>
      <c r="C35" s="371"/>
      <c r="D35" s="372"/>
      <c r="E35" s="372"/>
      <c r="F35" s="372"/>
      <c r="G35" s="371"/>
      <c r="H35" s="371"/>
      <c r="I35" s="371"/>
      <c r="J35" s="371"/>
      <c r="K35" s="371"/>
      <c r="L35" s="371"/>
      <c r="M35" s="371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71"/>
      <c r="B36" s="371"/>
      <c r="C36" s="371"/>
      <c r="D36" s="372"/>
      <c r="E36" s="372"/>
      <c r="F36" s="372"/>
      <c r="G36" s="371"/>
      <c r="H36" s="371"/>
      <c r="I36" s="371"/>
      <c r="J36" s="371"/>
      <c r="K36" s="371"/>
      <c r="L36" s="371"/>
      <c r="M36" s="371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71"/>
      <c r="B37" s="371"/>
      <c r="C37" s="371"/>
      <c r="D37" s="372"/>
      <c r="E37" s="372"/>
      <c r="F37" s="372"/>
      <c r="G37" s="371"/>
      <c r="H37" s="371"/>
      <c r="I37" s="371"/>
      <c r="J37" s="371"/>
      <c r="K37" s="371"/>
      <c r="L37" s="371"/>
      <c r="M37" s="371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71"/>
      <c r="B38" s="371"/>
      <c r="C38" s="371"/>
      <c r="D38" s="372"/>
      <c r="E38" s="372"/>
      <c r="F38" s="372"/>
      <c r="G38" s="371"/>
      <c r="H38" s="371"/>
      <c r="I38" s="371"/>
      <c r="J38" s="371"/>
      <c r="K38" s="371"/>
      <c r="L38" s="371"/>
      <c r="M38" s="371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71"/>
      <c r="B39" s="371"/>
      <c r="C39" s="371"/>
      <c r="D39" s="372"/>
      <c r="E39" s="372"/>
      <c r="F39" s="372"/>
      <c r="G39" s="371"/>
      <c r="H39" s="371"/>
      <c r="I39" s="371"/>
      <c r="J39" s="371"/>
      <c r="K39" s="371"/>
      <c r="L39" s="371"/>
      <c r="M39" s="371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71"/>
      <c r="B40" s="371"/>
      <c r="C40" s="371"/>
      <c r="D40" s="372"/>
      <c r="E40" s="372"/>
      <c r="F40" s="372"/>
      <c r="G40" s="371"/>
      <c r="H40" s="371"/>
      <c r="I40" s="371"/>
      <c r="J40" s="371"/>
      <c r="K40" s="371"/>
      <c r="L40" s="371"/>
      <c r="M40" s="371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71"/>
      <c r="B41" s="371"/>
      <c r="C41" s="371"/>
      <c r="D41" s="372"/>
      <c r="E41" s="372"/>
      <c r="F41" s="372"/>
      <c r="G41" s="371"/>
      <c r="H41" s="371"/>
      <c r="I41" s="371"/>
      <c r="J41" s="371"/>
      <c r="K41" s="371"/>
      <c r="L41" s="371"/>
      <c r="M41" s="371"/>
      <c r="O41" s="804" t="s">
        <v>78</v>
      </c>
      <c r="P41" s="80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71"/>
      <c r="B42" s="371"/>
      <c r="C42" s="371"/>
      <c r="D42" s="372"/>
      <c r="E42" s="372"/>
      <c r="F42" s="372"/>
      <c r="G42" s="371"/>
      <c r="H42" s="371"/>
      <c r="I42" s="371"/>
      <c r="J42" s="371"/>
      <c r="K42" s="371"/>
      <c r="L42" s="371"/>
      <c r="M42" s="371"/>
      <c r="O42" s="81">
        <v>1.1000000000000001</v>
      </c>
      <c r="P42" s="81">
        <f>O42*$Q$4</f>
        <v>45.606000000000002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71"/>
      <c r="B43" s="371"/>
      <c r="C43" s="371"/>
      <c r="D43" s="372"/>
      <c r="E43" s="372"/>
      <c r="F43" s="372"/>
      <c r="G43" s="371"/>
      <c r="H43" s="371"/>
      <c r="I43" s="371"/>
      <c r="J43" s="371"/>
      <c r="K43" s="371"/>
      <c r="L43" s="371"/>
      <c r="M43" s="371"/>
      <c r="O43" s="81">
        <v>1.0900000000000001</v>
      </c>
      <c r="P43" s="81">
        <f t="shared" ref="P43:P62" si="2">O43*$Q$4</f>
        <v>45.191400000000002</v>
      </c>
      <c r="Q43" s="2"/>
      <c r="T43" s="157" t="s">
        <v>97</v>
      </c>
      <c r="U43" s="157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71"/>
      <c r="B44" s="371"/>
      <c r="C44" s="371"/>
      <c r="D44" s="372"/>
      <c r="E44" s="372"/>
      <c r="F44" s="372"/>
      <c r="G44" s="371"/>
      <c r="H44" s="371"/>
      <c r="I44" s="371"/>
      <c r="J44" s="371"/>
      <c r="K44" s="371"/>
      <c r="L44" s="371"/>
      <c r="M44" s="371"/>
      <c r="O44" s="81">
        <v>1.08</v>
      </c>
      <c r="P44" s="81">
        <f t="shared" si="2"/>
        <v>44.776800000000001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71"/>
      <c r="B45" s="371"/>
      <c r="C45" s="371"/>
      <c r="D45" s="372"/>
      <c r="E45" s="372"/>
      <c r="F45" s="372"/>
      <c r="G45" s="371"/>
      <c r="H45" s="371"/>
      <c r="I45" s="371"/>
      <c r="J45" s="371"/>
      <c r="K45" s="371"/>
      <c r="L45" s="371"/>
      <c r="M45" s="371"/>
      <c r="O45" s="81">
        <v>1.07</v>
      </c>
      <c r="P45" s="81">
        <f t="shared" si="2"/>
        <v>44.362200000000001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71"/>
      <c r="B46" s="371"/>
      <c r="C46" s="371"/>
      <c r="D46" s="372"/>
      <c r="E46" s="372"/>
      <c r="F46" s="372"/>
      <c r="G46" s="371"/>
      <c r="H46" s="371"/>
      <c r="I46" s="371"/>
      <c r="J46" s="371"/>
      <c r="K46" s="371"/>
      <c r="L46" s="371"/>
      <c r="M46" s="371"/>
      <c r="O46" s="81">
        <v>1.06</v>
      </c>
      <c r="P46" s="81">
        <f t="shared" si="2"/>
        <v>43.947600000000001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43.533000000000001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43.118400000000001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42.703800000000001</v>
      </c>
      <c r="Q49" s="2"/>
      <c r="T49" s="10" t="s">
        <v>103</v>
      </c>
      <c r="U49" s="10" t="s">
        <v>547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42.289200000000001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41.874600000000001</v>
      </c>
      <c r="Q51" s="2"/>
      <c r="T51" s="10" t="s">
        <v>104</v>
      </c>
      <c r="U51" s="10" t="s">
        <v>702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41.46</v>
      </c>
      <c r="Q52" s="2"/>
      <c r="T52" s="10" t="s">
        <v>105</v>
      </c>
      <c r="U52" s="10" t="s">
        <v>497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41.045400000000001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40.630800000000001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40.216200000000001</v>
      </c>
      <c r="T55" s="10" t="s">
        <v>107</v>
      </c>
      <c r="U55" s="10" t="s">
        <v>703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39.801600000000001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39.387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38.9724</v>
      </c>
      <c r="T58" s="10" t="s">
        <v>108</v>
      </c>
      <c r="U58" s="10" t="s">
        <v>581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38.5578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38.1432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37.7286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37.314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75" priority="7">
      <formula>F22&gt;0</formula>
    </cfRule>
    <cfRule type="expression" dxfId="74" priority="8">
      <formula>F22&lt;0</formula>
    </cfRule>
  </conditionalFormatting>
  <conditionalFormatting sqref="H22:H26">
    <cfRule type="expression" dxfId="73" priority="5">
      <formula>H22&gt;0</formula>
    </cfRule>
    <cfRule type="expression" dxfId="72" priority="6">
      <formula>H22&lt;0</formula>
    </cfRule>
  </conditionalFormatting>
  <conditionalFormatting sqref="Q8">
    <cfRule type="expression" dxfId="71" priority="1">
      <formula>Q8&gt;0</formula>
    </cfRule>
    <cfRule type="expression" dxfId="70" priority="2">
      <formula>Q8&lt;0</formula>
    </cfRule>
  </conditionalFormatting>
  <conditionalFormatting sqref="Q7">
    <cfRule type="expression" dxfId="69" priority="3">
      <formula>Q7&gt;0</formula>
    </cfRule>
    <cfRule type="expression" dxfId="6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3"/>
      <c r="L3" s="72"/>
      <c r="M3" s="3"/>
      <c r="O3" s="11" t="s">
        <v>58</v>
      </c>
      <c r="Q3" s="225">
        <f>IF(Q2=0, Q4, (F18-K18-M18)/Q2)</f>
        <v>200.18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3"/>
      <c r="L4" s="4"/>
      <c r="M4" s="4"/>
      <c r="O4" s="11" t="s">
        <v>66</v>
      </c>
      <c r="Q4" s="54">
        <v>200.18</v>
      </c>
      <c r="R4" s="487">
        <v>6.4000000000000003E-3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210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209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8"/>
      <c r="C21" s="10"/>
      <c r="D21" s="39"/>
      <c r="E21" s="39"/>
      <c r="F21" s="39"/>
      <c r="G21" s="39"/>
      <c r="H21" s="226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8"/>
      <c r="C22" s="10"/>
      <c r="D22" s="39"/>
      <c r="E22" s="39"/>
      <c r="F22" s="39"/>
      <c r="G22" s="39"/>
      <c r="H22" s="226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8"/>
      <c r="C23" s="10"/>
      <c r="D23" s="39"/>
      <c r="E23" s="39"/>
      <c r="F23" s="39"/>
      <c r="G23" s="39"/>
      <c r="H23" s="226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8"/>
      <c r="C24" s="10"/>
      <c r="D24" s="39"/>
      <c r="E24" s="39"/>
      <c r="F24" s="39"/>
      <c r="G24" s="39"/>
      <c r="H24" s="226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85"/>
      <c r="C25" s="10"/>
      <c r="D25" s="39"/>
      <c r="E25" s="39"/>
      <c r="F25" s="39"/>
      <c r="G25" s="39"/>
      <c r="H25" s="227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8"/>
      <c r="C26" s="10"/>
      <c r="D26" s="39"/>
      <c r="E26" s="39"/>
      <c r="F26" s="39"/>
      <c r="G26" s="39"/>
      <c r="H26" s="227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8"/>
      <c r="C27" s="10"/>
      <c r="D27" s="39"/>
      <c r="E27" s="39"/>
      <c r="F27" s="39"/>
      <c r="G27" s="39"/>
      <c r="H27" s="226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8"/>
      <c r="C28" s="10"/>
      <c r="D28" s="39"/>
      <c r="E28" s="39"/>
      <c r="F28" s="39"/>
      <c r="G28" s="39"/>
      <c r="H28" s="226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8"/>
      <c r="C29" s="10"/>
      <c r="D29" s="39"/>
      <c r="E29" s="39"/>
      <c r="F29" s="39"/>
      <c r="G29" s="39"/>
      <c r="H29" s="226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8"/>
      <c r="C30" s="10"/>
      <c r="D30" s="39"/>
      <c r="E30" s="39"/>
      <c r="F30" s="39"/>
      <c r="G30" s="39"/>
      <c r="H30" s="226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85"/>
      <c r="C31" s="10"/>
      <c r="D31" s="39"/>
      <c r="E31" s="39"/>
      <c r="F31" s="39"/>
      <c r="G31" s="39"/>
      <c r="H31" s="227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8"/>
      <c r="C32" s="10"/>
      <c r="D32" s="39"/>
      <c r="E32" s="39"/>
      <c r="F32" s="39"/>
      <c r="G32" s="39"/>
      <c r="H32" s="227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8"/>
      <c r="C33" s="10"/>
      <c r="D33" s="39"/>
      <c r="E33" s="39"/>
      <c r="F33" s="39"/>
      <c r="G33" s="39"/>
      <c r="H33" s="227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7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7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7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7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7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7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7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7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209</v>
      </c>
      <c r="M43" s="2">
        <f>M54+K54-F54</f>
        <v>465.57999999999993</v>
      </c>
      <c r="T43" s="125" t="s">
        <v>97</v>
      </c>
      <c r="U43" s="557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77" t="s">
        <v>1</v>
      </c>
      <c r="B44" s="377" t="s">
        <v>2</v>
      </c>
      <c r="C44" s="377" t="s">
        <v>4</v>
      </c>
      <c r="D44" s="377" t="s">
        <v>5</v>
      </c>
      <c r="E44" s="379" t="s">
        <v>94</v>
      </c>
      <c r="F44" s="377" t="s">
        <v>60</v>
      </c>
      <c r="G44" s="377" t="s">
        <v>3</v>
      </c>
      <c r="H44" s="377" t="s">
        <v>6</v>
      </c>
      <c r="I44" s="377" t="s">
        <v>7</v>
      </c>
      <c r="J44" s="377" t="s">
        <v>95</v>
      </c>
      <c r="K44" s="377" t="s">
        <v>61</v>
      </c>
      <c r="L44" s="377" t="s">
        <v>77</v>
      </c>
      <c r="M44" s="377" t="s">
        <v>38</v>
      </c>
      <c r="T44" s="91" t="s">
        <v>98</v>
      </c>
      <c r="U44" s="425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80" t="s">
        <v>0</v>
      </c>
      <c r="B45" s="635">
        <v>42403</v>
      </c>
      <c r="C45" s="371">
        <v>10</v>
      </c>
      <c r="D45" s="372">
        <v>123.5</v>
      </c>
      <c r="E45" s="372">
        <v>0</v>
      </c>
      <c r="F45" s="372">
        <f>D45*C45+E45</f>
        <v>1235</v>
      </c>
      <c r="G45" s="635">
        <v>42436</v>
      </c>
      <c r="H45" s="375">
        <v>10</v>
      </c>
      <c r="I45" s="372">
        <v>140.65</v>
      </c>
      <c r="J45" s="372">
        <v>0.03</v>
      </c>
      <c r="K45" s="371">
        <f>I45*H45-J45</f>
        <v>1406.47</v>
      </c>
      <c r="L45" s="370"/>
      <c r="M45" s="372"/>
      <c r="O45" s="804" t="s">
        <v>78</v>
      </c>
      <c r="P45" s="804"/>
      <c r="T45" s="91" t="s">
        <v>99</v>
      </c>
      <c r="U45" s="425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81" t="s">
        <v>71</v>
      </c>
      <c r="B46" s="560">
        <v>42702</v>
      </c>
      <c r="C46" s="511">
        <v>20</v>
      </c>
      <c r="D46" s="513">
        <v>139.88</v>
      </c>
      <c r="E46" s="513">
        <v>0</v>
      </c>
      <c r="F46" s="513">
        <f>C46*D46 + E46</f>
        <v>2797.6</v>
      </c>
      <c r="G46" s="560">
        <v>42766</v>
      </c>
      <c r="H46" s="511">
        <v>10</v>
      </c>
      <c r="I46" s="513">
        <v>149.08000000000001</v>
      </c>
      <c r="J46" s="513">
        <v>0.03</v>
      </c>
      <c r="K46" s="513">
        <f>H46*I46 - J46</f>
        <v>1490.7700000000002</v>
      </c>
      <c r="L46" s="510">
        <v>42753</v>
      </c>
      <c r="M46" s="513">
        <v>3</v>
      </c>
      <c r="O46" s="81">
        <v>1.1000000000000001</v>
      </c>
      <c r="P46" s="81">
        <f>O46*$Q$4</f>
        <v>220.19800000000004</v>
      </c>
      <c r="Q46" s="2"/>
      <c r="T46" s="91" t="s">
        <v>100</v>
      </c>
      <c r="U46" s="425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71"/>
      <c r="B47" s="560">
        <v>42767</v>
      </c>
      <c r="C47" s="511">
        <v>10</v>
      </c>
      <c r="D47" s="513">
        <v>152.69999999999999</v>
      </c>
      <c r="E47" s="513">
        <v>0</v>
      </c>
      <c r="F47" s="513">
        <f>C47*D47 + E47</f>
        <v>1527</v>
      </c>
      <c r="G47" s="560">
        <v>42767</v>
      </c>
      <c r="H47" s="528">
        <v>10</v>
      </c>
      <c r="I47" s="513">
        <v>154.6</v>
      </c>
      <c r="J47" s="513">
        <v>0.03</v>
      </c>
      <c r="K47" s="513">
        <f>H47*I47 - J47</f>
        <v>1545.97</v>
      </c>
      <c r="L47" s="510"/>
      <c r="M47" s="513"/>
      <c r="O47" s="81">
        <v>1.0900000000000001</v>
      </c>
      <c r="P47" s="81">
        <f t="shared" ref="P47:P66" si="0">O47*$Q$4</f>
        <v>218.19620000000003</v>
      </c>
      <c r="Q47" s="2"/>
      <c r="T47" s="91" t="s">
        <v>101</v>
      </c>
      <c r="U47" s="425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71"/>
      <c r="B48" s="560"/>
      <c r="C48" s="511"/>
      <c r="D48" s="513"/>
      <c r="E48" s="513"/>
      <c r="F48" s="513"/>
      <c r="G48" s="560">
        <v>42803</v>
      </c>
      <c r="H48" s="528">
        <v>10</v>
      </c>
      <c r="I48" s="511">
        <v>157.9</v>
      </c>
      <c r="J48" s="513">
        <v>0.03</v>
      </c>
      <c r="K48" s="513">
        <f>H48*I48 - J48</f>
        <v>1578.97</v>
      </c>
      <c r="L48" s="511"/>
      <c r="M48" s="511"/>
      <c r="O48" s="81">
        <v>1.08</v>
      </c>
      <c r="P48" s="81">
        <f t="shared" si="0"/>
        <v>216.19440000000003</v>
      </c>
      <c r="Q48" s="2"/>
      <c r="T48" s="91" t="s">
        <v>102</v>
      </c>
      <c r="U48" s="425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71"/>
      <c r="B49" s="560"/>
      <c r="C49" s="511"/>
      <c r="D49" s="513"/>
      <c r="E49" s="513"/>
      <c r="F49" s="513"/>
      <c r="G49" s="560"/>
      <c r="H49" s="528"/>
      <c r="I49" s="513"/>
      <c r="J49" s="513"/>
      <c r="K49" s="511"/>
      <c r="L49" s="511"/>
      <c r="M49" s="511"/>
      <c r="O49" s="81">
        <v>1.07</v>
      </c>
      <c r="P49" s="81">
        <f t="shared" si="0"/>
        <v>214.19260000000003</v>
      </c>
      <c r="Q49" s="2"/>
      <c r="T49" s="91" t="s">
        <v>103</v>
      </c>
      <c r="U49" s="425" t="s">
        <v>582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71"/>
      <c r="B50" s="635"/>
      <c r="C50" s="371"/>
      <c r="D50" s="372"/>
      <c r="E50" s="372"/>
      <c r="F50" s="372"/>
      <c r="G50" s="635"/>
      <c r="H50" s="371"/>
      <c r="I50" s="371"/>
      <c r="J50" s="371"/>
      <c r="K50" s="371"/>
      <c r="L50" s="371"/>
      <c r="M50" s="371"/>
      <c r="O50" s="81">
        <v>1.06</v>
      </c>
      <c r="P50" s="81">
        <f t="shared" si="0"/>
        <v>212.19080000000002</v>
      </c>
      <c r="Q50" s="2"/>
      <c r="T50" s="91"/>
      <c r="U50" s="425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71"/>
      <c r="B51" s="635"/>
      <c r="C51" s="371"/>
      <c r="D51" s="372"/>
      <c r="E51" s="372"/>
      <c r="F51" s="372"/>
      <c r="G51" s="635"/>
      <c r="H51" s="371"/>
      <c r="I51" s="371"/>
      <c r="J51" s="371"/>
      <c r="K51" s="371"/>
      <c r="L51" s="371"/>
      <c r="M51" s="371"/>
      <c r="O51" s="81">
        <v>1.05</v>
      </c>
      <c r="P51" s="81">
        <f t="shared" si="0"/>
        <v>210.18900000000002</v>
      </c>
      <c r="Q51" s="2"/>
      <c r="T51" s="91" t="s">
        <v>104</v>
      </c>
      <c r="U51" s="425" t="s">
        <v>704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71"/>
      <c r="B52" s="635"/>
      <c r="C52" s="371"/>
      <c r="D52" s="372"/>
      <c r="E52" s="372"/>
      <c r="F52" s="372"/>
      <c r="G52" s="635"/>
      <c r="H52" s="371"/>
      <c r="I52" s="371"/>
      <c r="J52" s="371"/>
      <c r="K52" s="371"/>
      <c r="L52" s="371"/>
      <c r="M52" s="371"/>
      <c r="O52" s="81">
        <v>1.04</v>
      </c>
      <c r="P52" s="81">
        <f t="shared" si="0"/>
        <v>208.18720000000002</v>
      </c>
      <c r="Q52" s="2"/>
      <c r="T52" s="91" t="s">
        <v>105</v>
      </c>
      <c r="U52" s="425" t="s">
        <v>548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71"/>
      <c r="B53" s="635"/>
      <c r="C53" s="371"/>
      <c r="D53" s="371"/>
      <c r="E53" s="372"/>
      <c r="F53" s="371"/>
      <c r="G53" s="635"/>
      <c r="H53" s="371"/>
      <c r="I53" s="371"/>
      <c r="J53" s="371"/>
      <c r="K53" s="371"/>
      <c r="L53" s="371"/>
      <c r="M53" s="371"/>
      <c r="O53" s="81">
        <v>1.03</v>
      </c>
      <c r="P53" s="81">
        <f t="shared" si="0"/>
        <v>206.18540000000002</v>
      </c>
      <c r="Q53" s="2"/>
      <c r="T53" s="91" t="s">
        <v>106</v>
      </c>
      <c r="U53" s="426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204.18360000000001</v>
      </c>
      <c r="Q54" s="2"/>
      <c r="T54" s="91" t="s">
        <v>109</v>
      </c>
      <c r="U54" s="426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71"/>
      <c r="B55" s="371"/>
      <c r="C55" s="371"/>
      <c r="D55" s="371"/>
      <c r="E55" s="372"/>
      <c r="F55" s="371"/>
      <c r="G55" s="371"/>
      <c r="H55" s="371"/>
      <c r="I55" s="371"/>
      <c r="J55" s="371"/>
      <c r="K55" s="371"/>
      <c r="L55" s="371"/>
      <c r="M55" s="371"/>
      <c r="O55" s="81">
        <v>1.01</v>
      </c>
      <c r="P55" s="81">
        <f t="shared" si="0"/>
        <v>202.18180000000001</v>
      </c>
      <c r="Q55" s="2"/>
      <c r="T55" s="91" t="s">
        <v>107</v>
      </c>
      <c r="U55" s="425" t="s">
        <v>705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200.18</v>
      </c>
      <c r="Q56" s="2"/>
      <c r="T56" s="91" t="s">
        <v>110</v>
      </c>
      <c r="U56" s="425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198.1782</v>
      </c>
      <c r="Q57" s="2"/>
      <c r="T57" s="91" t="s">
        <v>111</v>
      </c>
      <c r="U57" s="425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196.1764</v>
      </c>
      <c r="Q58" s="2"/>
      <c r="T58" s="91" t="s">
        <v>108</v>
      </c>
      <c r="U58" s="425" t="s">
        <v>538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194.1746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192.1728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190.17099999999999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188.16919999999999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186.16740000000001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184.16560000000001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182.16380000000001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180.16200000000001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67" priority="17">
      <formula>F21&gt;0</formula>
    </cfRule>
    <cfRule type="expression" dxfId="66" priority="18">
      <formula>F21&lt;0</formula>
    </cfRule>
  </conditionalFormatting>
  <conditionalFormatting sqref="H26 H31:H41 H21">
    <cfRule type="expression" dxfId="65" priority="15">
      <formula>H21&gt;0</formula>
    </cfRule>
    <cfRule type="expression" dxfId="64" priority="16">
      <formula>H21&lt;0</formula>
    </cfRule>
  </conditionalFormatting>
  <conditionalFormatting sqref="Q7">
    <cfRule type="expression" dxfId="63" priority="9">
      <formula>Q7&gt;0</formula>
    </cfRule>
    <cfRule type="expression" dxfId="62" priority="10">
      <formula>Q7&lt;0</formula>
    </cfRule>
  </conditionalFormatting>
  <conditionalFormatting sqref="Q8">
    <cfRule type="expression" dxfId="61" priority="7">
      <formula>Q8&gt;0</formula>
    </cfRule>
    <cfRule type="expression" dxfId="60" priority="8">
      <formula>Q8&lt;0</formula>
    </cfRule>
  </conditionalFormatting>
  <conditionalFormatting sqref="F27:F30 F22:F25">
    <cfRule type="expression" dxfId="59" priority="5">
      <formula>F22&gt;0</formula>
    </cfRule>
    <cfRule type="expression" dxfId="58" priority="6">
      <formula>F22&lt;0</formula>
    </cfRule>
  </conditionalFormatting>
  <conditionalFormatting sqref="H27:H30 H22:H25">
    <cfRule type="expression" dxfId="57" priority="3">
      <formula>H22&gt;0</formula>
    </cfRule>
    <cfRule type="expression" dxfId="56" priority="4">
      <formula>H22&lt;0</formula>
    </cfRule>
  </conditionalFormatting>
  <conditionalFormatting sqref="M43">
    <cfRule type="expression" dxfId="55" priority="1">
      <formula>M43&gt;0</formula>
    </cfRule>
    <cfRule type="expression" dxfId="54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44.45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9">
        <v>2556</v>
      </c>
      <c r="AO3" s="229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80"/>
      <c r="I4" s="4"/>
      <c r="J4" s="3"/>
      <c r="K4" s="4"/>
      <c r="L4" s="4"/>
      <c r="M4" s="4"/>
      <c r="O4" s="11" t="s">
        <v>66</v>
      </c>
      <c r="Q4" s="54">
        <v>44.45</v>
      </c>
      <c r="R4" s="487">
        <v>1.14E-2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210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209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I20" s="189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8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7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8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7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8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7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8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7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8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7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8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7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8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7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8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7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8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7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8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7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8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7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7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209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77" t="s">
        <v>1</v>
      </c>
      <c r="B37" s="377" t="s">
        <v>2</v>
      </c>
      <c r="C37" s="377" t="s">
        <v>4</v>
      </c>
      <c r="D37" s="377" t="s">
        <v>5</v>
      </c>
      <c r="E37" s="379" t="s">
        <v>94</v>
      </c>
      <c r="F37" s="377" t="s">
        <v>60</v>
      </c>
      <c r="G37" s="377" t="s">
        <v>3</v>
      </c>
      <c r="H37" s="377" t="s">
        <v>6</v>
      </c>
      <c r="I37" s="377" t="s">
        <v>7</v>
      </c>
      <c r="J37" s="377" t="s">
        <v>95</v>
      </c>
      <c r="K37" s="377" t="s">
        <v>61</v>
      </c>
      <c r="L37" s="377" t="s">
        <v>77</v>
      </c>
      <c r="M37" s="377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80" t="s">
        <v>39</v>
      </c>
      <c r="B38" s="370">
        <v>42179</v>
      </c>
      <c r="C38" s="371">
        <v>10</v>
      </c>
      <c r="D38" s="372">
        <v>37.799999999999997</v>
      </c>
      <c r="E38" s="372">
        <v>0</v>
      </c>
      <c r="F38" s="372">
        <f t="shared" ref="F38:F45" si="4">C38*D38</f>
        <v>378</v>
      </c>
      <c r="G38" s="370">
        <v>42310</v>
      </c>
      <c r="H38" s="375">
        <v>170</v>
      </c>
      <c r="I38" s="372">
        <v>30.28</v>
      </c>
      <c r="J38" s="372">
        <v>7.04</v>
      </c>
      <c r="K38" s="371">
        <f>H38*I38-J38</f>
        <v>5140.5600000000004</v>
      </c>
      <c r="L38" s="370">
        <v>42250</v>
      </c>
      <c r="M38" s="372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81" t="s">
        <v>71</v>
      </c>
      <c r="B39" s="370">
        <v>42194</v>
      </c>
      <c r="C39" s="371">
        <v>10</v>
      </c>
      <c r="D39" s="372">
        <v>35.5</v>
      </c>
      <c r="E39" s="372">
        <v>0</v>
      </c>
      <c r="F39" s="372">
        <f t="shared" si="4"/>
        <v>355</v>
      </c>
      <c r="G39" s="370">
        <v>42314</v>
      </c>
      <c r="H39" s="375">
        <v>80</v>
      </c>
      <c r="I39" s="372">
        <v>32.5</v>
      </c>
      <c r="J39" s="372">
        <v>0.05</v>
      </c>
      <c r="K39" s="371">
        <f>H39*I39-J39</f>
        <v>2599.9499999999998</v>
      </c>
      <c r="L39" s="370">
        <v>42345</v>
      </c>
      <c r="M39" s="372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71"/>
      <c r="B40" s="370">
        <v>42230</v>
      </c>
      <c r="C40" s="371">
        <v>20</v>
      </c>
      <c r="D40" s="372">
        <v>32.9</v>
      </c>
      <c r="E40" s="372">
        <v>0</v>
      </c>
      <c r="F40" s="372">
        <f t="shared" si="4"/>
        <v>658</v>
      </c>
      <c r="G40" s="370">
        <v>42010</v>
      </c>
      <c r="H40" s="375">
        <v>40</v>
      </c>
      <c r="I40" s="371">
        <v>28.92</v>
      </c>
      <c r="J40" s="372">
        <v>0.02</v>
      </c>
      <c r="K40" s="371">
        <f>H40*I40-J40</f>
        <v>1156.7800000000002</v>
      </c>
      <c r="L40" s="371"/>
      <c r="M40" s="371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71"/>
      <c r="B41" s="370">
        <v>42240</v>
      </c>
      <c r="C41" s="371">
        <v>40</v>
      </c>
      <c r="D41" s="372">
        <v>32.4</v>
      </c>
      <c r="E41" s="372">
        <v>0</v>
      </c>
      <c r="F41" s="372">
        <f t="shared" si="4"/>
        <v>1296</v>
      </c>
      <c r="G41" s="370">
        <v>42404</v>
      </c>
      <c r="H41" s="375">
        <v>90</v>
      </c>
      <c r="I41" s="372">
        <v>28.55</v>
      </c>
      <c r="J41" s="372">
        <v>0.05</v>
      </c>
      <c r="K41" s="371">
        <f>H41*I41-J41</f>
        <v>2569.4499999999998</v>
      </c>
      <c r="L41" s="371"/>
      <c r="M41" s="371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71"/>
      <c r="B42" s="370">
        <v>42275</v>
      </c>
      <c r="C42" s="371">
        <v>90</v>
      </c>
      <c r="D42" s="372">
        <v>29.2</v>
      </c>
      <c r="E42" s="372">
        <v>0</v>
      </c>
      <c r="F42" s="372">
        <f t="shared" si="4"/>
        <v>2628</v>
      </c>
      <c r="G42" s="370">
        <v>42412</v>
      </c>
      <c r="H42" s="375">
        <v>90</v>
      </c>
      <c r="I42" s="372">
        <v>29.55</v>
      </c>
      <c r="J42" s="372">
        <v>0.06</v>
      </c>
      <c r="K42" s="371">
        <f>H42*I42-J42</f>
        <v>2659.44</v>
      </c>
      <c r="L42" s="371"/>
      <c r="M42" s="371"/>
      <c r="O42" s="408" t="s">
        <v>78</v>
      </c>
      <c r="P42" s="408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71"/>
      <c r="B43" s="370">
        <v>42298</v>
      </c>
      <c r="C43" s="371">
        <v>170</v>
      </c>
      <c r="D43" s="372">
        <v>28.4</v>
      </c>
      <c r="E43" s="372">
        <v>0</v>
      </c>
      <c r="F43" s="372">
        <f t="shared" si="4"/>
        <v>4828</v>
      </c>
      <c r="G43" s="371"/>
      <c r="H43" s="371"/>
      <c r="I43" s="371"/>
      <c r="J43" s="371"/>
      <c r="K43" s="371"/>
      <c r="L43" s="371"/>
      <c r="M43" s="371"/>
      <c r="O43" s="81">
        <v>1.1000000000000001</v>
      </c>
      <c r="P43" s="81">
        <f>O43*$Q$4</f>
        <v>48.89500000000001</v>
      </c>
      <c r="T43" s="91" t="s">
        <v>97</v>
      </c>
      <c r="U43" s="425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71"/>
      <c r="B44" s="370">
        <v>42360</v>
      </c>
      <c r="C44" s="371">
        <v>40</v>
      </c>
      <c r="D44" s="372">
        <v>27.25</v>
      </c>
      <c r="E44" s="372">
        <v>0</v>
      </c>
      <c r="F44" s="372">
        <f t="shared" si="4"/>
        <v>1090</v>
      </c>
      <c r="G44" s="371"/>
      <c r="H44" s="371"/>
      <c r="I44" s="371"/>
      <c r="J44" s="371"/>
      <c r="K44" s="371"/>
      <c r="L44" s="371"/>
      <c r="M44" s="371"/>
      <c r="O44" s="81">
        <v>1.0900000000000001</v>
      </c>
      <c r="P44" s="81">
        <f t="shared" ref="P44:P63" si="5">O44*$Q$4</f>
        <v>48.450500000000005</v>
      </c>
      <c r="T44" s="91" t="s">
        <v>98</v>
      </c>
      <c r="U44" s="425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71"/>
      <c r="B45" s="370">
        <v>42376</v>
      </c>
      <c r="C45" s="371">
        <v>90</v>
      </c>
      <c r="D45" s="372">
        <v>26.75</v>
      </c>
      <c r="E45" s="372">
        <v>0</v>
      </c>
      <c r="F45" s="372">
        <f t="shared" si="4"/>
        <v>2407.5</v>
      </c>
      <c r="G45" s="371"/>
      <c r="H45" s="371"/>
      <c r="I45" s="371"/>
      <c r="J45" s="371"/>
      <c r="K45" s="371"/>
      <c r="L45" s="371"/>
      <c r="M45" s="371"/>
      <c r="O45" s="81">
        <v>1.08</v>
      </c>
      <c r="P45" s="81">
        <f t="shared" si="5"/>
        <v>48.006000000000007</v>
      </c>
      <c r="T45" s="91" t="s">
        <v>99</v>
      </c>
      <c r="U45" s="425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71"/>
      <c r="B46" s="371"/>
      <c r="C46" s="371"/>
      <c r="D46" s="371"/>
      <c r="E46" s="372"/>
      <c r="F46" s="371"/>
      <c r="G46" s="371"/>
      <c r="H46" s="371"/>
      <c r="I46" s="371"/>
      <c r="J46" s="371"/>
      <c r="K46" s="371"/>
      <c r="L46" s="371"/>
      <c r="M46" s="371"/>
      <c r="O46" s="81">
        <v>1.07</v>
      </c>
      <c r="P46" s="81">
        <f t="shared" si="5"/>
        <v>47.561500000000002</v>
      </c>
      <c r="Q46" s="2"/>
      <c r="T46" s="91" t="s">
        <v>100</v>
      </c>
      <c r="U46" s="425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47.117000000000004</v>
      </c>
      <c r="Q47" s="2"/>
      <c r="T47" s="91" t="s">
        <v>101</v>
      </c>
      <c r="U47" s="425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71"/>
      <c r="B48" s="371"/>
      <c r="C48" s="371"/>
      <c r="D48" s="371"/>
      <c r="E48" s="372"/>
      <c r="F48" s="371"/>
      <c r="G48" s="371"/>
      <c r="H48" s="371"/>
      <c r="I48" s="371"/>
      <c r="J48" s="371"/>
      <c r="K48" s="371"/>
      <c r="L48" s="371"/>
      <c r="M48" s="371"/>
      <c r="O48" s="81">
        <v>1.05</v>
      </c>
      <c r="P48" s="81">
        <f t="shared" si="5"/>
        <v>46.672500000000007</v>
      </c>
      <c r="Q48" s="2"/>
      <c r="T48" s="91" t="s">
        <v>102</v>
      </c>
      <c r="U48" s="425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46.228000000000002</v>
      </c>
      <c r="Q49" s="2"/>
      <c r="T49" s="91" t="s">
        <v>121</v>
      </c>
      <c r="U49" s="425" t="s">
        <v>384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45.783500000000004</v>
      </c>
      <c r="Q50" s="2"/>
      <c r="T50" s="91"/>
      <c r="U50" s="425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45.339000000000006</v>
      </c>
      <c r="Q51" s="2"/>
      <c r="T51" s="91" t="s">
        <v>104</v>
      </c>
      <c r="U51" s="425" t="s">
        <v>706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44.894500000000001</v>
      </c>
      <c r="Q52" s="2"/>
      <c r="T52" s="91" t="s">
        <v>105</v>
      </c>
      <c r="U52" s="425" t="s">
        <v>461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44.45</v>
      </c>
      <c r="Q53" s="2"/>
      <c r="T53" s="91" t="s">
        <v>106</v>
      </c>
      <c r="U53" s="426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44.005500000000005</v>
      </c>
      <c r="Q54" s="2"/>
      <c r="T54" s="91" t="s">
        <v>109</v>
      </c>
      <c r="U54" s="426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43.561</v>
      </c>
      <c r="Q55" s="2"/>
      <c r="T55" s="91" t="s">
        <v>107</v>
      </c>
      <c r="U55" s="425" t="s">
        <v>707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43.116500000000002</v>
      </c>
      <c r="Q56" s="2"/>
      <c r="T56" s="91" t="s">
        <v>110</v>
      </c>
      <c r="U56" s="425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42.672000000000004</v>
      </c>
      <c r="Q57" s="2"/>
      <c r="T57" s="91" t="s">
        <v>111</v>
      </c>
      <c r="U57" s="425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42.227499999999999</v>
      </c>
      <c r="Q58" s="2"/>
      <c r="T58" s="91" t="s">
        <v>108</v>
      </c>
      <c r="U58" s="425" t="s">
        <v>583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41.783000000000001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41.338500000000003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40.894000000000005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40.4495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40.005000000000003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53" priority="7">
      <formula>F21&gt;0</formula>
    </cfRule>
    <cfRule type="expression" dxfId="52" priority="8">
      <formula>F21&lt;0</formula>
    </cfRule>
  </conditionalFormatting>
  <conditionalFormatting sqref="H21:H32">
    <cfRule type="expression" dxfId="51" priority="5">
      <formula>H21&gt;0</formula>
    </cfRule>
    <cfRule type="expression" dxfId="50" priority="6">
      <formula>H21&lt;0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4"/>
      <c r="M3" s="4"/>
      <c r="O3" s="11" t="s">
        <v>58</v>
      </c>
      <c r="Q3" s="2">
        <f>IF(Q2=0, Q4, (F18-K18-M18)/Q2)</f>
        <v>125.03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125.03</v>
      </c>
      <c r="R4" s="487">
        <v>-1.9E-2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210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209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209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6" t="s">
        <v>1</v>
      </c>
      <c r="B28" s="256" t="s">
        <v>2</v>
      </c>
      <c r="C28" s="256" t="s">
        <v>4</v>
      </c>
      <c r="D28" s="257" t="s">
        <v>5</v>
      </c>
      <c r="E28" s="257" t="s">
        <v>94</v>
      </c>
      <c r="F28" s="257" t="s">
        <v>60</v>
      </c>
      <c r="G28" s="256" t="s">
        <v>3</v>
      </c>
      <c r="H28" s="256" t="s">
        <v>6</v>
      </c>
      <c r="I28" s="256" t="s">
        <v>7</v>
      </c>
      <c r="J28" s="256" t="s">
        <v>95</v>
      </c>
      <c r="K28" s="256" t="s">
        <v>61</v>
      </c>
      <c r="L28" s="256" t="s">
        <v>77</v>
      </c>
      <c r="M28" s="256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8" t="s">
        <v>54</v>
      </c>
      <c r="B29" s="259">
        <v>42214</v>
      </c>
      <c r="C29" s="254">
        <v>10</v>
      </c>
      <c r="D29" s="255">
        <v>99.58</v>
      </c>
      <c r="E29" s="255">
        <v>0</v>
      </c>
      <c r="F29" s="255">
        <f>C29*D29</f>
        <v>995.8</v>
      </c>
      <c r="G29" s="259">
        <v>42237</v>
      </c>
      <c r="H29" s="254">
        <v>10</v>
      </c>
      <c r="I29" s="254">
        <v>99.56</v>
      </c>
      <c r="J29" s="255">
        <v>0.02</v>
      </c>
      <c r="K29" s="254">
        <f>I29*H29-J29</f>
        <v>995.58</v>
      </c>
      <c r="L29" s="259">
        <v>42257</v>
      </c>
      <c r="M29" s="255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61" t="s">
        <v>71</v>
      </c>
      <c r="B30" s="259">
        <v>42219</v>
      </c>
      <c r="C30" s="254">
        <v>5</v>
      </c>
      <c r="D30" s="255">
        <v>97.95</v>
      </c>
      <c r="E30" s="255">
        <v>0</v>
      </c>
      <c r="F30" s="255">
        <f>C30*D30</f>
        <v>489.75</v>
      </c>
      <c r="G30" s="259">
        <v>42304</v>
      </c>
      <c r="H30" s="260">
        <v>15</v>
      </c>
      <c r="I30" s="255">
        <v>98.75</v>
      </c>
      <c r="J30" s="255">
        <v>0.03</v>
      </c>
      <c r="K30" s="254">
        <f>I30*H30-J30</f>
        <v>1481.22</v>
      </c>
      <c r="L30" s="254"/>
      <c r="M30" s="254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4"/>
      <c r="B31" s="259">
        <v>42272</v>
      </c>
      <c r="C31" s="254">
        <v>10</v>
      </c>
      <c r="D31" s="255">
        <v>88.6</v>
      </c>
      <c r="E31" s="255">
        <v>0</v>
      </c>
      <c r="F31" s="255">
        <f>C31*D31</f>
        <v>886</v>
      </c>
      <c r="G31" s="254"/>
      <c r="H31" s="254"/>
      <c r="I31" s="254"/>
      <c r="J31" s="254"/>
      <c r="K31" s="254"/>
      <c r="L31" s="254"/>
      <c r="M31" s="254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4"/>
      <c r="B32" s="254"/>
      <c r="C32" s="254"/>
      <c r="D32" s="255"/>
      <c r="E32" s="255"/>
      <c r="F32" s="255"/>
      <c r="G32" s="254"/>
      <c r="H32" s="254"/>
      <c r="I32" s="254"/>
      <c r="J32" s="254"/>
      <c r="K32" s="254"/>
      <c r="L32" s="254"/>
      <c r="M32" s="254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4"/>
      <c r="B33" s="254"/>
      <c r="C33" s="254"/>
      <c r="D33" s="255"/>
      <c r="E33" s="255"/>
      <c r="F33" s="255"/>
      <c r="G33" s="254"/>
      <c r="H33" s="254"/>
      <c r="I33" s="254"/>
      <c r="J33" s="254"/>
      <c r="K33" s="254"/>
      <c r="L33" s="254"/>
      <c r="M33" s="254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4"/>
      <c r="B34" s="254"/>
      <c r="C34" s="254"/>
      <c r="D34" s="255"/>
      <c r="E34" s="255"/>
      <c r="F34" s="255"/>
      <c r="G34" s="254"/>
      <c r="H34" s="254"/>
      <c r="I34" s="254"/>
      <c r="J34" s="254"/>
      <c r="K34" s="254"/>
      <c r="L34" s="254"/>
      <c r="M34" s="254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4"/>
      <c r="B36" s="254"/>
      <c r="C36" s="254"/>
      <c r="D36" s="255"/>
      <c r="E36" s="255"/>
      <c r="F36" s="255"/>
      <c r="G36" s="254"/>
      <c r="H36" s="254"/>
      <c r="I36" s="254"/>
      <c r="J36" s="254"/>
      <c r="K36" s="254"/>
      <c r="L36" s="254"/>
      <c r="M36" s="254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4"/>
      <c r="B37" s="254"/>
      <c r="C37" s="254"/>
      <c r="D37" s="255"/>
      <c r="E37" s="255"/>
      <c r="F37" s="255"/>
      <c r="G37" s="254"/>
      <c r="H37" s="254"/>
      <c r="I37" s="254"/>
      <c r="J37" s="254"/>
      <c r="K37" s="254"/>
      <c r="L37" s="254"/>
      <c r="M37" s="254"/>
      <c r="W37" s="130">
        <v>42781</v>
      </c>
      <c r="X37" s="10" t="s">
        <v>213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04" t="s">
        <v>78</v>
      </c>
      <c r="Q39" s="80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137.53300000000002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136.28270000000001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135.03240000000002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133.78210000000001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132.5318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131.28149999999999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130.03120000000001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128.7809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127.53060000000001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126.2803</v>
      </c>
      <c r="T49" s="91" t="s">
        <v>121</v>
      </c>
      <c r="U49" s="86" t="s">
        <v>384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125.03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123.77970000000001</v>
      </c>
      <c r="T51" s="91" t="s">
        <v>104</v>
      </c>
      <c r="U51" s="86" t="s">
        <v>708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122.5294</v>
      </c>
      <c r="T52" s="91" t="s">
        <v>105</v>
      </c>
      <c r="U52" s="86" t="s">
        <v>519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121.2791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120.02879999999999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118.77849999999999</v>
      </c>
      <c r="T55" s="91" t="s">
        <v>107</v>
      </c>
      <c r="U55" s="86" t="s">
        <v>709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117.5282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116.2779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115.02760000000001</v>
      </c>
      <c r="T58" s="91" t="s">
        <v>108</v>
      </c>
      <c r="U58" s="86" t="s">
        <v>584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113.77730000000001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112.527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80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80"/>
      <c r="I3" s="3"/>
      <c r="J3" s="3"/>
      <c r="K3" s="4"/>
      <c r="L3" s="72"/>
      <c r="M3" s="3"/>
      <c r="O3" s="11" t="s">
        <v>58</v>
      </c>
      <c r="Q3" s="2">
        <f>IF(Q2=0, Q4, (F18-K18-M18)/Q2)</f>
        <v>220.96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9">
        <v>1153</v>
      </c>
      <c r="AO3" s="229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80"/>
      <c r="I4" s="3"/>
      <c r="J4" s="3"/>
      <c r="K4" s="4"/>
      <c r="L4" s="4"/>
      <c r="M4" s="4"/>
      <c r="O4" s="11" t="s">
        <v>66</v>
      </c>
      <c r="Q4" s="54">
        <v>220.96</v>
      </c>
      <c r="R4" s="487">
        <v>2.1100000000000001E-2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9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80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9">
        <v>1154.52</v>
      </c>
      <c r="AO5" s="229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80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80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210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209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8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6" t="s">
        <v>113</v>
      </c>
      <c r="C20" s="186" t="s">
        <v>146</v>
      </c>
      <c r="D20" s="187" t="s">
        <v>145</v>
      </c>
      <c r="E20" s="189" t="s">
        <v>147</v>
      </c>
      <c r="F20" s="190" t="s">
        <v>65</v>
      </c>
      <c r="G20" s="224" t="s">
        <v>151</v>
      </c>
      <c r="H20" s="190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8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7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8">
        <v>42328</v>
      </c>
      <c r="C22" s="10">
        <v>0</v>
      </c>
      <c r="D22" s="197" t="s">
        <v>128</v>
      </c>
      <c r="E22" s="39">
        <v>112.33</v>
      </c>
      <c r="F22" s="39">
        <v>27.05</v>
      </c>
      <c r="G22" s="39">
        <f t="shared" si="2"/>
        <v>0</v>
      </c>
      <c r="H22" s="227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8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7">
        <f t="shared" si="3"/>
        <v>2.4489795918367373E-2</v>
      </c>
      <c r="W23" s="130">
        <v>42802</v>
      </c>
      <c r="X23" s="10" t="s">
        <v>556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8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7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8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7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8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7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8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7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8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7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7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7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8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209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6" t="s">
        <v>1</v>
      </c>
      <c r="B34" s="256" t="s">
        <v>2</v>
      </c>
      <c r="C34" s="256" t="s">
        <v>4</v>
      </c>
      <c r="D34" s="257" t="s">
        <v>5</v>
      </c>
      <c r="E34" s="257" t="s">
        <v>94</v>
      </c>
      <c r="F34" s="257" t="s">
        <v>60</v>
      </c>
      <c r="G34" s="256" t="s">
        <v>3</v>
      </c>
      <c r="H34" s="256" t="s">
        <v>6</v>
      </c>
      <c r="I34" s="256" t="s">
        <v>7</v>
      </c>
      <c r="J34" s="256" t="s">
        <v>95</v>
      </c>
      <c r="K34" s="256" t="s">
        <v>61</v>
      </c>
      <c r="L34" s="256" t="s">
        <v>77</v>
      </c>
      <c r="M34" s="256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8" t="s">
        <v>51</v>
      </c>
      <c r="B35" s="259">
        <v>42212</v>
      </c>
      <c r="C35" s="254">
        <v>10</v>
      </c>
      <c r="D35" s="255">
        <v>120.14</v>
      </c>
      <c r="E35" s="255">
        <v>0</v>
      </c>
      <c r="F35" s="255">
        <f t="shared" ref="F35:F40" si="4">D35*C35</f>
        <v>1201.4000000000001</v>
      </c>
      <c r="G35" s="259">
        <v>42292</v>
      </c>
      <c r="H35" s="260">
        <v>15</v>
      </c>
      <c r="I35" s="255">
        <v>122.5</v>
      </c>
      <c r="J35" s="255">
        <v>0.03</v>
      </c>
      <c r="K35" s="254">
        <f>I35*H35-J35</f>
        <v>1837.47</v>
      </c>
      <c r="L35" s="259">
        <v>42269</v>
      </c>
      <c r="M35" s="255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61" t="s">
        <v>71</v>
      </c>
      <c r="B36" s="259">
        <v>42214</v>
      </c>
      <c r="C36" s="254">
        <v>5</v>
      </c>
      <c r="D36" s="255">
        <v>118.3</v>
      </c>
      <c r="E36" s="255">
        <v>0</v>
      </c>
      <c r="F36" s="255">
        <f t="shared" si="4"/>
        <v>591.5</v>
      </c>
      <c r="G36" s="259">
        <v>42331</v>
      </c>
      <c r="H36" s="260">
        <v>10</v>
      </c>
      <c r="I36" s="255">
        <v>113.5</v>
      </c>
      <c r="J36" s="255">
        <v>0.02</v>
      </c>
      <c r="K36" s="254">
        <f>I36*H36-J36</f>
        <v>1134.98</v>
      </c>
      <c r="L36" s="259">
        <v>42353</v>
      </c>
      <c r="M36" s="255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4"/>
      <c r="B37" s="259">
        <v>42286</v>
      </c>
      <c r="C37" s="254">
        <v>10</v>
      </c>
      <c r="D37" s="255">
        <v>116</v>
      </c>
      <c r="E37" s="255">
        <v>0</v>
      </c>
      <c r="F37" s="255">
        <f t="shared" si="4"/>
        <v>1160</v>
      </c>
      <c r="G37" s="259">
        <v>42340</v>
      </c>
      <c r="H37" s="260">
        <v>10</v>
      </c>
      <c r="I37" s="255">
        <v>115.4</v>
      </c>
      <c r="J37" s="255">
        <v>0.02</v>
      </c>
      <c r="K37" s="254">
        <f>I37*H37-J37</f>
        <v>1153.98</v>
      </c>
      <c r="L37" s="254"/>
      <c r="M37" s="254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4"/>
      <c r="B38" s="259">
        <v>42331</v>
      </c>
      <c r="C38" s="254">
        <v>10</v>
      </c>
      <c r="D38" s="255">
        <v>112.95</v>
      </c>
      <c r="E38" s="255">
        <v>0</v>
      </c>
      <c r="F38" s="255">
        <f t="shared" si="4"/>
        <v>1129.5</v>
      </c>
      <c r="G38" s="259">
        <v>42360</v>
      </c>
      <c r="H38" s="260">
        <v>10</v>
      </c>
      <c r="I38" s="255">
        <v>120.2</v>
      </c>
      <c r="J38" s="255">
        <v>0.02</v>
      </c>
      <c r="K38" s="254">
        <f>I38*H38-J38</f>
        <v>1201.98</v>
      </c>
      <c r="L38" s="254"/>
      <c r="M38" s="254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4"/>
      <c r="B39" s="259">
        <v>42340</v>
      </c>
      <c r="C39" s="254">
        <v>10</v>
      </c>
      <c r="D39" s="255">
        <v>115.3</v>
      </c>
      <c r="E39" s="255">
        <v>0</v>
      </c>
      <c r="F39" s="255">
        <f t="shared" si="4"/>
        <v>1153</v>
      </c>
      <c r="G39" s="259">
        <v>42416</v>
      </c>
      <c r="H39" s="260">
        <v>25</v>
      </c>
      <c r="I39" s="255">
        <v>114.55</v>
      </c>
      <c r="J39" s="255">
        <v>0.06</v>
      </c>
      <c r="K39" s="254">
        <f>I39*H39-J39</f>
        <v>2863.69</v>
      </c>
      <c r="L39" s="254"/>
      <c r="M39" s="254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4"/>
      <c r="B40" s="259">
        <v>42376</v>
      </c>
      <c r="C40" s="254">
        <v>25</v>
      </c>
      <c r="D40" s="255">
        <v>111.7</v>
      </c>
      <c r="E40" s="255">
        <v>0</v>
      </c>
      <c r="F40" s="255">
        <f t="shared" si="4"/>
        <v>2792.5</v>
      </c>
      <c r="G40" s="254"/>
      <c r="H40" s="260"/>
      <c r="I40" s="254"/>
      <c r="J40" s="254"/>
      <c r="K40" s="254"/>
      <c r="L40" s="254"/>
      <c r="M40" s="254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4"/>
      <c r="B41" s="254"/>
      <c r="C41" s="254"/>
      <c r="D41" s="255"/>
      <c r="E41" s="255"/>
      <c r="F41" s="255"/>
      <c r="G41" s="254"/>
      <c r="H41" s="254"/>
      <c r="I41" s="254"/>
      <c r="J41" s="254"/>
      <c r="K41" s="254"/>
      <c r="L41" s="254"/>
      <c r="M41" s="254"/>
      <c r="O41" s="804" t="s">
        <v>78</v>
      </c>
      <c r="P41" s="80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4"/>
      <c r="B42" s="254"/>
      <c r="C42" s="254"/>
      <c r="D42" s="255"/>
      <c r="E42" s="255"/>
      <c r="F42" s="255"/>
      <c r="G42" s="254"/>
      <c r="H42" s="254"/>
      <c r="I42" s="254"/>
      <c r="J42" s="254"/>
      <c r="K42" s="254"/>
      <c r="L42" s="254"/>
      <c r="M42" s="254"/>
      <c r="O42" s="81">
        <v>1.1000000000000001</v>
      </c>
      <c r="P42" s="81">
        <f>O42*$Q$4</f>
        <v>243.05600000000004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4"/>
      <c r="B43" s="254"/>
      <c r="C43" s="254"/>
      <c r="D43" s="255"/>
      <c r="E43" s="255"/>
      <c r="F43" s="255"/>
      <c r="G43" s="254"/>
      <c r="H43" s="254"/>
      <c r="I43" s="254"/>
      <c r="J43" s="254"/>
      <c r="K43" s="254"/>
      <c r="L43" s="254"/>
      <c r="M43" s="254"/>
      <c r="O43" s="81">
        <v>1.0900000000000001</v>
      </c>
      <c r="P43" s="81">
        <f t="shared" ref="P43:P62" si="5">O43*$Q$4</f>
        <v>240.84640000000002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9" t="s">
        <v>81</v>
      </c>
      <c r="B44" s="410"/>
      <c r="C44" s="410">
        <f>SUM(C35:C40)</f>
        <v>70</v>
      </c>
      <c r="D44" s="411"/>
      <c r="E44" s="411"/>
      <c r="F44" s="411">
        <f>SUM(F35:F40)</f>
        <v>8027.9</v>
      </c>
      <c r="G44" s="411"/>
      <c r="H44" s="412">
        <f>SUM(H35:H39)</f>
        <v>70</v>
      </c>
      <c r="I44" s="411"/>
      <c r="J44" s="411"/>
      <c r="K44" s="411">
        <f>SUM(K35:K39)</f>
        <v>8192.1</v>
      </c>
      <c r="L44" s="411"/>
      <c r="M44" s="411">
        <f>SUM(M35:M38)</f>
        <v>12.5</v>
      </c>
      <c r="O44" s="81">
        <v>1.08</v>
      </c>
      <c r="P44" s="81">
        <f t="shared" si="5"/>
        <v>238.63680000000002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4"/>
      <c r="B45" s="254"/>
      <c r="C45" s="254"/>
      <c r="D45" s="255"/>
      <c r="E45" s="255"/>
      <c r="F45" s="255"/>
      <c r="G45" s="254"/>
      <c r="H45" s="254"/>
      <c r="I45" s="254"/>
      <c r="J45" s="254"/>
      <c r="K45" s="254"/>
      <c r="L45" s="254"/>
      <c r="M45" s="254"/>
      <c r="O45" s="81">
        <v>1.07</v>
      </c>
      <c r="P45" s="81">
        <f t="shared" si="5"/>
        <v>236.42720000000003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234.21760000000003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232.00800000000001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229.79840000000002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227.58880000000002</v>
      </c>
      <c r="Q49" s="81"/>
      <c r="T49" s="91" t="s">
        <v>103</v>
      </c>
      <c r="U49" s="86" t="s">
        <v>533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225.37920000000003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223.1696</v>
      </c>
      <c r="Q51" s="81"/>
      <c r="T51" s="91" t="s">
        <v>104</v>
      </c>
      <c r="U51" s="86" t="s">
        <v>710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220.96</v>
      </c>
      <c r="Q52" s="81"/>
      <c r="T52" s="91" t="s">
        <v>105</v>
      </c>
      <c r="U52" s="86" t="s">
        <v>528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218.75040000000001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216.54079999999999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214.3312</v>
      </c>
      <c r="Q55" s="81"/>
      <c r="T55" s="91" t="s">
        <v>107</v>
      </c>
      <c r="U55" s="86" t="s">
        <v>711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212.1216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209.91200000000001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207.70239999999998</v>
      </c>
      <c r="Q58" s="81"/>
      <c r="T58" s="91" t="s">
        <v>108</v>
      </c>
      <c r="U58" s="86" t="s">
        <v>585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205.49280000000002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203.28320000000002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201.07360000000003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198.864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41" priority="13">
      <formula>F21&gt;0</formula>
    </cfRule>
    <cfRule type="expression" dxfId="40" priority="14">
      <formula>F21&lt;0</formula>
    </cfRule>
  </conditionalFormatting>
  <conditionalFormatting sqref="F22">
    <cfRule type="expression" dxfId="39" priority="11">
      <formula>F22&gt;0</formula>
    </cfRule>
    <cfRule type="expression" dxfId="38" priority="12">
      <formula>F22&lt;0</formula>
    </cfRule>
  </conditionalFormatting>
  <conditionalFormatting sqref="F23:F30">
    <cfRule type="expression" dxfId="37" priority="9">
      <formula>F23&gt;0</formula>
    </cfRule>
    <cfRule type="expression" dxfId="36" priority="10">
      <formula>F23&lt;0</formula>
    </cfRule>
  </conditionalFormatting>
  <conditionalFormatting sqref="H21:H31">
    <cfRule type="expression" dxfId="35" priority="7">
      <formula>H21&gt;0</formula>
    </cfRule>
    <cfRule type="expression" dxfId="34" priority="8">
      <formula>H21&lt;0</formula>
    </cfRule>
  </conditionalFormatting>
  <conditionalFormatting sqref="F24">
    <cfRule type="expression" dxfId="33" priority="5">
      <formula>F24&gt;0</formula>
    </cfRule>
    <cfRule type="expression" dxfId="32" priority="6">
      <formula>F24&lt;0</formula>
    </cfRule>
  </conditionalFormatting>
  <conditionalFormatting sqref="Q8">
    <cfRule type="expression" dxfId="31" priority="1">
      <formula>Q8&gt;0</formula>
    </cfRule>
    <cfRule type="expression" dxfId="30" priority="2">
      <formula>Q8&lt;0</formula>
    </cfRule>
  </conditionalFormatting>
  <conditionalFormatting sqref="Q7">
    <cfRule type="expression" dxfId="29" priority="3">
      <formula>Q7&gt;0</formula>
    </cfRule>
    <cfRule type="expression" dxfId="2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78</vt:i4>
      </vt:variant>
      <vt:variant>
        <vt:lpstr>Named Ranges</vt:lpstr>
      </vt:variant>
      <vt:variant>
        <vt:i4>93</vt:i4>
      </vt:variant>
    </vt:vector>
  </HeadingPairs>
  <TitlesOfParts>
    <vt:vector size="171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CVS</vt:lpstr>
      <vt:lpstr>ADBE</vt:lpstr>
      <vt:lpstr>MRO</vt:lpstr>
      <vt:lpstr>GE</vt:lpstr>
      <vt:lpstr>KR</vt:lpstr>
      <vt:lpstr>F</vt:lpstr>
      <vt:lpstr>JNJ</vt:lpstr>
      <vt:lpstr>ULTA</vt:lpstr>
      <vt:lpstr>FRC</vt:lpstr>
      <vt:lpstr>AAP</vt:lpstr>
      <vt:lpstr>T</vt:lpstr>
      <vt:lpstr>COST</vt:lpstr>
      <vt:lpstr>CPN</vt:lpstr>
      <vt:lpstr>EW</vt:lpstr>
      <vt:lpstr>TJX</vt:lpstr>
      <vt:lpstr>WBA</vt:lpstr>
      <vt:lpstr>AZO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DIS!hp?s_DIS</vt:lpstr>
      <vt:lpstr>EW!hp?s_ew_Historical_Prices</vt:lpstr>
      <vt:lpstr>FOXA!hp?s_foxa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KORS!hp?s_KORS</vt:lpstr>
      <vt:lpstr>LUV!hp?s_LUV</vt:lpstr>
      <vt:lpstr>MYL!hp?s_MYL</vt:lpstr>
      <vt:lpstr>NCLH!hp?s_nclh</vt:lpstr>
      <vt:lpstr>NKE!hp?s_nke</vt:lpstr>
      <vt:lpstr>NSC!hp?s_NSC</vt:lpstr>
      <vt:lpstr>PINC!hp?s_pinc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KORS!q?s_KORS</vt:lpstr>
      <vt:lpstr>KR!q?s_KR</vt:lpstr>
      <vt:lpstr>LUV!q?s_luv_ql_1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2018-02-09T22:39:15Z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